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omments6.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omments8.xml" ContentType="application/vnd.openxmlformats-officedocument.spreadsheetml.comments+xml"/>
  <Override PartName="/xl/drawings/drawing15.xml" ContentType="application/vnd.openxmlformats-officedocument.drawing+xml"/>
  <Override PartName="/xl/comments9.xml" ContentType="application/vnd.openxmlformats-officedocument.spreadsheetml.comments+xml"/>
  <Override PartName="/xl/drawings/drawing16.xml" ContentType="application/vnd.openxmlformats-officedocument.drawing+xml"/>
  <Override PartName="/xl/comments10.xml" ContentType="application/vnd.openxmlformats-officedocument.spreadsheetml.comments+xml"/>
  <Override PartName="/xl/drawings/drawing17.xml" ContentType="application/vnd.openxmlformats-officedocument.drawing+xml"/>
  <Override PartName="/xl/comments11.xml" ContentType="application/vnd.openxmlformats-officedocument.spreadsheetml.comments+xml"/>
  <Override PartName="/xl/drawings/drawing18.xml" ContentType="application/vnd.openxmlformats-officedocument.drawing+xml"/>
  <Override PartName="/xl/comments12.xml" ContentType="application/vnd.openxmlformats-officedocument.spreadsheetml.comments+xml"/>
  <Override PartName="/xl/drawings/drawing19.xml" ContentType="application/vnd.openxmlformats-officedocument.drawing+xml"/>
  <Override PartName="/xl/comments13.xml" ContentType="application/vnd.openxmlformats-officedocument.spreadsheetml.comments+xml"/>
  <Override PartName="/xl/drawings/drawing20.xml" ContentType="application/vnd.openxmlformats-officedocument.drawing+xml"/>
  <Override PartName="/xl/comments14.xml" ContentType="application/vnd.openxmlformats-officedocument.spreadsheetml.comments+xml"/>
  <Override PartName="/xl/drawings/drawing21.xml" ContentType="application/vnd.openxmlformats-officedocument.drawing+xml"/>
  <Override PartName="/xl/comments15.xml" ContentType="application/vnd.openxmlformats-officedocument.spreadsheetml.comments+xml"/>
  <Override PartName="/xl/comments16.xml" ContentType="application/vnd.openxmlformats-officedocument.spreadsheetml.comments+xml"/>
  <Override PartName="/xl/drawings/drawing2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harts/chart3.xml" ContentType="application/vnd.openxmlformats-officedocument.drawingml.chart+xml"/>
  <Override PartName="/xl/drawings/drawing26.xml" ContentType="application/vnd.openxmlformats-officedocument.drawing+xml"/>
  <Override PartName="/xl/charts/chart4.xml" ContentType="application/vnd.openxmlformats-officedocument.drawingml.chart+xml"/>
  <Override PartName="/xl/drawings/drawing27.xml" ContentType="application/vnd.openxmlformats-officedocument.drawing+xml"/>
  <Override PartName="/xl/charts/chart5.xml" ContentType="application/vnd.openxmlformats-officedocument.drawingml.chart+xml"/>
  <Override PartName="/xl/drawings/drawing28.xml" ContentType="application/vnd.openxmlformats-officedocument.drawing+xml"/>
  <Override PartName="/xl/charts/chart6.xml" ContentType="application/vnd.openxmlformats-officedocument.drawingml.chart+xml"/>
  <Override PartName="/xl/drawings/drawing29.xml" ContentType="application/vnd.openxmlformats-officedocument.drawing+xml"/>
  <Override PartName="/xl/charts/chart7.xml" ContentType="application/vnd.openxmlformats-officedocument.drawingml.chart+xml"/>
  <Override PartName="/xl/drawings/drawing30.xml" ContentType="application/vnd.openxmlformats-officedocument.drawing+xml"/>
  <Override PartName="/xl/charts/chart8.xml" ContentType="application/vnd.openxmlformats-officedocument.drawingml.chart+xml"/>
  <Override PartName="/xl/drawings/drawing31.xml" ContentType="application/vnd.openxmlformats-officedocument.drawing+xml"/>
  <Override PartName="/xl/charts/chart9.xml" ContentType="application/vnd.openxmlformats-officedocument.drawingml.chart+xml"/>
  <Override PartName="/xl/drawings/drawing32.xml" ContentType="application/vnd.openxmlformats-officedocument.drawing+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drawings/drawing33.xml" ContentType="application/vnd.openxmlformats-officedocument.drawing+xml"/>
  <Override PartName="/xl/comments23.xml" ContentType="application/vnd.openxmlformats-officedocument.spreadsheetml.comments+xml"/>
  <Override PartName="/xl/comments24.xml" ContentType="application/vnd.openxmlformats-officedocument.spreadsheetml.comments+xml"/>
  <Override PartName="/xl/drawings/drawing34.xml" ContentType="application/vnd.openxmlformats-officedocument.drawing+xml"/>
  <Override PartName="/xl/charts/chart10.xml" ContentType="application/vnd.openxmlformats-officedocument.drawingml.chart+xml"/>
  <Override PartName="/xl/drawings/drawing35.xml" ContentType="application/vnd.openxmlformats-officedocument.drawing+xml"/>
  <Override PartName="/xl/drawings/drawing36.xml" ContentType="application/vnd.openxmlformats-officedocument.drawing+xml"/>
  <Override PartName="/xl/comments25.xml" ContentType="application/vnd.openxmlformats-officedocument.spreadsheetml.comments+xml"/>
  <Override PartName="/xl/drawings/drawing37.xml" ContentType="application/vnd.openxmlformats-officedocument.drawing+xml"/>
  <Override PartName="/xl/comments26.xml" ContentType="application/vnd.openxmlformats-officedocument.spreadsheetml.comments+xml"/>
  <Override PartName="/xl/drawings/drawing38.xml" ContentType="application/vnd.openxmlformats-officedocument.drawing+xml"/>
  <Override PartName="/xl/comments27.xml" ContentType="application/vnd.openxmlformats-officedocument.spreadsheetml.comments+xml"/>
  <Override PartName="/xl/comments28.xml" ContentType="application/vnd.openxmlformats-officedocument.spreadsheetml.comments+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mc:AlternateContent xmlns:mc="http://schemas.openxmlformats.org/markup-compatibility/2006">
    <mc:Choice Requires="x15">
      <x15ac:absPath xmlns:x15ac="http://schemas.microsoft.com/office/spreadsheetml/2010/11/ac" url="C:\Users\jlinares\Desktop\ACTUALIZACIONES LOGOS 2026\3. Herramientas con Logo actualizado y todo OK\1. ECOFIN\"/>
    </mc:Choice>
  </mc:AlternateContent>
  <xr:revisionPtr revIDLastSave="0" documentId="13_ncr:1_{8B42A9DA-09D8-4EE9-8B75-092502D6A104}" xr6:coauthVersionLast="47" xr6:coauthVersionMax="47" xr10:uidLastSave="{00000000-0000-0000-0000-000000000000}"/>
  <bookViews>
    <workbookView xWindow="-120" yWindow="-120" windowWidth="29040" windowHeight="15720" tabRatio="771" xr2:uid="{C2F55288-0781-444A-BD38-1F2DE574D5EA}"/>
  </bookViews>
  <sheets>
    <sheet name="MENÚ PRINCIPAL" sheetId="14700" r:id="rId1"/>
    <sheet name="RESULTADOS" sheetId="14696" r:id="rId2"/>
    <sheet name="PREVISIÓN INGRESOS" sheetId="14697" r:id="rId3"/>
    <sheet name="PREVISIÓN GASTOS" sheetId="14698" r:id="rId4"/>
    <sheet name="INICIO ACTIVIDAD" sheetId="14699" r:id="rId5"/>
    <sheet name="Índice" sheetId="14662" r:id="rId6"/>
    <sheet name="Datos Básicos" sheetId="4129" r:id="rId7"/>
    <sheet name="Parametros" sheetId="14665" r:id="rId8"/>
    <sheet name="Amortizaciones" sheetId="14661" r:id="rId9"/>
    <sheet name="Inv. Iniciales ANC" sheetId="14685" r:id="rId10"/>
    <sheet name="Inversiones AC" sheetId="14622" r:id="rId11"/>
    <sheet name="Financiación Inicial" sheetId="11" r:id="rId12"/>
    <sheet name="Incentivos" sheetId="14692" r:id="rId13"/>
    <sheet name="Préstamos" sheetId="14686" r:id="rId14"/>
    <sheet name="Renting" sheetId="14694" r:id="rId15"/>
    <sheet name="Leasing" sheetId="14693" r:id="rId16"/>
    <sheet name="RR HH" sheetId="14695" r:id="rId17"/>
    <sheet name="Plantilla" sheetId="14663" r:id="rId18"/>
    <sheet name="Datos Gastos Fijos" sheetId="14655" r:id="rId19"/>
    <sheet name="Precios Venta y P. Cobros" sheetId="14710" r:id="rId20"/>
    <sheet name="Precios-CV" sheetId="14652" r:id="rId21"/>
    <sheet name="Estimacion Ventas" sheetId="14653" r:id="rId22"/>
    <sheet name="Politicas Cobros y Pagos" sheetId="14647" state="hidden" r:id="rId23"/>
    <sheet name="Otros cobros y pagos" sheetId="14645" r:id="rId24"/>
    <sheet name="Bal. Inicial Previo" sheetId="14626" state="hidden" r:id="rId25"/>
    <sheet name="DATOS GRAF. COMP. BALANCES" sheetId="14705" state="hidden" r:id="rId26"/>
    <sheet name="COMP. Balances Anuales" sheetId="14701" r:id="rId27"/>
    <sheet name="REAL Balances Anuales" sheetId="14702" r:id="rId28"/>
    <sheet name="Balances anuales" sheetId="14667" r:id="rId29"/>
    <sheet name="Prev.Ventas 0" sheetId="7" state="hidden" r:id="rId30"/>
    <sheet name="Prev.Ventas 1" sheetId="14630" state="hidden" r:id="rId31"/>
    <sheet name="Prev.Ventas 2" sheetId="14637" state="hidden" r:id="rId32"/>
    <sheet name="Prev.Ventas 3" sheetId="14668" state="hidden" r:id="rId33"/>
    <sheet name="Prev.Ventas 4" sheetId="14669" state="hidden" r:id="rId34"/>
    <sheet name="PyG 0" sheetId="8" state="hidden" r:id="rId35"/>
    <sheet name="PyG 1" sheetId="14631" state="hidden" r:id="rId36"/>
    <sheet name="PyG 2" sheetId="14640" state="hidden" r:id="rId37"/>
    <sheet name="PyG 3" sheetId="14670" state="hidden" r:id="rId38"/>
    <sheet name="PyG 4" sheetId="14671" state="hidden" r:id="rId39"/>
    <sheet name="Resumen Ventas 5 años" sheetId="14683" r:id="rId40"/>
    <sheet name="DATOS GRAF. COMP. PYG" sheetId="14706" r:id="rId41"/>
    <sheet name="COMP. PyG" sheetId="14704" r:id="rId42"/>
    <sheet name="PyG Reales" sheetId="14703" r:id="rId43"/>
    <sheet name="Imp.Sociedades" sheetId="14659" r:id="rId44"/>
    <sheet name="IRPF Prof y Autónomos" sheetId="14657" r:id="rId45"/>
    <sheet name="Ret IRPF" sheetId="14681" state="hidden" r:id="rId46"/>
    <sheet name="Cobros y pagos 0" sheetId="14623" state="hidden" r:id="rId47"/>
    <sheet name="Cobros y pagos 1" sheetId="14632" state="hidden" r:id="rId48"/>
    <sheet name="Cobros y pagos 2" sheetId="14638" state="hidden" r:id="rId49"/>
    <sheet name="Cobros y pagos 3" sheetId="14678" state="hidden" r:id="rId50"/>
    <sheet name="Cobros y pagos 4" sheetId="14679" state="hidden" r:id="rId51"/>
    <sheet name="G.F. 0" sheetId="14624" state="hidden" r:id="rId52"/>
    <sheet name="G.F. 1" sheetId="14629" state="hidden" r:id="rId53"/>
    <sheet name="G.F. 2" sheetId="14636" state="hidden" r:id="rId54"/>
    <sheet name="G.F. 3" sheetId="14672" state="hidden" r:id="rId55"/>
    <sheet name="G.F. 4" sheetId="14673" state="hidden" r:id="rId56"/>
    <sheet name="IVA 0" sheetId="14628" state="hidden" r:id="rId57"/>
    <sheet name="IVA 1" sheetId="14634" state="hidden" r:id="rId58"/>
    <sheet name="IVA 2" sheetId="14639" state="hidden" r:id="rId59"/>
    <sheet name="IVA 3" sheetId="14674" state="hidden" r:id="rId60"/>
    <sheet name="IVA 4" sheetId="14675" state="hidden" r:id="rId61"/>
    <sheet name="Gastos Financieros" sheetId="14648" r:id="rId62"/>
    <sheet name="Tesorería 0" sheetId="14625" state="hidden" r:id="rId63"/>
    <sheet name="Tesorería 1" sheetId="14633" state="hidden" r:id="rId64"/>
    <sheet name="Tesorería 2" sheetId="14641" state="hidden" r:id="rId65"/>
    <sheet name="Tesorería 3" sheetId="14676" state="hidden" r:id="rId66"/>
    <sheet name="Tesorería 4" sheetId="14677" state="hidden" r:id="rId67"/>
    <sheet name="Resumen Tesorerias" sheetId="14684" r:id="rId68"/>
    <sheet name="Datos Evaluación" sheetId="14649" r:id="rId69"/>
    <sheet name="COMP. Ratios Básicos" sheetId="14708" r:id="rId70"/>
    <sheet name="Ratios Básicos Reales" sheetId="14707" r:id="rId71"/>
    <sheet name="Ratios Básicos" sheetId="4128" r:id="rId72"/>
    <sheet name="Notas Ratios" sheetId="14687" r:id="rId73"/>
    <sheet name="P. Equilibrio" sheetId="14643" r:id="rId74"/>
    <sheet name="ACTIVO" sheetId="14688" r:id="rId75"/>
    <sheet name="PASIVO" sheetId="14689" r:id="rId76"/>
    <sheet name="DEBE" sheetId="14691" r:id="rId77"/>
    <sheet name="HABER" sheetId="14690" r:id="rId78"/>
    <sheet name="MICROCREDITOS" sheetId="14709" r:id="rId79"/>
    <sheet name="PyG anuales" sheetId="14617" r:id="rId80"/>
    <sheet name="Resumen Gastos Fijos" sheetId="14682" r:id="rId81"/>
    <sheet name="AYUDAS AUTONOMO" sheetId="14712" r:id="rId82"/>
  </sheets>
  <externalReferences>
    <externalReference r:id="rId83"/>
    <externalReference r:id="rId84"/>
  </externalReferences>
  <definedNames>
    <definedName name="_xlnm._FilterDatabase" localSheetId="6" hidden="1">'Datos Básicos'!$Q$33:$Q$34</definedName>
    <definedName name="_xlnm._FilterDatabase" localSheetId="7" hidden="1">Parametros!$A$22:$F$31</definedName>
    <definedName name="_xlnm.Print_Area" localSheetId="8">Amortizaciones!$A$1:$J$22</definedName>
    <definedName name="_xlnm.Print_Area" localSheetId="81">'AYUDAS AUTONOMO'!$B$1:$E$31,'AYUDAS AUTONOMO'!#REF!,'AYUDAS AUTONOMO'!#REF!</definedName>
    <definedName name="_xlnm.Print_Area" localSheetId="28">'Balances anuales'!$1:$1048576</definedName>
    <definedName name="_xlnm.Print_Area" localSheetId="46">'Cobros y pagos 0'!$A$1:$S$55</definedName>
    <definedName name="_xlnm.Print_Area" localSheetId="47">'Cobros y pagos 1'!$1:$1048576</definedName>
    <definedName name="_xlnm.Print_Area" localSheetId="48">'Cobros y pagos 2'!$1:$1048576</definedName>
    <definedName name="_xlnm.Print_Area" localSheetId="49">'Cobros y pagos 3'!$1:$1048576</definedName>
    <definedName name="_xlnm.Print_Area" localSheetId="50">'Cobros y pagos 4'!$1:$1048576</definedName>
    <definedName name="_xlnm.Print_Area" localSheetId="6">'Datos Básicos'!$A$1:$I$32</definedName>
    <definedName name="_xlnm.Print_Area" localSheetId="68">'Datos Evaluación'!$A$1:$F$41</definedName>
    <definedName name="_xlnm.Print_Area" localSheetId="21">'Estimacion Ventas'!$A$1:$N$72</definedName>
    <definedName name="_xlnm.Print_Area" localSheetId="12">Incentivos!$A$4:$G$84</definedName>
    <definedName name="_xlnm.Print_Area" localSheetId="5">Índice!$A$1:$J$42</definedName>
    <definedName name="_xlnm.Print_Area" localSheetId="9">'Inv. Iniciales ANC'!$A$1:$J$81</definedName>
    <definedName name="_xlnm.Print_Area" localSheetId="78">MICROCREDITOS!$B$5:$D$27,MICROCREDITOS!$F$5:$H$9,MICROCREDITOS!$K$5:$R$36,MICROCREDITOS!$U$5:$X$28,MICROCREDITOS!$AA$5:$AD$28</definedName>
    <definedName name="_xlnm.Print_Area" localSheetId="73">'P. Equilibrio'!$A$1:$J$31</definedName>
    <definedName name="_xlnm.Print_Area" localSheetId="7">Parametros!$A$1:$G$42</definedName>
    <definedName name="_xlnm.Print_Area" localSheetId="17">Plantilla!$A$1:$O$61</definedName>
    <definedName name="_xlnm.Print_Area" localSheetId="20">'Precios-CV'!$A$1:$K$44</definedName>
    <definedName name="_xlnm.Print_Area" localSheetId="71">'Ratios Básicos'!$A$1:$G$45</definedName>
    <definedName name="_xlnm.Print_Area" localSheetId="80">'Resumen Gastos Fijos'!$A$1:$F$50</definedName>
    <definedName name="_xlnm.Print_Area" localSheetId="67">'Resumen Tesorerias'!$A$1:$H$62</definedName>
    <definedName name="_xlnm.Print_Area" localSheetId="39">'Resumen Ventas 5 años'!$A$1:$J$77</definedName>
    <definedName name="_xlnm.Print_Area" localSheetId="16">'RR HH'!$A$1:$F$35</definedName>
    <definedName name="Capital" localSheetId="21">#REF!</definedName>
    <definedName name="Capital" localSheetId="29">#REF!</definedName>
    <definedName name="Capital" localSheetId="30">#REF!</definedName>
    <definedName name="Capital" localSheetId="31">#REF!</definedName>
    <definedName name="Capital" localSheetId="32">#REF!</definedName>
    <definedName name="Capital" localSheetId="33">#REF!</definedName>
    <definedName name="Capital" localSheetId="39">#REF!</definedName>
    <definedName name="Capital1" localSheetId="21">#REF!</definedName>
    <definedName name="Capital1" localSheetId="29">#REF!</definedName>
    <definedName name="Capital1" localSheetId="30">#REF!</definedName>
    <definedName name="Capital1" localSheetId="31">#REF!</definedName>
    <definedName name="Capital1" localSheetId="32">#REF!</definedName>
    <definedName name="Capital1" localSheetId="33">#REF!</definedName>
    <definedName name="Capital1" localSheetId="39">#REF!</definedName>
    <definedName name="CNV_GastosF0" localSheetId="18">'Datos Gastos Fijos'!#REF!,'Datos Gastos Fijos'!#REF!,'Datos Gastos Fijos'!#REF!,'Datos Gastos Fijos'!$B$8:$B$26,'Datos Gastos Fijos'!$D$9:$O$10,'Datos Gastos Fijos'!$D$13:$O$13,'Datos Gastos Fijos'!$D$20:$O$20</definedName>
    <definedName name="CNV_Inversiones" localSheetId="8">Amortizaciones!$B$9:$B$17,Amortizaciones!#REF!,Amortizaciones!#REF!,Amortizaciones!#REF!,Amortizaciones!#REF!,Amortizaciones!#REF!,Amortizaciones!#REF!,Amortizaciones!$C$10:$C$17,Amortizaciones!#REF!,Amortizaciones!#REF!</definedName>
    <definedName name="euro" localSheetId="7">Parametros!#REF!</definedName>
    <definedName name="euro">Parametros!$F$9</definedName>
    <definedName name="euro_divisa" localSheetId="7">Parametros!#REF!</definedName>
    <definedName name="Interes" localSheetId="21">#REF!</definedName>
    <definedName name="Interes" localSheetId="29">#REF!</definedName>
    <definedName name="Interes" localSheetId="30">#REF!</definedName>
    <definedName name="Interes" localSheetId="31">#REF!</definedName>
    <definedName name="Interes" localSheetId="32">#REF!</definedName>
    <definedName name="Interes" localSheetId="33">#REF!</definedName>
    <definedName name="Interes" localSheetId="39">#REF!</definedName>
    <definedName name="interes1" localSheetId="21">#REF!</definedName>
    <definedName name="interes1" localSheetId="29">#REF!</definedName>
    <definedName name="interes1" localSheetId="30">#REF!</definedName>
    <definedName name="interes1" localSheetId="31">#REF!</definedName>
    <definedName name="interes1" localSheetId="32">#REF!</definedName>
    <definedName name="interes1" localSheetId="33">#REF!</definedName>
    <definedName name="interes1" localSheetId="39">#REF!</definedName>
    <definedName name="inv_propia" localSheetId="81">'[1]Financiación Inicial'!$B$8:$B$13</definedName>
    <definedName name="inv_propia">'Financiación Inicial'!$B$8:$B$13</definedName>
    <definedName name="irpf" localSheetId="81">'[1]Datos Básicos'!$I$25</definedName>
    <definedName name="irpf" localSheetId="16">'Datos Básicos'!$I$25</definedName>
    <definedName name="irpf">'Datos Básicos'!$I$25</definedName>
    <definedName name="isoc" localSheetId="81">'[1]Datos Básicos'!$B$25</definedName>
    <definedName name="isoc">'Datos Básicos'!$B$25</definedName>
    <definedName name="ITP">'Datos Básicos'!$D$54</definedName>
    <definedName name="mes0" localSheetId="81">'[1]Datos Básicos'!$C$19</definedName>
    <definedName name="mes0" localSheetId="72">'[2]Transitorio Inicial'!$F$4</definedName>
    <definedName name="mes0">'Datos Básicos'!$C$19</definedName>
    <definedName name="Moneda" localSheetId="81">[1]Parametros!$F$6</definedName>
    <definedName name="Moneda" localSheetId="7">Parametros!#REF!</definedName>
    <definedName name="Moneda" localSheetId="16">Parametros!$F$6</definedName>
    <definedName name="Moneda">Parametros!$F$6</definedName>
    <definedName name="pcent_ini_sueldosocios" localSheetId="17">Plantilla!#REF!</definedName>
    <definedName name="pcent_ini_sueldosocios" localSheetId="16">'RR HH'!#REF!</definedName>
    <definedName name="pcent_iniciales" localSheetId="17">Plantilla!#REF!</definedName>
    <definedName name="pcent_iniciales" localSheetId="16">'RR HH'!#REF!</definedName>
    <definedName name="resprevio" localSheetId="81">'[1]Financiación Inicial'!$B$11:$B$12</definedName>
    <definedName name="resprevio">'Financiación Inicial'!$B$11:$B$12</definedName>
    <definedName name="retIRPF" localSheetId="81">'[1]Datos Básicos'!$J$27</definedName>
    <definedName name="retIRPF">'Datos Básicos'!$J$27</definedName>
    <definedName name="TARIFAPLANA">'RR HH'!$L$7:$L$8</definedName>
    <definedName name="tesoreriasec" localSheetId="81">[1]Parametros!$C$10</definedName>
    <definedName name="tesoreriasec">Parametros!$C$10</definedName>
    <definedName name="_xlnm.Print_Titles" localSheetId="61">'Gastos Financieros'!$1:$4</definedName>
    <definedName name="_xlnm.Print_Titles" localSheetId="23">'Otros cobros y pagos'!$1:$3</definedName>
    <definedName name="_xlnm.Print_Titles" localSheetId="17">Plantilla!$1:$2</definedName>
    <definedName name="_xlnm.Print_Titles" localSheetId="22">'Politicas Cobros y Pagos'!$1:$2</definedName>
    <definedName name="_xlnm.Print_Titles" localSheetId="16">'RR HH'!$1:$2</definedName>
    <definedName name="Tot_ventas_año1" localSheetId="21">#REF!</definedName>
    <definedName name="Tot_ventas_año1" localSheetId="29">#REF!</definedName>
    <definedName name="Tot_ventas_año1" localSheetId="30">#REF!</definedName>
    <definedName name="Tot_ventas_año1" localSheetId="31">#REF!</definedName>
    <definedName name="Tot_ventas_año1" localSheetId="32">#REF!</definedName>
    <definedName name="Tot_ventas_año1" localSheetId="33">#REF!</definedName>
    <definedName name="Tot_ventas_año1" localSheetId="39">#REF!</definedName>
    <definedName name="version" localSheetId="81">'[1]Datos Básicos'!#REF!</definedName>
    <definedName name="version" localSheetId="7">Parametros!#REF!</definedName>
    <definedName name="version">'Datos Básicos'!#REF!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6" i="14653" l="1"/>
  <c r="C26" i="14653"/>
  <c r="D26" i="14653"/>
  <c r="E26" i="14653"/>
  <c r="E39" i="14653" s="1"/>
  <c r="E52" i="14653" s="1"/>
  <c r="E65" i="14653" s="1"/>
  <c r="F26" i="14653"/>
  <c r="G26" i="14653"/>
  <c r="H26" i="14653"/>
  <c r="I26" i="14653"/>
  <c r="I39" i="14653" s="1"/>
  <c r="I52" i="14653" s="1"/>
  <c r="I65" i="14653" s="1"/>
  <c r="J26" i="14653"/>
  <c r="K26" i="14653"/>
  <c r="L26" i="14653"/>
  <c r="M26" i="14653"/>
  <c r="M39" i="14653" s="1"/>
  <c r="M52" i="14653" s="1"/>
  <c r="M65" i="14653" s="1"/>
  <c r="B27" i="14653"/>
  <c r="C27" i="14653"/>
  <c r="D27" i="14653"/>
  <c r="E27" i="14653"/>
  <c r="F27" i="14653"/>
  <c r="G27" i="14653"/>
  <c r="H27" i="14653"/>
  <c r="I27" i="14653"/>
  <c r="J27" i="14653"/>
  <c r="K27" i="14653"/>
  <c r="L27" i="14653"/>
  <c r="M27" i="14653"/>
  <c r="B28" i="14653"/>
  <c r="C28" i="14653"/>
  <c r="D28" i="14653"/>
  <c r="E28" i="14653"/>
  <c r="F28" i="14653"/>
  <c r="G28" i="14653"/>
  <c r="H28" i="14653"/>
  <c r="I28" i="14653"/>
  <c r="J28" i="14653"/>
  <c r="K28" i="14653"/>
  <c r="L28" i="14653"/>
  <c r="M28" i="14653"/>
  <c r="B29" i="14653"/>
  <c r="C29" i="14653"/>
  <c r="D29" i="14653"/>
  <c r="E29" i="14653"/>
  <c r="F29" i="14653"/>
  <c r="G29" i="14653"/>
  <c r="H29" i="14653"/>
  <c r="I29" i="14653"/>
  <c r="J29" i="14653"/>
  <c r="K29" i="14653"/>
  <c r="L29" i="14653"/>
  <c r="M29" i="14653"/>
  <c r="B30" i="14653"/>
  <c r="C30" i="14653"/>
  <c r="D30" i="14653"/>
  <c r="E30" i="14653"/>
  <c r="F30" i="14653"/>
  <c r="G30" i="14653"/>
  <c r="H30" i="14653"/>
  <c r="I30" i="14653"/>
  <c r="J30" i="14653"/>
  <c r="K30" i="14653"/>
  <c r="L30" i="14653"/>
  <c r="M30" i="14653"/>
  <c r="B31" i="14653"/>
  <c r="C31" i="14653"/>
  <c r="D31" i="14653"/>
  <c r="E31" i="14653"/>
  <c r="F31" i="14653"/>
  <c r="G31" i="14653"/>
  <c r="H31" i="14653"/>
  <c r="I31" i="14653"/>
  <c r="J31" i="14653"/>
  <c r="K31" i="14653"/>
  <c r="L31" i="14653"/>
  <c r="M31" i="14653"/>
  <c r="B32" i="14653"/>
  <c r="C32" i="14653"/>
  <c r="D32" i="14653"/>
  <c r="E32" i="14653"/>
  <c r="F32" i="14653"/>
  <c r="G32" i="14653"/>
  <c r="H32" i="14653"/>
  <c r="I32" i="14653"/>
  <c r="J32" i="14653"/>
  <c r="K32" i="14653"/>
  <c r="L32" i="14653"/>
  <c r="M32" i="14653"/>
  <c r="C25" i="14653"/>
  <c r="D25" i="14653"/>
  <c r="E25" i="14653"/>
  <c r="F25" i="14653"/>
  <c r="F38" i="14653" s="1"/>
  <c r="F51" i="14653" s="1"/>
  <c r="F64" i="14653" s="1"/>
  <c r="G25" i="14653"/>
  <c r="H25" i="14653"/>
  <c r="I25" i="14653"/>
  <c r="J25" i="14653"/>
  <c r="J38" i="14653" s="1"/>
  <c r="J51" i="14653" s="1"/>
  <c r="J64" i="14653" s="1"/>
  <c r="K25" i="14653"/>
  <c r="L25" i="14653"/>
  <c r="M25" i="14653"/>
  <c r="C47" i="14712"/>
  <c r="D47" i="14712"/>
  <c r="C49" i="14712"/>
  <c r="D49" i="14712"/>
  <c r="C65" i="14712"/>
  <c r="D65" i="14712"/>
  <c r="C38" i="14653"/>
  <c r="C51" i="14653" s="1"/>
  <c r="C64" i="14653" s="1"/>
  <c r="D38" i="14653"/>
  <c r="D51" i="14653" s="1"/>
  <c r="D64" i="14653" s="1"/>
  <c r="E38" i="14653"/>
  <c r="E51" i="14653" s="1"/>
  <c r="E64" i="14653" s="1"/>
  <c r="G38" i="14653"/>
  <c r="G51" i="14653" s="1"/>
  <c r="G64" i="14653" s="1"/>
  <c r="H38" i="14653"/>
  <c r="H51" i="14653" s="1"/>
  <c r="H64" i="14653" s="1"/>
  <c r="I38" i="14653"/>
  <c r="I51" i="14653" s="1"/>
  <c r="I64" i="14653" s="1"/>
  <c r="K38" i="14653"/>
  <c r="K51" i="14653" s="1"/>
  <c r="K64" i="14653" s="1"/>
  <c r="L38" i="14653"/>
  <c r="L51" i="14653" s="1"/>
  <c r="L64" i="14653" s="1"/>
  <c r="M38" i="14653"/>
  <c r="M51" i="14653" s="1"/>
  <c r="M64" i="14653" s="1"/>
  <c r="C39" i="14653"/>
  <c r="C52" i="14653" s="1"/>
  <c r="C65" i="14653" s="1"/>
  <c r="D39" i="14653"/>
  <c r="D52" i="14653" s="1"/>
  <c r="D65" i="14653" s="1"/>
  <c r="F39" i="14653"/>
  <c r="F52" i="14653" s="1"/>
  <c r="F65" i="14653" s="1"/>
  <c r="G39" i="14653"/>
  <c r="G52" i="14653" s="1"/>
  <c r="G65" i="14653" s="1"/>
  <c r="H39" i="14653"/>
  <c r="H52" i="14653" s="1"/>
  <c r="H65" i="14653" s="1"/>
  <c r="J39" i="14653"/>
  <c r="J52" i="14653" s="1"/>
  <c r="J65" i="14653" s="1"/>
  <c r="K39" i="14653"/>
  <c r="K52" i="14653" s="1"/>
  <c r="K65" i="14653" s="1"/>
  <c r="L39" i="14653"/>
  <c r="L52" i="14653" s="1"/>
  <c r="L65" i="14653" s="1"/>
  <c r="B25" i="14653"/>
  <c r="B38" i="14653" s="1"/>
  <c r="B51" i="14653" s="1"/>
  <c r="B64" i="14653" s="1"/>
  <c r="B39" i="14653"/>
  <c r="B52" i="14653" s="1"/>
  <c r="B65" i="14653" s="1"/>
  <c r="A33" i="4129" l="1"/>
  <c r="I28" i="14695" s="1"/>
  <c r="H16" i="14695" l="1"/>
  <c r="C29" i="14657"/>
  <c r="K21" i="14657" l="1"/>
  <c r="J10" i="14657"/>
  <c r="G8" i="14709" l="1"/>
  <c r="A11" i="14652" l="1"/>
  <c r="A12" i="14652"/>
  <c r="A13" i="14652"/>
  <c r="A14" i="14652"/>
  <c r="A27" i="14710"/>
  <c r="A28" i="14710"/>
  <c r="A29" i="14710"/>
  <c r="A30" i="14710"/>
  <c r="A31" i="14710"/>
  <c r="A32" i="14710"/>
  <c r="A33" i="14710"/>
  <c r="A26" i="14710"/>
  <c r="B25" i="14652" l="1"/>
  <c r="C25" i="14652" s="1"/>
  <c r="A28" i="14652"/>
  <c r="A15" i="14652"/>
  <c r="A41" i="14652" s="1"/>
  <c r="A16" i="14652"/>
  <c r="A30" i="14652" s="1"/>
  <c r="A17" i="14652"/>
  <c r="A31" i="14652" s="1"/>
  <c r="A18" i="14652"/>
  <c r="A32" i="14652" s="1"/>
  <c r="A37" i="14652"/>
  <c r="A39" i="14652"/>
  <c r="A27" i="14652"/>
  <c r="D21" i="14685"/>
  <c r="L14" i="14709"/>
  <c r="M14" i="14709" s="1"/>
  <c r="N14" i="14709" s="1"/>
  <c r="A43" i="14652" l="1"/>
  <c r="A42" i="14652"/>
  <c r="A44" i="14652"/>
  <c r="A29" i="14652"/>
  <c r="A40" i="14652"/>
  <c r="A25" i="14652"/>
  <c r="F30" i="11"/>
  <c r="C38" i="14652"/>
  <c r="B26" i="14652"/>
  <c r="C26" i="14652" s="1"/>
  <c r="B27" i="14652"/>
  <c r="C27" i="14652" s="1"/>
  <c r="B28" i="14652"/>
  <c r="C28" i="14652" s="1"/>
  <c r="B29" i="14652"/>
  <c r="C29" i="14652" s="1"/>
  <c r="B30" i="14652"/>
  <c r="C30" i="14652" s="1"/>
  <c r="B31" i="14652"/>
  <c r="C31" i="14652" s="1"/>
  <c r="B32" i="14652"/>
  <c r="C32" i="14652" s="1"/>
  <c r="H27" i="14710"/>
  <c r="H28" i="14710" s="1"/>
  <c r="H29" i="14710" s="1"/>
  <c r="H30" i="14710" s="1"/>
  <c r="H31" i="14710" s="1"/>
  <c r="H32" i="14710" s="1"/>
  <c r="H33" i="14710" s="1"/>
  <c r="G27" i="14710"/>
  <c r="G28" i="14710" s="1"/>
  <c r="G29" i="14710" s="1"/>
  <c r="G30" i="14710" s="1"/>
  <c r="G31" i="14710" s="1"/>
  <c r="G32" i="14710" s="1"/>
  <c r="G33" i="14710" s="1"/>
  <c r="F27" i="14710"/>
  <c r="F28" i="14710" s="1"/>
  <c r="F29" i="14710" s="1"/>
  <c r="F30" i="14710" s="1"/>
  <c r="F31" i="14710" s="1"/>
  <c r="F32" i="14710" s="1"/>
  <c r="F33" i="14710" s="1"/>
  <c r="E27" i="14710"/>
  <c r="E28" i="14710" s="1"/>
  <c r="E29" i="14710" s="1"/>
  <c r="E30" i="14710" s="1"/>
  <c r="E31" i="14710" s="1"/>
  <c r="E32" i="14710" s="1"/>
  <c r="E33" i="14710" s="1"/>
  <c r="D27" i="14710"/>
  <c r="D28" i="14710" s="1"/>
  <c r="D29" i="14710" s="1"/>
  <c r="D30" i="14710" s="1"/>
  <c r="D31" i="14710" s="1"/>
  <c r="D32" i="14710" s="1"/>
  <c r="D33" i="14710" s="1"/>
  <c r="C27" i="14710"/>
  <c r="C28" i="14710" s="1"/>
  <c r="B26" i="14710"/>
  <c r="I26" i="14710" s="1"/>
  <c r="J26" i="14710" s="1"/>
  <c r="B9" i="14710"/>
  <c r="D11" i="14710"/>
  <c r="E11" i="14710"/>
  <c r="D12" i="14710"/>
  <c r="E12" i="14710"/>
  <c r="D13" i="14710"/>
  <c r="E13" i="14710"/>
  <c r="D14" i="14710"/>
  <c r="E14" i="14710"/>
  <c r="G14" i="14710" s="1"/>
  <c r="I14" i="14710" s="1"/>
  <c r="D15" i="14710"/>
  <c r="E15" i="14710"/>
  <c r="G15" i="14710" s="1"/>
  <c r="I15" i="14710" s="1"/>
  <c r="D16" i="14710"/>
  <c r="D30" i="14652" s="1"/>
  <c r="E30" i="14652" s="1"/>
  <c r="E16" i="14710"/>
  <c r="D17" i="14710"/>
  <c r="D31" i="14652" s="1"/>
  <c r="E31" i="14652" s="1"/>
  <c r="E17" i="14710"/>
  <c r="G17" i="14710" s="1"/>
  <c r="I17" i="14710" s="1"/>
  <c r="D18" i="14710"/>
  <c r="D32" i="14652" s="1"/>
  <c r="E32" i="14652" s="1"/>
  <c r="E18" i="14710"/>
  <c r="G18" i="14710" s="1"/>
  <c r="I18" i="14710" s="1"/>
  <c r="A2" i="14710"/>
  <c r="C18" i="14709"/>
  <c r="L12" i="14709" s="1"/>
  <c r="M12" i="14709" s="1"/>
  <c r="N12" i="14709" s="1"/>
  <c r="P21" i="14709"/>
  <c r="W17" i="14709"/>
  <c r="X17" i="14709" s="1"/>
  <c r="R22" i="14709"/>
  <c r="Q22" i="14709"/>
  <c r="C21" i="14709"/>
  <c r="F34" i="11"/>
  <c r="B14" i="11" s="1"/>
  <c r="F16" i="14710" l="1"/>
  <c r="F30" i="14652" s="1"/>
  <c r="G30" i="14652" s="1"/>
  <c r="F17" i="14710"/>
  <c r="G16" i="14710"/>
  <c r="I16" i="14710" s="1"/>
  <c r="F18" i="14710"/>
  <c r="F15" i="14710"/>
  <c r="F13" i="14710"/>
  <c r="F12" i="14710"/>
  <c r="F11" i="14710"/>
  <c r="C29" i="14710"/>
  <c r="B28" i="14710"/>
  <c r="I28" i="14710" s="1"/>
  <c r="J28" i="14710" s="1"/>
  <c r="B27" i="14710"/>
  <c r="I27" i="14710" s="1"/>
  <c r="J27" i="14710" s="1"/>
  <c r="G13" i="14710"/>
  <c r="I13" i="14710" s="1"/>
  <c r="G11" i="14710"/>
  <c r="I11" i="14710" s="1"/>
  <c r="F14" i="14710"/>
  <c r="G12" i="14710"/>
  <c r="I12" i="14710" s="1"/>
  <c r="Q21" i="14709"/>
  <c r="R21" i="14709"/>
  <c r="B42" i="14665"/>
  <c r="C19" i="14709"/>
  <c r="C28" i="14689"/>
  <c r="C33" i="14689"/>
  <c r="C38" i="14689"/>
  <c r="C54" i="14689"/>
  <c r="C74" i="14689"/>
  <c r="D28" i="14689"/>
  <c r="D33" i="14689"/>
  <c r="D38" i="14689"/>
  <c r="D54" i="14689"/>
  <c r="D74" i="14689"/>
  <c r="D23" i="14688"/>
  <c r="D31" i="14688"/>
  <c r="D41" i="14688"/>
  <c r="D53" i="14688"/>
  <c r="D61" i="14688"/>
  <c r="D70" i="14688"/>
  <c r="E22" i="14685"/>
  <c r="B8" i="14649"/>
  <c r="B14" i="14702"/>
  <c r="D14" i="14702"/>
  <c r="B5" i="14617"/>
  <c r="B10" i="14622"/>
  <c r="B26" i="4129"/>
  <c r="A11" i="14617"/>
  <c r="O78" i="14648"/>
  <c r="O73" i="14648"/>
  <c r="O68" i="14648"/>
  <c r="O63" i="14648"/>
  <c r="O11" i="14663"/>
  <c r="N12" i="14653"/>
  <c r="B20" i="14653"/>
  <c r="F21" i="11"/>
  <c r="G30" i="11"/>
  <c r="I10" i="14685"/>
  <c r="C20" i="14695"/>
  <c r="C5" i="14708"/>
  <c r="C13" i="14708" s="1"/>
  <c r="C18" i="14708" s="1"/>
  <c r="A2" i="14708"/>
  <c r="C40" i="14707"/>
  <c r="C5" i="14707"/>
  <c r="C13" i="14707" s="1"/>
  <c r="C18" i="14707" s="1"/>
  <c r="A2" i="14707"/>
  <c r="A19" i="14683"/>
  <c r="D20" i="14653"/>
  <c r="E14" i="14652"/>
  <c r="E12" i="14652"/>
  <c r="G12" i="14652" s="1"/>
  <c r="D12" i="14652"/>
  <c r="B11" i="14686"/>
  <c r="B10" i="14686"/>
  <c r="B14" i="14686" s="1"/>
  <c r="B9" i="14686"/>
  <c r="G8" i="14686"/>
  <c r="C11" i="14686"/>
  <c r="C10" i="14686"/>
  <c r="C14" i="14686" s="1"/>
  <c r="C9" i="14686"/>
  <c r="H8" i="14686"/>
  <c r="B7" i="14686"/>
  <c r="B6" i="14686"/>
  <c r="C7" i="14686"/>
  <c r="C6" i="14686"/>
  <c r="C13" i="14686" s="1"/>
  <c r="H8" i="14693"/>
  <c r="B11" i="14693"/>
  <c r="B12" i="14693"/>
  <c r="H11" i="14693"/>
  <c r="I8" i="14693"/>
  <c r="C11" i="14693"/>
  <c r="C12" i="14693"/>
  <c r="I11" i="14693"/>
  <c r="B9" i="14693"/>
  <c r="B7" i="14693"/>
  <c r="C9" i="14693"/>
  <c r="C7" i="14693"/>
  <c r="L16" i="14662" s="1"/>
  <c r="M16" i="14662" s="1"/>
  <c r="B28" i="11"/>
  <c r="G27" i="14626" s="1"/>
  <c r="B19" i="14685"/>
  <c r="C21" i="14685"/>
  <c r="C27" i="14685"/>
  <c r="B27" i="14685"/>
  <c r="B30" i="14685" s="1"/>
  <c r="D30" i="14685" s="1"/>
  <c r="D13" i="14661" s="1"/>
  <c r="E13" i="14661" s="1"/>
  <c r="C32" i="14685"/>
  <c r="B32" i="14685"/>
  <c r="B36" i="14685" s="1"/>
  <c r="C38" i="14685"/>
  <c r="B38" i="14685"/>
  <c r="B42" i="14685" s="1"/>
  <c r="J42" i="14685" s="1"/>
  <c r="C44" i="14685"/>
  <c r="B44" i="14685"/>
  <c r="B49" i="14685" s="1"/>
  <c r="C51" i="14685"/>
  <c r="B51" i="14685"/>
  <c r="B54" i="14685" s="1"/>
  <c r="B17" i="14661" s="1"/>
  <c r="C56" i="14685"/>
  <c r="B56" i="14685"/>
  <c r="B62" i="14685" s="1"/>
  <c r="I21" i="14685"/>
  <c r="I25" i="14685" s="1"/>
  <c r="I27" i="14685"/>
  <c r="I30" i="14685" s="1"/>
  <c r="I32" i="14685"/>
  <c r="I36" i="14685" s="1"/>
  <c r="I38" i="14685"/>
  <c r="I42" i="14685" s="1"/>
  <c r="I44" i="14685"/>
  <c r="I49" i="14685" s="1"/>
  <c r="I51" i="14685"/>
  <c r="I54" i="14685" s="1"/>
  <c r="I56" i="14685"/>
  <c r="I62" i="14685" s="1"/>
  <c r="B78" i="14685"/>
  <c r="B81" i="14685" s="1"/>
  <c r="G21" i="14685"/>
  <c r="G27" i="14685"/>
  <c r="G32" i="14685"/>
  <c r="G38" i="14685"/>
  <c r="G44" i="14685"/>
  <c r="G51" i="14685"/>
  <c r="G56" i="14685"/>
  <c r="I25" i="4129"/>
  <c r="F10" i="14626" s="1"/>
  <c r="B25" i="4129"/>
  <c r="A28" i="14617" s="1"/>
  <c r="B6" i="8"/>
  <c r="C6" i="8"/>
  <c r="B5" i="7"/>
  <c r="B31" i="7" s="1"/>
  <c r="B6" i="7"/>
  <c r="B32" i="7" s="1"/>
  <c r="B7" i="7"/>
  <c r="B19" i="7" s="1"/>
  <c r="C33" i="14628" s="1"/>
  <c r="B8" i="7"/>
  <c r="B9" i="7"/>
  <c r="B10" i="7"/>
  <c r="B36" i="7" s="1"/>
  <c r="B38" i="14623" s="1"/>
  <c r="B11" i="7"/>
  <c r="B23" i="7" s="1"/>
  <c r="C37" i="14628" s="1"/>
  <c r="B12" i="7"/>
  <c r="B38" i="7" s="1"/>
  <c r="B40" i="14623" s="1"/>
  <c r="C5" i="7"/>
  <c r="C17" i="7" s="1"/>
  <c r="C6" i="7"/>
  <c r="C18" i="7" s="1"/>
  <c r="C7" i="7"/>
  <c r="C19" i="7" s="1"/>
  <c r="D33" i="14628" s="1"/>
  <c r="C8" i="7"/>
  <c r="C20" i="7" s="1"/>
  <c r="C9" i="7"/>
  <c r="C21" i="7" s="1"/>
  <c r="D35" i="14628" s="1"/>
  <c r="C10" i="7"/>
  <c r="C22" i="7" s="1"/>
  <c r="C11" i="7"/>
  <c r="C23" i="7" s="1"/>
  <c r="D37" i="14628" s="1"/>
  <c r="C12" i="7"/>
  <c r="C24" i="7" s="1"/>
  <c r="D5" i="7"/>
  <c r="D17" i="7" s="1"/>
  <c r="E31" i="14628" s="1"/>
  <c r="D6" i="7"/>
  <c r="D18" i="7" s="1"/>
  <c r="D7" i="7"/>
  <c r="D19" i="7" s="1"/>
  <c r="E33" i="14628" s="1"/>
  <c r="D8" i="7"/>
  <c r="D20" i="7" s="1"/>
  <c r="E34" i="14628" s="1"/>
  <c r="D9" i="7"/>
  <c r="D10" i="7"/>
  <c r="D22" i="7" s="1"/>
  <c r="E36" i="14628" s="1"/>
  <c r="D11" i="7"/>
  <c r="D23" i="7" s="1"/>
  <c r="E37" i="14628" s="1"/>
  <c r="D12" i="7"/>
  <c r="D24" i="7" s="1"/>
  <c r="E5" i="7"/>
  <c r="E17" i="7" s="1"/>
  <c r="F31" i="14628" s="1"/>
  <c r="E6" i="7"/>
  <c r="E18" i="7" s="1"/>
  <c r="E7" i="7"/>
  <c r="E19" i="7" s="1"/>
  <c r="F33" i="14628" s="1"/>
  <c r="E8" i="7"/>
  <c r="E20" i="7" s="1"/>
  <c r="F34" i="14628" s="1"/>
  <c r="E9" i="7"/>
  <c r="E21" i="7" s="1"/>
  <c r="F35" i="14628" s="1"/>
  <c r="E10" i="7"/>
  <c r="E22" i="7" s="1"/>
  <c r="F36" i="14628" s="1"/>
  <c r="E11" i="7"/>
  <c r="E23" i="7" s="1"/>
  <c r="F37" i="14628" s="1"/>
  <c r="E12" i="7"/>
  <c r="E24" i="7" s="1"/>
  <c r="F38" i="14628" s="1"/>
  <c r="F5" i="7"/>
  <c r="F17" i="7" s="1"/>
  <c r="F6" i="7"/>
  <c r="F18" i="7" s="1"/>
  <c r="F7" i="7"/>
  <c r="F19" i="7" s="1"/>
  <c r="F8" i="7"/>
  <c r="F20" i="7" s="1"/>
  <c r="G34" i="14628" s="1"/>
  <c r="F9" i="7"/>
  <c r="F21" i="7" s="1"/>
  <c r="G35" i="14628" s="1"/>
  <c r="F10" i="7"/>
  <c r="F22" i="7" s="1"/>
  <c r="G36" i="14628" s="1"/>
  <c r="F11" i="7"/>
  <c r="F23" i="7" s="1"/>
  <c r="F12" i="7"/>
  <c r="F24" i="7" s="1"/>
  <c r="G5" i="7"/>
  <c r="G17" i="7" s="1"/>
  <c r="G6" i="7"/>
  <c r="G18" i="7" s="1"/>
  <c r="G7" i="7"/>
  <c r="G19" i="7" s="1"/>
  <c r="H33" i="14628" s="1"/>
  <c r="G8" i="7"/>
  <c r="G20" i="7" s="1"/>
  <c r="H34" i="14628" s="1"/>
  <c r="G9" i="7"/>
  <c r="G21" i="7" s="1"/>
  <c r="G10" i="7"/>
  <c r="G22" i="7" s="1"/>
  <c r="H36" i="14628" s="1"/>
  <c r="G11" i="7"/>
  <c r="G23" i="7" s="1"/>
  <c r="G12" i="7"/>
  <c r="G24" i="7" s="1"/>
  <c r="H38" i="14628" s="1"/>
  <c r="H5" i="7"/>
  <c r="H6" i="7"/>
  <c r="H7" i="7"/>
  <c r="H19" i="7" s="1"/>
  <c r="I33" i="14628" s="1"/>
  <c r="H8" i="7"/>
  <c r="H20" i="7" s="1"/>
  <c r="I34" i="14628" s="1"/>
  <c r="H9" i="7"/>
  <c r="H21" i="7" s="1"/>
  <c r="I35" i="14628" s="1"/>
  <c r="H10" i="7"/>
  <c r="H22" i="7" s="1"/>
  <c r="I36" i="14628" s="1"/>
  <c r="H11" i="7"/>
  <c r="H23" i="7" s="1"/>
  <c r="I37" i="14628" s="1"/>
  <c r="H12" i="7"/>
  <c r="H24" i="7" s="1"/>
  <c r="I38" i="14628" s="1"/>
  <c r="I5" i="7"/>
  <c r="I6" i="7"/>
  <c r="I18" i="7" s="1"/>
  <c r="I7" i="7"/>
  <c r="I19" i="7" s="1"/>
  <c r="J33" i="14628" s="1"/>
  <c r="I8" i="7"/>
  <c r="I20" i="7" s="1"/>
  <c r="J34" i="14628" s="1"/>
  <c r="I9" i="7"/>
  <c r="I10" i="7"/>
  <c r="I22" i="7" s="1"/>
  <c r="J36" i="14628" s="1"/>
  <c r="I11" i="7"/>
  <c r="I23" i="7" s="1"/>
  <c r="J37" i="14628" s="1"/>
  <c r="I12" i="7"/>
  <c r="I24" i="7" s="1"/>
  <c r="J5" i="7"/>
  <c r="J6" i="7"/>
  <c r="J18" i="7" s="1"/>
  <c r="K32" i="14628" s="1"/>
  <c r="J7" i="7"/>
  <c r="J19" i="7" s="1"/>
  <c r="K33" i="14628" s="1"/>
  <c r="J8" i="7"/>
  <c r="J20" i="7" s="1"/>
  <c r="K34" i="14628" s="1"/>
  <c r="J9" i="7"/>
  <c r="J21" i="7" s="1"/>
  <c r="K35" i="14628" s="1"/>
  <c r="J10" i="7"/>
  <c r="J22" i="7" s="1"/>
  <c r="K36" i="14628" s="1"/>
  <c r="J11" i="7"/>
  <c r="J23" i="7" s="1"/>
  <c r="K37" i="14628" s="1"/>
  <c r="J12" i="7"/>
  <c r="J24" i="7" s="1"/>
  <c r="K38" i="14628" s="1"/>
  <c r="K5" i="7"/>
  <c r="K17" i="7" s="1"/>
  <c r="L31" i="14628" s="1"/>
  <c r="K6" i="7"/>
  <c r="K7" i="7"/>
  <c r="K33" i="7" s="1"/>
  <c r="K35" i="14623" s="1"/>
  <c r="K8" i="7"/>
  <c r="K20" i="7" s="1"/>
  <c r="L34" i="14628" s="1"/>
  <c r="K9" i="7"/>
  <c r="K10" i="7"/>
  <c r="K22" i="7" s="1"/>
  <c r="K11" i="7"/>
  <c r="K37" i="7" s="1"/>
  <c r="K39" i="14623" s="1"/>
  <c r="K12" i="7"/>
  <c r="K24" i="7" s="1"/>
  <c r="L5" i="7"/>
  <c r="L17" i="7" s="1"/>
  <c r="M31" i="14628" s="1"/>
  <c r="L6" i="7"/>
  <c r="L7" i="7"/>
  <c r="L33" i="7" s="1"/>
  <c r="L35" i="14623" s="1"/>
  <c r="L8" i="7"/>
  <c r="L20" i="7" s="1"/>
  <c r="L9" i="7"/>
  <c r="L10" i="7"/>
  <c r="L22" i="7" s="1"/>
  <c r="M36" i="14628" s="1"/>
  <c r="L11" i="7"/>
  <c r="L37" i="7" s="1"/>
  <c r="L39" i="14623" s="1"/>
  <c r="L12" i="7"/>
  <c r="L24" i="7" s="1"/>
  <c r="M38" i="14628" s="1"/>
  <c r="M5" i="7"/>
  <c r="M6" i="7"/>
  <c r="M7" i="7"/>
  <c r="M33" i="7" s="1"/>
  <c r="M35" i="14623" s="1"/>
  <c r="M8" i="7"/>
  <c r="M20" i="7" s="1"/>
  <c r="N34" i="14628" s="1"/>
  <c r="M9" i="7"/>
  <c r="M10" i="7"/>
  <c r="M22" i="7" s="1"/>
  <c r="M11" i="7"/>
  <c r="M37" i="7" s="1"/>
  <c r="M39" i="14623" s="1"/>
  <c r="M12" i="7"/>
  <c r="M24" i="7" s="1"/>
  <c r="N38" i="14628" s="1"/>
  <c r="B34" i="7"/>
  <c r="C35" i="7"/>
  <c r="C38" i="7"/>
  <c r="C40" i="14623" s="1"/>
  <c r="H8" i="14694"/>
  <c r="B11" i="14694"/>
  <c r="B12" i="14694"/>
  <c r="B15" i="14694" s="1"/>
  <c r="I8" i="14694"/>
  <c r="C11" i="14694"/>
  <c r="C12" i="14694"/>
  <c r="B10" i="14694"/>
  <c r="B7" i="14694"/>
  <c r="C10" i="14694"/>
  <c r="C7" i="14694"/>
  <c r="C9" i="14694"/>
  <c r="C8" i="14694"/>
  <c r="B8" i="14686"/>
  <c r="C8" i="14686"/>
  <c r="B10" i="14693"/>
  <c r="C10" i="14693"/>
  <c r="D54" i="4129"/>
  <c r="D11" i="14652"/>
  <c r="D25" i="14652" s="1"/>
  <c r="E25" i="14652" s="1"/>
  <c r="D13" i="14652"/>
  <c r="D27" i="14652" s="1"/>
  <c r="E27" i="14652" s="1"/>
  <c r="D14" i="14652"/>
  <c r="F14" i="14652" s="1"/>
  <c r="D15" i="14652"/>
  <c r="D29" i="14652" s="1"/>
  <c r="E29" i="14652" s="1"/>
  <c r="D16" i="14652"/>
  <c r="D17" i="14652"/>
  <c r="D18" i="14652"/>
  <c r="B31" i="14634"/>
  <c r="B12" i="14692"/>
  <c r="C12" i="14692" s="1"/>
  <c r="E12" i="14692" s="1"/>
  <c r="B13" i="14692"/>
  <c r="B17" i="14692"/>
  <c r="C17" i="14692" s="1"/>
  <c r="B18" i="14692"/>
  <c r="C18" i="14692" s="1"/>
  <c r="E18" i="14692" s="1"/>
  <c r="B19" i="14692"/>
  <c r="C19" i="14692" s="1"/>
  <c r="B20" i="14692"/>
  <c r="C20" i="14692" s="1"/>
  <c r="E20" i="14692" s="1"/>
  <c r="B21" i="14692"/>
  <c r="C21" i="14692" s="1"/>
  <c r="E21" i="14692" s="1"/>
  <c r="B22" i="14692"/>
  <c r="C22" i="14692" s="1"/>
  <c r="E22" i="14692" s="1"/>
  <c r="B27" i="14692"/>
  <c r="C27" i="14692" s="1"/>
  <c r="E27" i="14692" s="1"/>
  <c r="E24" i="14685"/>
  <c r="G24" i="14685" s="1"/>
  <c r="B28" i="14692"/>
  <c r="E28" i="14685"/>
  <c r="B32" i="14692"/>
  <c r="E29" i="14685"/>
  <c r="G29" i="14685" s="1"/>
  <c r="B33" i="14692"/>
  <c r="E33" i="14685"/>
  <c r="G33" i="14685" s="1"/>
  <c r="B37" i="14692"/>
  <c r="E34" i="14685"/>
  <c r="G34" i="14685" s="1"/>
  <c r="B38" i="14692"/>
  <c r="E35" i="14685"/>
  <c r="G35" i="14685" s="1"/>
  <c r="B39" i="14692"/>
  <c r="E39" i="14685"/>
  <c r="G39" i="14685" s="1"/>
  <c r="B43" i="14692"/>
  <c r="E40" i="14685"/>
  <c r="G40" i="14685" s="1"/>
  <c r="B44" i="14692"/>
  <c r="E41" i="14685"/>
  <c r="G41" i="14685" s="1"/>
  <c r="B45" i="14692"/>
  <c r="E45" i="14685"/>
  <c r="G45" i="14685" s="1"/>
  <c r="B49" i="14692"/>
  <c r="E46" i="14685"/>
  <c r="G46" i="14685" s="1"/>
  <c r="B50" i="14692"/>
  <c r="E47" i="14685"/>
  <c r="G47" i="14685" s="1"/>
  <c r="B51" i="14692"/>
  <c r="E48" i="14685"/>
  <c r="G48" i="14685" s="1"/>
  <c r="B52" i="14692"/>
  <c r="E52" i="14685"/>
  <c r="G52" i="14685" s="1"/>
  <c r="B56" i="14692"/>
  <c r="E53" i="14685"/>
  <c r="B57" i="14692"/>
  <c r="E57" i="14685"/>
  <c r="G57" i="14685" s="1"/>
  <c r="B61" i="14692"/>
  <c r="E59" i="14685"/>
  <c r="G59" i="14685" s="1"/>
  <c r="B63" i="14692"/>
  <c r="E60" i="14685"/>
  <c r="G60" i="14685" s="1"/>
  <c r="B64" i="14692"/>
  <c r="E61" i="14685"/>
  <c r="G61" i="14685" s="1"/>
  <c r="B65" i="14692"/>
  <c r="B76" i="14692"/>
  <c r="B77" i="14692"/>
  <c r="C77" i="14692" s="1"/>
  <c r="E77" i="14692" s="1"/>
  <c r="B78" i="14692"/>
  <c r="C78" i="14692" s="1"/>
  <c r="E78" i="14692" s="1"/>
  <c r="B79" i="14692"/>
  <c r="C79" i="14692" s="1"/>
  <c r="B5" i="14669"/>
  <c r="B6" i="14637"/>
  <c r="B40" i="14653"/>
  <c r="B42" i="14653"/>
  <c r="B55" i="14653" s="1"/>
  <c r="B68" i="14653" s="1"/>
  <c r="B9" i="14669" s="1"/>
  <c r="B43" i="14653"/>
  <c r="B45" i="14653"/>
  <c r="B12" i="14637" s="1"/>
  <c r="C6" i="14637"/>
  <c r="C40" i="14653"/>
  <c r="C41" i="14653"/>
  <c r="C42" i="14653"/>
  <c r="C43" i="14653"/>
  <c r="C56" i="14653" s="1"/>
  <c r="C45" i="14653"/>
  <c r="C58" i="14653" s="1"/>
  <c r="C12" i="14668" s="1"/>
  <c r="D5" i="14637"/>
  <c r="D40" i="14653"/>
  <c r="D41" i="14653"/>
  <c r="D42" i="14653"/>
  <c r="D43" i="14653"/>
  <c r="D44" i="14653"/>
  <c r="D11" i="14637" s="1"/>
  <c r="D45" i="14653"/>
  <c r="D58" i="14653" s="1"/>
  <c r="E5" i="14668"/>
  <c r="E40" i="14653"/>
  <c r="E41" i="14653"/>
  <c r="E42" i="14653"/>
  <c r="E44" i="14653"/>
  <c r="E45" i="14653"/>
  <c r="F40" i="14653"/>
  <c r="F7" i="14637" s="1"/>
  <c r="F41" i="14653"/>
  <c r="F8" i="14637" s="1"/>
  <c r="F43" i="14653"/>
  <c r="F56" i="14653" s="1"/>
  <c r="F69" i="14653" s="1"/>
  <c r="F10" i="14669" s="1"/>
  <c r="F44" i="14653"/>
  <c r="F45" i="14653"/>
  <c r="G5" i="14637"/>
  <c r="G6" i="14637"/>
  <c r="G40" i="14653"/>
  <c r="G53" i="14653" s="1"/>
  <c r="G66" i="14653" s="1"/>
  <c r="G7" i="14669" s="1"/>
  <c r="G41" i="14653"/>
  <c r="G8" i="14637" s="1"/>
  <c r="G43" i="14653"/>
  <c r="G10" i="14637" s="1"/>
  <c r="G44" i="14653"/>
  <c r="G45" i="14653"/>
  <c r="H5" i="14637"/>
  <c r="H6" i="14669"/>
  <c r="H40" i="14653"/>
  <c r="H41" i="14653"/>
  <c r="H8" i="14637" s="1"/>
  <c r="H42" i="14653"/>
  <c r="H43" i="14653"/>
  <c r="H56" i="14653" s="1"/>
  <c r="H44" i="14653"/>
  <c r="H45" i="14653"/>
  <c r="I40" i="14653"/>
  <c r="I41" i="14653"/>
  <c r="I54" i="14653" s="1"/>
  <c r="I43" i="14653"/>
  <c r="I44" i="14653"/>
  <c r="I45" i="14653"/>
  <c r="I58" i="14653" s="1"/>
  <c r="J5" i="14637"/>
  <c r="J6" i="14637"/>
  <c r="J40" i="14653"/>
  <c r="J53" i="14653" s="1"/>
  <c r="J7" i="14668" s="1"/>
  <c r="J41" i="14653"/>
  <c r="J42" i="14653"/>
  <c r="J55" i="14653" s="1"/>
  <c r="J43" i="14653"/>
  <c r="J44" i="14653"/>
  <c r="J45" i="14653"/>
  <c r="K6" i="14637"/>
  <c r="K40" i="14653"/>
  <c r="K7" i="14637" s="1"/>
  <c r="K41" i="14653"/>
  <c r="K8" i="14637" s="1"/>
  <c r="K42" i="14653"/>
  <c r="K43" i="14653"/>
  <c r="K56" i="14653" s="1"/>
  <c r="K44" i="14653"/>
  <c r="K45" i="14653"/>
  <c r="L40" i="14653"/>
  <c r="L7" i="14637" s="1"/>
  <c r="L41" i="14653"/>
  <c r="L54" i="14653" s="1"/>
  <c r="L42" i="14653"/>
  <c r="L55" i="14653" s="1"/>
  <c r="L68" i="14653" s="1"/>
  <c r="L9" i="14669" s="1"/>
  <c r="L43" i="14653"/>
  <c r="L44" i="14653"/>
  <c r="L45" i="14653"/>
  <c r="L58" i="14653" s="1"/>
  <c r="M6" i="14637"/>
  <c r="M40" i="14653"/>
  <c r="M41" i="14653"/>
  <c r="M42" i="14653"/>
  <c r="M55" i="14653" s="1"/>
  <c r="M9" i="14668" s="1"/>
  <c r="M43" i="14653"/>
  <c r="M44" i="14653"/>
  <c r="M45" i="14653"/>
  <c r="M12" i="14637" s="1"/>
  <c r="E11" i="14652"/>
  <c r="G11" i="14652" s="1"/>
  <c r="I11" i="14652" s="1"/>
  <c r="E13" i="14652"/>
  <c r="G14" i="14652"/>
  <c r="E15" i="14652"/>
  <c r="E16" i="14652"/>
  <c r="E17" i="14652"/>
  <c r="G17" i="14652" s="1"/>
  <c r="I17" i="14652" s="1"/>
  <c r="E18" i="14652"/>
  <c r="C15" i="14695"/>
  <c r="D15" i="14695" s="1"/>
  <c r="B16" i="14663"/>
  <c r="C16" i="14663" s="1"/>
  <c r="C16" i="14695"/>
  <c r="B17" i="14663"/>
  <c r="C17" i="14663" s="1"/>
  <c r="C27" i="14695"/>
  <c r="D14" i="14665"/>
  <c r="E14" i="14665" s="1"/>
  <c r="B21" i="14624"/>
  <c r="B4" i="14629"/>
  <c r="B22" i="14624"/>
  <c r="C21" i="14695"/>
  <c r="D21" i="14695" s="1"/>
  <c r="E21" i="14695" s="1"/>
  <c r="F21" i="14695" s="1"/>
  <c r="D8" i="14655"/>
  <c r="C27" i="14624" s="1"/>
  <c r="E8" i="14655"/>
  <c r="D27" i="14624" s="1"/>
  <c r="F8" i="14655"/>
  <c r="E27" i="14624" s="1"/>
  <c r="G8" i="14655"/>
  <c r="F27" i="14624" s="1"/>
  <c r="H8" i="14655"/>
  <c r="G27" i="14624" s="1"/>
  <c r="I8" i="14655"/>
  <c r="H27" i="14624" s="1"/>
  <c r="J8" i="14655"/>
  <c r="I27" i="14624" s="1"/>
  <c r="K8" i="14655"/>
  <c r="J27" i="14624" s="1"/>
  <c r="L8" i="14655"/>
  <c r="K27" i="14624" s="1"/>
  <c r="M8" i="14655"/>
  <c r="L27" i="14624" s="1"/>
  <c r="N8" i="14655"/>
  <c r="M27" i="14624" s="1"/>
  <c r="O8" i="14655"/>
  <c r="N27" i="14624" s="1"/>
  <c r="D9" i="14655"/>
  <c r="E9" i="14655"/>
  <c r="D28" i="14624" s="1"/>
  <c r="F9" i="14655"/>
  <c r="E28" i="14624" s="1"/>
  <c r="G9" i="14655"/>
  <c r="H9" i="14655"/>
  <c r="G28" i="14624" s="1"/>
  <c r="I9" i="14655"/>
  <c r="H28" i="14624" s="1"/>
  <c r="J9" i="14655"/>
  <c r="I28" i="14624" s="1"/>
  <c r="K9" i="14655"/>
  <c r="J28" i="14624" s="1"/>
  <c r="L9" i="14655"/>
  <c r="K28" i="14624" s="1"/>
  <c r="M9" i="14655"/>
  <c r="L28" i="14624" s="1"/>
  <c r="N9" i="14655"/>
  <c r="M28" i="14624" s="1"/>
  <c r="O9" i="14655"/>
  <c r="N28" i="14624" s="1"/>
  <c r="D10" i="14655"/>
  <c r="C29" i="14624" s="1"/>
  <c r="E10" i="14655"/>
  <c r="D29" i="14624" s="1"/>
  <c r="F10" i="14655"/>
  <c r="E29" i="14624" s="1"/>
  <c r="G10" i="14655"/>
  <c r="F29" i="14624" s="1"/>
  <c r="H10" i="14655"/>
  <c r="G29" i="14624" s="1"/>
  <c r="I10" i="14655"/>
  <c r="H29" i="14624" s="1"/>
  <c r="J10" i="14655"/>
  <c r="I29" i="14624" s="1"/>
  <c r="K10" i="14655"/>
  <c r="J29" i="14624" s="1"/>
  <c r="L10" i="14655"/>
  <c r="K29" i="14624" s="1"/>
  <c r="M10" i="14655"/>
  <c r="L29" i="14624" s="1"/>
  <c r="N10" i="14655"/>
  <c r="M29" i="14624" s="1"/>
  <c r="O10" i="14655"/>
  <c r="N29" i="14624" s="1"/>
  <c r="D11" i="14655"/>
  <c r="C30" i="14624" s="1"/>
  <c r="E11" i="14655"/>
  <c r="D30" i="14624" s="1"/>
  <c r="F11" i="14655"/>
  <c r="E30" i="14624" s="1"/>
  <c r="G11" i="14655"/>
  <c r="F30" i="14624" s="1"/>
  <c r="H11" i="14655"/>
  <c r="G30" i="14624" s="1"/>
  <c r="I11" i="14655"/>
  <c r="H30" i="14624" s="1"/>
  <c r="J11" i="14655"/>
  <c r="I30" i="14624" s="1"/>
  <c r="K11" i="14655"/>
  <c r="J30" i="14624" s="1"/>
  <c r="L11" i="14655"/>
  <c r="K30" i="14624" s="1"/>
  <c r="M11" i="14655"/>
  <c r="L30" i="14624" s="1"/>
  <c r="N11" i="14655"/>
  <c r="M30" i="14624" s="1"/>
  <c r="O11" i="14655"/>
  <c r="N30" i="14624" s="1"/>
  <c r="D12" i="14655"/>
  <c r="C31" i="14624" s="1"/>
  <c r="E12" i="14655"/>
  <c r="D31" i="14624" s="1"/>
  <c r="F12" i="14655"/>
  <c r="E31" i="14624" s="1"/>
  <c r="G12" i="14655"/>
  <c r="F31" i="14624" s="1"/>
  <c r="H12" i="14655"/>
  <c r="G31" i="14624" s="1"/>
  <c r="I12" i="14655"/>
  <c r="H31" i="14624" s="1"/>
  <c r="J12" i="14655"/>
  <c r="I31" i="14624" s="1"/>
  <c r="K12" i="14655"/>
  <c r="J31" i="14624" s="1"/>
  <c r="L12" i="14655"/>
  <c r="K31" i="14624" s="1"/>
  <c r="M12" i="14655"/>
  <c r="L31" i="14624" s="1"/>
  <c r="N12" i="14655"/>
  <c r="M31" i="14624" s="1"/>
  <c r="O12" i="14655"/>
  <c r="N31" i="14624" s="1"/>
  <c r="D13" i="14655"/>
  <c r="C32" i="14624" s="1"/>
  <c r="E13" i="14655"/>
  <c r="D32" i="14624" s="1"/>
  <c r="F13" i="14655"/>
  <c r="E32" i="14624" s="1"/>
  <c r="G13" i="14655"/>
  <c r="F32" i="14624" s="1"/>
  <c r="H13" i="14655"/>
  <c r="G32" i="14624" s="1"/>
  <c r="I13" i="14655"/>
  <c r="H32" i="14624" s="1"/>
  <c r="J13" i="14655"/>
  <c r="I32" i="14624" s="1"/>
  <c r="K13" i="14655"/>
  <c r="J32" i="14624" s="1"/>
  <c r="L13" i="14655"/>
  <c r="K32" i="14624" s="1"/>
  <c r="M13" i="14655"/>
  <c r="L32" i="14624" s="1"/>
  <c r="N13" i="14655"/>
  <c r="M32" i="14624" s="1"/>
  <c r="O13" i="14655"/>
  <c r="N32" i="14624" s="1"/>
  <c r="D14" i="14655"/>
  <c r="C33" i="14624" s="1"/>
  <c r="E14" i="14655"/>
  <c r="D33" i="14624" s="1"/>
  <c r="F14" i="14655"/>
  <c r="E33" i="14624" s="1"/>
  <c r="G14" i="14655"/>
  <c r="F33" i="14624" s="1"/>
  <c r="H14" i="14655"/>
  <c r="G33" i="14624" s="1"/>
  <c r="I14" i="14655"/>
  <c r="H33" i="14624" s="1"/>
  <c r="J14" i="14655"/>
  <c r="I33" i="14624" s="1"/>
  <c r="K14" i="14655"/>
  <c r="J33" i="14624" s="1"/>
  <c r="L14" i="14655"/>
  <c r="K33" i="14624" s="1"/>
  <c r="M14" i="14655"/>
  <c r="L33" i="14624" s="1"/>
  <c r="N14" i="14655"/>
  <c r="M33" i="14624" s="1"/>
  <c r="O14" i="14655"/>
  <c r="N33" i="14624" s="1"/>
  <c r="D15" i="14655"/>
  <c r="C34" i="14624" s="1"/>
  <c r="E15" i="14655"/>
  <c r="D34" i="14624" s="1"/>
  <c r="F15" i="14655"/>
  <c r="G15" i="14655"/>
  <c r="F34" i="14624" s="1"/>
  <c r="H15" i="14655"/>
  <c r="G34" i="14624" s="1"/>
  <c r="I15" i="14655"/>
  <c r="H34" i="14624" s="1"/>
  <c r="J15" i="14655"/>
  <c r="I34" i="14624" s="1"/>
  <c r="K15" i="14655"/>
  <c r="J34" i="14624" s="1"/>
  <c r="L15" i="14655"/>
  <c r="K34" i="14624" s="1"/>
  <c r="M15" i="14655"/>
  <c r="L34" i="14624" s="1"/>
  <c r="N15" i="14655"/>
  <c r="M34" i="14624" s="1"/>
  <c r="O15" i="14655"/>
  <c r="N34" i="14624" s="1"/>
  <c r="D16" i="14655"/>
  <c r="C35" i="14624" s="1"/>
  <c r="E16" i="14655"/>
  <c r="D35" i="14624" s="1"/>
  <c r="F16" i="14655"/>
  <c r="E35" i="14624" s="1"/>
  <c r="G16" i="14655"/>
  <c r="F35" i="14624" s="1"/>
  <c r="H16" i="14655"/>
  <c r="G35" i="14624" s="1"/>
  <c r="I16" i="14655"/>
  <c r="H35" i="14624" s="1"/>
  <c r="J16" i="14655"/>
  <c r="I35" i="14624" s="1"/>
  <c r="K16" i="14655"/>
  <c r="J35" i="14624" s="1"/>
  <c r="L16" i="14655"/>
  <c r="K35" i="14624" s="1"/>
  <c r="M16" i="14655"/>
  <c r="L35" i="14624" s="1"/>
  <c r="N16" i="14655"/>
  <c r="M35" i="14624" s="1"/>
  <c r="O16" i="14655"/>
  <c r="N35" i="14624" s="1"/>
  <c r="D17" i="14655"/>
  <c r="C36" i="14624" s="1"/>
  <c r="E17" i="14655"/>
  <c r="D36" i="14624" s="1"/>
  <c r="F17" i="14655"/>
  <c r="E36" i="14624" s="1"/>
  <c r="G17" i="14655"/>
  <c r="F36" i="14624" s="1"/>
  <c r="H17" i="14655"/>
  <c r="G36" i="14624" s="1"/>
  <c r="I17" i="14655"/>
  <c r="H36" i="14624" s="1"/>
  <c r="J17" i="14655"/>
  <c r="I36" i="14624" s="1"/>
  <c r="K17" i="14655"/>
  <c r="J36" i="14624" s="1"/>
  <c r="L17" i="14655"/>
  <c r="K36" i="14624" s="1"/>
  <c r="M17" i="14655"/>
  <c r="L36" i="14624" s="1"/>
  <c r="N17" i="14655"/>
  <c r="M36" i="14624" s="1"/>
  <c r="O17" i="14655"/>
  <c r="N36" i="14624" s="1"/>
  <c r="D18" i="14655"/>
  <c r="C37" i="14624" s="1"/>
  <c r="E18" i="14655"/>
  <c r="D37" i="14624" s="1"/>
  <c r="F18" i="14655"/>
  <c r="E37" i="14624" s="1"/>
  <c r="G18" i="14655"/>
  <c r="F37" i="14624" s="1"/>
  <c r="H18" i="14655"/>
  <c r="G37" i="14624" s="1"/>
  <c r="I18" i="14655"/>
  <c r="H37" i="14624" s="1"/>
  <c r="J18" i="14655"/>
  <c r="I37" i="14624" s="1"/>
  <c r="K18" i="14655"/>
  <c r="J37" i="14624" s="1"/>
  <c r="L18" i="14655"/>
  <c r="K37" i="14624" s="1"/>
  <c r="M18" i="14655"/>
  <c r="L37" i="14624" s="1"/>
  <c r="N18" i="14655"/>
  <c r="M37" i="14624" s="1"/>
  <c r="O18" i="14655"/>
  <c r="D19" i="14655"/>
  <c r="C38" i="14624" s="1"/>
  <c r="E19" i="14655"/>
  <c r="D38" i="14624" s="1"/>
  <c r="F19" i="14655"/>
  <c r="E38" i="14624" s="1"/>
  <c r="G19" i="14655"/>
  <c r="F38" i="14624" s="1"/>
  <c r="H19" i="14655"/>
  <c r="G38" i="14624" s="1"/>
  <c r="I19" i="14655"/>
  <c r="H38" i="14624" s="1"/>
  <c r="J19" i="14655"/>
  <c r="I38" i="14624" s="1"/>
  <c r="K19" i="14655"/>
  <c r="J38" i="14624" s="1"/>
  <c r="L19" i="14655"/>
  <c r="K38" i="14624" s="1"/>
  <c r="M19" i="14655"/>
  <c r="L38" i="14624" s="1"/>
  <c r="N19" i="14655"/>
  <c r="M38" i="14624" s="1"/>
  <c r="O19" i="14655"/>
  <c r="N38" i="14624" s="1"/>
  <c r="D20" i="14655"/>
  <c r="C39" i="14624" s="1"/>
  <c r="E20" i="14655"/>
  <c r="D39" i="14624" s="1"/>
  <c r="F20" i="14655"/>
  <c r="E39" i="14624" s="1"/>
  <c r="G20" i="14655"/>
  <c r="F39" i="14624" s="1"/>
  <c r="H20" i="14655"/>
  <c r="G39" i="14624" s="1"/>
  <c r="I20" i="14655"/>
  <c r="H39" i="14624" s="1"/>
  <c r="J20" i="14655"/>
  <c r="I39" i="14624" s="1"/>
  <c r="K20" i="14655"/>
  <c r="J39" i="14624" s="1"/>
  <c r="L20" i="14655"/>
  <c r="K39" i="14624" s="1"/>
  <c r="M20" i="14655"/>
  <c r="L39" i="14624" s="1"/>
  <c r="N20" i="14655"/>
  <c r="M39" i="14624" s="1"/>
  <c r="O20" i="14655"/>
  <c r="N39" i="14624" s="1"/>
  <c r="D21" i="14655"/>
  <c r="C40" i="14624" s="1"/>
  <c r="E21" i="14655"/>
  <c r="D40" i="14624" s="1"/>
  <c r="F21" i="14655"/>
  <c r="E40" i="14624" s="1"/>
  <c r="G21" i="14655"/>
  <c r="F40" i="14624" s="1"/>
  <c r="H21" i="14655"/>
  <c r="G40" i="14624" s="1"/>
  <c r="I21" i="14655"/>
  <c r="H40" i="14624" s="1"/>
  <c r="J21" i="14655"/>
  <c r="I40" i="14624" s="1"/>
  <c r="K21" i="14655"/>
  <c r="J40" i="14624" s="1"/>
  <c r="L21" i="14655"/>
  <c r="K40" i="14624" s="1"/>
  <c r="M21" i="14655"/>
  <c r="L40" i="14624" s="1"/>
  <c r="N21" i="14655"/>
  <c r="M40" i="14624" s="1"/>
  <c r="O21" i="14655"/>
  <c r="N40" i="14624" s="1"/>
  <c r="D22" i="14655"/>
  <c r="C41" i="14624" s="1"/>
  <c r="E22" i="14655"/>
  <c r="D41" i="14624" s="1"/>
  <c r="F22" i="14655"/>
  <c r="E41" i="14624" s="1"/>
  <c r="G22" i="14655"/>
  <c r="F41" i="14624" s="1"/>
  <c r="H22" i="14655"/>
  <c r="G41" i="14624" s="1"/>
  <c r="I22" i="14655"/>
  <c r="H41" i="14624" s="1"/>
  <c r="J22" i="14655"/>
  <c r="I41" i="14624" s="1"/>
  <c r="K22" i="14655"/>
  <c r="J41" i="14624" s="1"/>
  <c r="L22" i="14655"/>
  <c r="K41" i="14624" s="1"/>
  <c r="M22" i="14655"/>
  <c r="L41" i="14624" s="1"/>
  <c r="N22" i="14655"/>
  <c r="M41" i="14624" s="1"/>
  <c r="O22" i="14655"/>
  <c r="N41" i="14624" s="1"/>
  <c r="D23" i="14655"/>
  <c r="C42" i="14624" s="1"/>
  <c r="E23" i="14655"/>
  <c r="D42" i="14624" s="1"/>
  <c r="F23" i="14655"/>
  <c r="E42" i="14624" s="1"/>
  <c r="G23" i="14655"/>
  <c r="F42" i="14624" s="1"/>
  <c r="H23" i="14655"/>
  <c r="G42" i="14624" s="1"/>
  <c r="I23" i="14655"/>
  <c r="H42" i="14624" s="1"/>
  <c r="J23" i="14655"/>
  <c r="I42" i="14624" s="1"/>
  <c r="K23" i="14655"/>
  <c r="J42" i="14624" s="1"/>
  <c r="L23" i="14655"/>
  <c r="K42" i="14624" s="1"/>
  <c r="M23" i="14655"/>
  <c r="N23" i="14655"/>
  <c r="M42" i="14624" s="1"/>
  <c r="O23" i="14655"/>
  <c r="N42" i="14624" s="1"/>
  <c r="D24" i="14655"/>
  <c r="C43" i="14624" s="1"/>
  <c r="E24" i="14655"/>
  <c r="D43" i="14624" s="1"/>
  <c r="F24" i="14655"/>
  <c r="E43" i="14624" s="1"/>
  <c r="G24" i="14655"/>
  <c r="F43" i="14624" s="1"/>
  <c r="H24" i="14655"/>
  <c r="G43" i="14624" s="1"/>
  <c r="I24" i="14655"/>
  <c r="H43" i="14624" s="1"/>
  <c r="J24" i="14655"/>
  <c r="I43" i="14624" s="1"/>
  <c r="K24" i="14655"/>
  <c r="J43" i="14624" s="1"/>
  <c r="L24" i="14655"/>
  <c r="K43" i="14624" s="1"/>
  <c r="M24" i="14655"/>
  <c r="L43" i="14624" s="1"/>
  <c r="N24" i="14655"/>
  <c r="M43" i="14624" s="1"/>
  <c r="O24" i="14655"/>
  <c r="N43" i="14624" s="1"/>
  <c r="D25" i="14655"/>
  <c r="C44" i="14624" s="1"/>
  <c r="E25" i="14655"/>
  <c r="D44" i="14624" s="1"/>
  <c r="F25" i="14655"/>
  <c r="E44" i="14624" s="1"/>
  <c r="G25" i="14655"/>
  <c r="F44" i="14624" s="1"/>
  <c r="H25" i="14655"/>
  <c r="G44" i="14624" s="1"/>
  <c r="I25" i="14655"/>
  <c r="H44" i="14624" s="1"/>
  <c r="J25" i="14655"/>
  <c r="I44" i="14624" s="1"/>
  <c r="K25" i="14655"/>
  <c r="J44" i="14624" s="1"/>
  <c r="L25" i="14655"/>
  <c r="K44" i="14624" s="1"/>
  <c r="M25" i="14655"/>
  <c r="L44" i="14624" s="1"/>
  <c r="N25" i="14655"/>
  <c r="M44" i="14624" s="1"/>
  <c r="O25" i="14655"/>
  <c r="N44" i="14624" s="1"/>
  <c r="B5" i="14630"/>
  <c r="B17" i="14630" s="1"/>
  <c r="C31" i="14634" s="1"/>
  <c r="B6" i="14630"/>
  <c r="B10" i="14630"/>
  <c r="B22" i="14630" s="1"/>
  <c r="C36" i="14634" s="1"/>
  <c r="B11" i="14630"/>
  <c r="B23" i="14630" s="1"/>
  <c r="C37" i="14634" s="1"/>
  <c r="C5" i="14630"/>
  <c r="C17" i="14630" s="1"/>
  <c r="D31" i="14634" s="1"/>
  <c r="C6" i="14630"/>
  <c r="C18" i="14630" s="1"/>
  <c r="D32" i="14634" s="1"/>
  <c r="C10" i="14630"/>
  <c r="C36" i="14630" s="1"/>
  <c r="D5" i="14630"/>
  <c r="D17" i="14630" s="1"/>
  <c r="E31" i="14634" s="1"/>
  <c r="D6" i="14630"/>
  <c r="D10" i="14630"/>
  <c r="F11" i="14630"/>
  <c r="F23" i="14630" s="1"/>
  <c r="G37" i="14634" s="1"/>
  <c r="F12" i="14630"/>
  <c r="F24" i="14630" s="1"/>
  <c r="G38" i="14634" s="1"/>
  <c r="G11" i="14630"/>
  <c r="G12" i="14630"/>
  <c r="H8" i="14630"/>
  <c r="H20" i="14630" s="1"/>
  <c r="I34" i="14634" s="1"/>
  <c r="H11" i="14630"/>
  <c r="I11" i="14630"/>
  <c r="I23" i="14630" s="1"/>
  <c r="J37" i="14634" s="1"/>
  <c r="J10" i="14630"/>
  <c r="K7" i="14630"/>
  <c r="K11" i="14630"/>
  <c r="K23" i="14630" s="1"/>
  <c r="L37" i="14634" s="1"/>
  <c r="L12" i="14630"/>
  <c r="M11" i="14630"/>
  <c r="B11" i="14624"/>
  <c r="B15" i="14624"/>
  <c r="B18" i="14624"/>
  <c r="B76" i="14685"/>
  <c r="B10" i="14685"/>
  <c r="B9" i="14661"/>
  <c r="E8" i="14685"/>
  <c r="G8" i="14685" s="1"/>
  <c r="E9" i="14685"/>
  <c r="G9" i="14685" s="1"/>
  <c r="E13" i="14685"/>
  <c r="G13" i="14685" s="1"/>
  <c r="E14" i="14685"/>
  <c r="G14" i="14685" s="1"/>
  <c r="E15" i="14685"/>
  <c r="E16" i="14685"/>
  <c r="G16" i="14685" s="1"/>
  <c r="E17" i="14685"/>
  <c r="G17" i="14685" s="1"/>
  <c r="E18" i="14685"/>
  <c r="G18" i="14685" s="1"/>
  <c r="B25" i="14685"/>
  <c r="J25" i="14685" s="1"/>
  <c r="E58" i="14685"/>
  <c r="G58" i="14685" s="1"/>
  <c r="C18" i="14694"/>
  <c r="D18" i="14694" s="1"/>
  <c r="E18" i="14694" s="1"/>
  <c r="F18" i="14694" s="1"/>
  <c r="G18" i="14694" s="1"/>
  <c r="H18" i="14694" s="1"/>
  <c r="I18" i="14694" s="1"/>
  <c r="J18" i="14694" s="1"/>
  <c r="K18" i="14694" s="1"/>
  <c r="L18" i="14694" s="1"/>
  <c r="M18" i="14694" s="1"/>
  <c r="B57" i="14648"/>
  <c r="B62" i="14648" s="1"/>
  <c r="B67" i="14648" s="1"/>
  <c r="B72" i="14648" s="1"/>
  <c r="B77" i="14648" s="1"/>
  <c r="I19" i="14685"/>
  <c r="B7" i="14622"/>
  <c r="B15" i="14667" s="1"/>
  <c r="B15" i="14701" s="1"/>
  <c r="G23" i="14685"/>
  <c r="G53" i="14685"/>
  <c r="G72" i="14685"/>
  <c r="G73" i="14685"/>
  <c r="G74" i="14685"/>
  <c r="G75" i="14685"/>
  <c r="C17" i="4129"/>
  <c r="I1" i="14631" s="1"/>
  <c r="B6" i="14704"/>
  <c r="A2" i="14706" s="1"/>
  <c r="G9" i="14706"/>
  <c r="D9" i="14706"/>
  <c r="A9" i="14706"/>
  <c r="G1" i="14706"/>
  <c r="D1" i="14706"/>
  <c r="A1" i="14706"/>
  <c r="B38" i="14667"/>
  <c r="B38" i="14701" s="1"/>
  <c r="B39" i="14667"/>
  <c r="B39" i="14701" s="1"/>
  <c r="B40" i="14667"/>
  <c r="B40" i="14701" s="1"/>
  <c r="B41" i="14701"/>
  <c r="B34" i="14667"/>
  <c r="B34" i="14701" s="1"/>
  <c r="L33" i="14702"/>
  <c r="N68" i="14645"/>
  <c r="D34" i="14667" s="1"/>
  <c r="N79" i="14645"/>
  <c r="N90" i="14645"/>
  <c r="H34" i="14702" s="1"/>
  <c r="L34" i="14702"/>
  <c r="H33" i="14702"/>
  <c r="B13" i="14665"/>
  <c r="B28" i="14667"/>
  <c r="N9" i="14645"/>
  <c r="N67" i="14645"/>
  <c r="B30" i="14701"/>
  <c r="B17" i="14667"/>
  <c r="B18" i="14701"/>
  <c r="B19" i="14701"/>
  <c r="B11" i="14648"/>
  <c r="B50" i="14629"/>
  <c r="I26" i="4129"/>
  <c r="J27" i="4129" s="1"/>
  <c r="D19" i="14667"/>
  <c r="C19" i="14701" s="1"/>
  <c r="C41" i="14665"/>
  <c r="D41" i="14665" s="1"/>
  <c r="D42" i="14665" s="1"/>
  <c r="B33" i="14639"/>
  <c r="B38" i="14639"/>
  <c r="B37" i="14639"/>
  <c r="B36" i="14639"/>
  <c r="B35" i="14639"/>
  <c r="B34" i="14639"/>
  <c r="H57" i="14645"/>
  <c r="B33" i="14674"/>
  <c r="B38" i="14674"/>
  <c r="B37" i="14674"/>
  <c r="B36" i="14674"/>
  <c r="B35" i="14674"/>
  <c r="B34" i="14674"/>
  <c r="B33" i="14675"/>
  <c r="B38" i="14675"/>
  <c r="B37" i="14675"/>
  <c r="B36" i="14675"/>
  <c r="B35" i="14675"/>
  <c r="B34" i="14675"/>
  <c r="B33" i="14634"/>
  <c r="B38" i="14634"/>
  <c r="B37" i="14634"/>
  <c r="B36" i="14634"/>
  <c r="B35" i="14634"/>
  <c r="B34" i="14634"/>
  <c r="F7" i="14703"/>
  <c r="B24" i="14703"/>
  <c r="F24" i="14703" s="1"/>
  <c r="D9" i="14703"/>
  <c r="D12" i="14703" s="1"/>
  <c r="E12" i="14703" s="1"/>
  <c r="D18" i="14703"/>
  <c r="E18" i="14703" s="1"/>
  <c r="D24" i="14703"/>
  <c r="B9" i="14703"/>
  <c r="B12" i="14703" s="1"/>
  <c r="C12" i="14703" s="1"/>
  <c r="B18" i="14703"/>
  <c r="C18" i="14703" s="1"/>
  <c r="A34" i="14659"/>
  <c r="A33" i="14703" s="1"/>
  <c r="H35" i="14645"/>
  <c r="H46" i="14645"/>
  <c r="A17" i="14704"/>
  <c r="A11" i="14704"/>
  <c r="B5" i="14704"/>
  <c r="A2" i="14704"/>
  <c r="B6" i="14703"/>
  <c r="J9" i="14703"/>
  <c r="J18" i="14703"/>
  <c r="K18" i="14703" s="1"/>
  <c r="J24" i="14703"/>
  <c r="O24" i="14703" s="1"/>
  <c r="M9" i="14703"/>
  <c r="M12" i="14703" s="1"/>
  <c r="M18" i="14703"/>
  <c r="N18" i="14703" s="1"/>
  <c r="M24" i="14703"/>
  <c r="N24" i="14703" s="1"/>
  <c r="G9" i="14703"/>
  <c r="G12" i="14703" s="1"/>
  <c r="G18" i="14703"/>
  <c r="H18" i="14703" s="1"/>
  <c r="G24" i="14703"/>
  <c r="H24" i="14703" s="1"/>
  <c r="O28" i="14703"/>
  <c r="N28" i="14703"/>
  <c r="L28" i="14703"/>
  <c r="K28" i="14703"/>
  <c r="I28" i="14703"/>
  <c r="H28" i="14703"/>
  <c r="F28" i="14703"/>
  <c r="E28" i="14703"/>
  <c r="C28" i="14703"/>
  <c r="I24" i="14703"/>
  <c r="E24" i="14703"/>
  <c r="O23" i="14703"/>
  <c r="N23" i="14703"/>
  <c r="L23" i="14703"/>
  <c r="K23" i="14703"/>
  <c r="I23" i="14703"/>
  <c r="H23" i="14703"/>
  <c r="F23" i="14703"/>
  <c r="E23" i="14703"/>
  <c r="C23" i="14703"/>
  <c r="O22" i="14703"/>
  <c r="N22" i="14703"/>
  <c r="L22" i="14703"/>
  <c r="K22" i="14703"/>
  <c r="I22" i="14703"/>
  <c r="H22" i="14703"/>
  <c r="F22" i="14703"/>
  <c r="E22" i="14703"/>
  <c r="C22" i="14703"/>
  <c r="O18" i="14703"/>
  <c r="O17" i="14703"/>
  <c r="N17" i="14703"/>
  <c r="L17" i="14703"/>
  <c r="K17" i="14703"/>
  <c r="I17" i="14703"/>
  <c r="H17" i="14703"/>
  <c r="F17" i="14703"/>
  <c r="E17" i="14703"/>
  <c r="C17" i="14703"/>
  <c r="A17" i="14703"/>
  <c r="O16" i="14703"/>
  <c r="N16" i="14703"/>
  <c r="L16" i="14703"/>
  <c r="K16" i="14703"/>
  <c r="I16" i="14703"/>
  <c r="H16" i="14703"/>
  <c r="F16" i="14703"/>
  <c r="E16" i="14703"/>
  <c r="C16" i="14703"/>
  <c r="O15" i="14703"/>
  <c r="N15" i="14703"/>
  <c r="L15" i="14703"/>
  <c r="K15" i="14703"/>
  <c r="I15" i="14703"/>
  <c r="H15" i="14703"/>
  <c r="F15" i="14703"/>
  <c r="E15" i="14703"/>
  <c r="C15" i="14703"/>
  <c r="O14" i="14703"/>
  <c r="N14" i="14703"/>
  <c r="L14" i="14703"/>
  <c r="K14" i="14703"/>
  <c r="I14" i="14703"/>
  <c r="H14" i="14703"/>
  <c r="F14" i="14703"/>
  <c r="E14" i="14703"/>
  <c r="C14" i="14703"/>
  <c r="O11" i="14703"/>
  <c r="N11" i="14703"/>
  <c r="L11" i="14703"/>
  <c r="K11" i="14703"/>
  <c r="I11" i="14703"/>
  <c r="H11" i="14703"/>
  <c r="F11" i="14703"/>
  <c r="E11" i="14703"/>
  <c r="C11" i="14703"/>
  <c r="A11" i="14703"/>
  <c r="O8" i="14703"/>
  <c r="N8" i="14703"/>
  <c r="L8" i="14703"/>
  <c r="K8" i="14703"/>
  <c r="I8" i="14703"/>
  <c r="H8" i="14703"/>
  <c r="F8" i="14703"/>
  <c r="E8" i="14703"/>
  <c r="C8" i="14703"/>
  <c r="O7" i="14703"/>
  <c r="N7" i="14703"/>
  <c r="L7" i="14703"/>
  <c r="K7" i="14703"/>
  <c r="I7" i="14703"/>
  <c r="H7" i="14703"/>
  <c r="E7" i="14703"/>
  <c r="C7" i="14703"/>
  <c r="B5" i="14703"/>
  <c r="A2" i="14703"/>
  <c r="G6" i="14701"/>
  <c r="F6" i="14701"/>
  <c r="E6" i="14701"/>
  <c r="D6" i="14701"/>
  <c r="C6" i="14701"/>
  <c r="A2" i="14701"/>
  <c r="L25" i="14702"/>
  <c r="L14" i="14702"/>
  <c r="J25" i="14702"/>
  <c r="H25" i="14702"/>
  <c r="H14" i="14702"/>
  <c r="F7" i="14702"/>
  <c r="D25" i="14702"/>
  <c r="L36" i="14702"/>
  <c r="L7" i="14702"/>
  <c r="J32" i="14702"/>
  <c r="J36" i="14702"/>
  <c r="J7" i="14702"/>
  <c r="J14" i="14702"/>
  <c r="H36" i="14702"/>
  <c r="H7" i="14702"/>
  <c r="F25" i="14702"/>
  <c r="F32" i="14702"/>
  <c r="F36" i="14702"/>
  <c r="F14" i="14702"/>
  <c r="D32" i="14702"/>
  <c r="D43" i="14702" s="1"/>
  <c r="D36" i="14702"/>
  <c r="D7" i="14702"/>
  <c r="D23" i="14702" s="1"/>
  <c r="B25" i="14702"/>
  <c r="B32" i="14702"/>
  <c r="B36" i="14702"/>
  <c r="B7" i="14702"/>
  <c r="B23" i="14702" s="1"/>
  <c r="B6" i="14617"/>
  <c r="L6" i="14702"/>
  <c r="J6" i="14702"/>
  <c r="H6" i="14702"/>
  <c r="F6" i="14702"/>
  <c r="D6" i="14702"/>
  <c r="A2" i="14702"/>
  <c r="E38" i="14652"/>
  <c r="E39" i="14652" s="1"/>
  <c r="E58" i="14647" s="1"/>
  <c r="E75" i="14647" s="1"/>
  <c r="E90" i="14647" s="1"/>
  <c r="B23" i="14688"/>
  <c r="B50" i="14624"/>
  <c r="E15" i="14628"/>
  <c r="E15" i="14634"/>
  <c r="L26" i="14634" s="1"/>
  <c r="L8" i="14633" s="1"/>
  <c r="H23" i="14645"/>
  <c r="H24" i="14645" s="1"/>
  <c r="E15" i="14639"/>
  <c r="I26" i="14639" s="1"/>
  <c r="I8" i="14641" s="1"/>
  <c r="E15" i="14674"/>
  <c r="O26" i="14674" s="1"/>
  <c r="C26" i="14675" s="1"/>
  <c r="C8" i="14677" s="1"/>
  <c r="C22" i="14695"/>
  <c r="D22" i="14695" s="1"/>
  <c r="B12" i="14636" s="1"/>
  <c r="B26" i="14694"/>
  <c r="C26" i="14694" s="1"/>
  <c r="D26" i="14694" s="1"/>
  <c r="E26" i="14694" s="1"/>
  <c r="F26" i="14694" s="1"/>
  <c r="G26" i="14694" s="1"/>
  <c r="H26" i="14694" s="1"/>
  <c r="I26" i="14694" s="1"/>
  <c r="J26" i="14694" s="1"/>
  <c r="K26" i="14694" s="1"/>
  <c r="L26" i="14694" s="1"/>
  <c r="M26" i="14694" s="1"/>
  <c r="B9" i="14694"/>
  <c r="B8" i="14694"/>
  <c r="B27" i="14625"/>
  <c r="B9" i="14648" s="1"/>
  <c r="B21" i="14685"/>
  <c r="B33" i="14628"/>
  <c r="B38" i="14628"/>
  <c r="B37" i="14628"/>
  <c r="B36" i="14628"/>
  <c r="B35" i="14628"/>
  <c r="B34" i="14628"/>
  <c r="E25" i="14689"/>
  <c r="I23" i="14645"/>
  <c r="I24" i="14645" s="1"/>
  <c r="J7" i="14633" s="1"/>
  <c r="J23" i="14645"/>
  <c r="J24" i="14645" s="1"/>
  <c r="K7" i="14633" s="1"/>
  <c r="K23" i="14645"/>
  <c r="K24" i="14645" s="1"/>
  <c r="L7" i="14633" s="1"/>
  <c r="L23" i="14645"/>
  <c r="L24" i="14645" s="1"/>
  <c r="M7" i="14633" s="1"/>
  <c r="B50" i="14636"/>
  <c r="B50" i="14672"/>
  <c r="B50" i="14673"/>
  <c r="E15" i="14675"/>
  <c r="O26" i="14675" s="1"/>
  <c r="E38" i="14689"/>
  <c r="D8" i="14633"/>
  <c r="E8" i="14633"/>
  <c r="G8" i="14633"/>
  <c r="H8" i="14633"/>
  <c r="J8" i="14633"/>
  <c r="K8" i="14633"/>
  <c r="M8" i="14633"/>
  <c r="N8" i="14633"/>
  <c r="E18" i="14688"/>
  <c r="B26" i="14692"/>
  <c r="A8" i="14662"/>
  <c r="A9" i="14662" s="1"/>
  <c r="A10" i="14662" s="1"/>
  <c r="A11" i="14662" s="1"/>
  <c r="A12" i="14662" s="1"/>
  <c r="A13" i="14662" s="1"/>
  <c r="A14" i="14662" s="1"/>
  <c r="A15" i="14662" s="1"/>
  <c r="A16" i="14662" s="1"/>
  <c r="A17" i="14662" s="1"/>
  <c r="A18" i="14662" s="1"/>
  <c r="A19" i="14662" s="1"/>
  <c r="A20" i="14662" s="1"/>
  <c r="A21" i="14662" s="1"/>
  <c r="A22" i="14662" s="1"/>
  <c r="A23" i="14662" s="1"/>
  <c r="H56" i="14647"/>
  <c r="H73" i="14647" s="1"/>
  <c r="H88" i="14647" s="1"/>
  <c r="H38" i="14652"/>
  <c r="H57" i="14647" s="1"/>
  <c r="H74" i="14647" s="1"/>
  <c r="H89" i="14647" s="1"/>
  <c r="G56" i="14647"/>
  <c r="G73" i="14647" s="1"/>
  <c r="G88" i="14647" s="1"/>
  <c r="G38" i="14652"/>
  <c r="G57" i="14647" s="1"/>
  <c r="G74" i="14647" s="1"/>
  <c r="G89" i="14647" s="1"/>
  <c r="F56" i="14647"/>
  <c r="F73" i="14647" s="1"/>
  <c r="F88" i="14647" s="1"/>
  <c r="F38" i="14652"/>
  <c r="F57" i="14647" s="1"/>
  <c r="F74" i="14647" s="1"/>
  <c r="F89" i="14647" s="1"/>
  <c r="E56" i="14647"/>
  <c r="E73" i="14647" s="1"/>
  <c r="E88" i="14647" s="1"/>
  <c r="D56" i="14647"/>
  <c r="D73" i="14647" s="1"/>
  <c r="D88" i="14647" s="1"/>
  <c r="D38" i="14652"/>
  <c r="D57" i="14647" s="1"/>
  <c r="D74" i="14647" s="1"/>
  <c r="D89" i="14647" s="1"/>
  <c r="C56" i="14647"/>
  <c r="C57" i="14647"/>
  <c r="B5" i="14686"/>
  <c r="G5" i="14686" s="1"/>
  <c r="C5" i="14686"/>
  <c r="H5" i="14686" s="1"/>
  <c r="B6" i="14693"/>
  <c r="H6" i="14693" s="1"/>
  <c r="C6" i="14693"/>
  <c r="I6" i="14693" s="1"/>
  <c r="B6" i="14694"/>
  <c r="C6" i="14694"/>
  <c r="A44" i="14694" s="1"/>
  <c r="G21" i="11"/>
  <c r="F36" i="11"/>
  <c r="A35" i="14643"/>
  <c r="D9" i="14647"/>
  <c r="D10" i="14647"/>
  <c r="H9" i="14647"/>
  <c r="H25" i="14647" s="1"/>
  <c r="H40" i="14647" s="1"/>
  <c r="H10" i="14647"/>
  <c r="H26" i="14647" s="1"/>
  <c r="H41" i="14647" s="1"/>
  <c r="H11" i="14647"/>
  <c r="H27" i="14647" s="1"/>
  <c r="H42" i="14647" s="1"/>
  <c r="G9" i="14647"/>
  <c r="G25" i="14647" s="1"/>
  <c r="G40" i="14647" s="1"/>
  <c r="G10" i="14647"/>
  <c r="G26" i="14647" s="1"/>
  <c r="G41" i="14647" s="1"/>
  <c r="F9" i="14647"/>
  <c r="F25" i="14647" s="1"/>
  <c r="F40" i="14647" s="1"/>
  <c r="F10" i="14647"/>
  <c r="F26" i="14647" s="1"/>
  <c r="F41" i="14647" s="1"/>
  <c r="E9" i="14647"/>
  <c r="E10" i="14647"/>
  <c r="E26" i="14647" s="1"/>
  <c r="E41" i="14647" s="1"/>
  <c r="C9" i="14647"/>
  <c r="C25" i="14647" s="1"/>
  <c r="L12" i="14645"/>
  <c r="L13" i="14645" s="1"/>
  <c r="M7" i="14625" s="1"/>
  <c r="L69" i="14645"/>
  <c r="L70" i="14645" s="1"/>
  <c r="M20" i="14625" s="1"/>
  <c r="H29" i="11"/>
  <c r="H16" i="11"/>
  <c r="M12" i="14645"/>
  <c r="M13" i="14645" s="1"/>
  <c r="N7" i="14625" s="1"/>
  <c r="N22" i="14625"/>
  <c r="M69" i="14645"/>
  <c r="M70" i="14645" s="1"/>
  <c r="N20" i="14625" s="1"/>
  <c r="B23" i="14645"/>
  <c r="B24" i="14645" s="1"/>
  <c r="C7" i="14633" s="1"/>
  <c r="B80" i="14645"/>
  <c r="B81" i="14645" s="1"/>
  <c r="C20" i="14633" s="1"/>
  <c r="C23" i="14645"/>
  <c r="C24" i="14645" s="1"/>
  <c r="D7" i="14633" s="1"/>
  <c r="C80" i="14645"/>
  <c r="C81" i="14645" s="1"/>
  <c r="D20" i="14633" s="1"/>
  <c r="D23" i="14645"/>
  <c r="D24" i="14645" s="1"/>
  <c r="E7" i="14633" s="1"/>
  <c r="D80" i="14645"/>
  <c r="D81" i="14645" s="1"/>
  <c r="E20" i="14633" s="1"/>
  <c r="E23" i="14645"/>
  <c r="E24" i="14645" s="1"/>
  <c r="F7" i="14633" s="1"/>
  <c r="E80" i="14645"/>
  <c r="E81" i="14645" s="1"/>
  <c r="F20" i="14633" s="1"/>
  <c r="F23" i="14645"/>
  <c r="F24" i="14645" s="1"/>
  <c r="G7" i="14633" s="1"/>
  <c r="F80" i="14645"/>
  <c r="F81" i="14645" s="1"/>
  <c r="G20" i="14633" s="1"/>
  <c r="G23" i="14645"/>
  <c r="G24" i="14645" s="1"/>
  <c r="H7" i="14633" s="1"/>
  <c r="G80" i="14645"/>
  <c r="G81" i="14645" s="1"/>
  <c r="H20" i="14633" s="1"/>
  <c r="H80" i="14645"/>
  <c r="I80" i="14645"/>
  <c r="I81" i="14645" s="1"/>
  <c r="J20" i="14633" s="1"/>
  <c r="J80" i="14645"/>
  <c r="J81" i="14645" s="1"/>
  <c r="K20" i="14633" s="1"/>
  <c r="K80" i="14645"/>
  <c r="K81" i="14645" s="1"/>
  <c r="L20" i="14633" s="1"/>
  <c r="L80" i="14645"/>
  <c r="L81" i="14645" s="1"/>
  <c r="M20" i="14633" s="1"/>
  <c r="M80" i="14645"/>
  <c r="C16" i="4129"/>
  <c r="C13" i="14695" s="1"/>
  <c r="D13" i="14695" s="1"/>
  <c r="E13" i="14695" s="1"/>
  <c r="F13" i="14695" s="1"/>
  <c r="C16" i="14693"/>
  <c r="B16" i="14693"/>
  <c r="B17" i="14694"/>
  <c r="B25" i="14694" s="1"/>
  <c r="B33" i="14694" s="1"/>
  <c r="B41" i="14694" s="1"/>
  <c r="B49" i="14694" s="1"/>
  <c r="A19" i="14694"/>
  <c r="A17" i="14694"/>
  <c r="A2" i="14694"/>
  <c r="G6" i="14665"/>
  <c r="C16" i="14649" s="1"/>
  <c r="B16" i="14686"/>
  <c r="B22" i="14686" s="1"/>
  <c r="B28" i="14686" s="1"/>
  <c r="B34" i="14686" s="1"/>
  <c r="B40" i="14686" s="1"/>
  <c r="B46" i="14686" s="1"/>
  <c r="B18" i="14693"/>
  <c r="B25" i="14693" s="1"/>
  <c r="B32" i="14693" s="1"/>
  <c r="B39" i="14693" s="1"/>
  <c r="B46" i="14693" s="1"/>
  <c r="B53" i="14693" s="1"/>
  <c r="C8" i="14693"/>
  <c r="B8" i="14693"/>
  <c r="A2" i="14693"/>
  <c r="A18" i="14693"/>
  <c r="A79" i="14692"/>
  <c r="A78" i="14692"/>
  <c r="E16" i="14692"/>
  <c r="E25" i="14692" s="1"/>
  <c r="D16" i="14692"/>
  <c r="D75" i="14692" s="1"/>
  <c r="C75" i="14692"/>
  <c r="B75" i="14692"/>
  <c r="A70" i="14692"/>
  <c r="A71" i="14692"/>
  <c r="A72" i="14692"/>
  <c r="G71" i="14685"/>
  <c r="B71" i="14685"/>
  <c r="B64" i="14685"/>
  <c r="G64" i="14685"/>
  <c r="G8" i="14625"/>
  <c r="E8" i="14625"/>
  <c r="D8" i="14625"/>
  <c r="H8" i="14625"/>
  <c r="M23" i="14645"/>
  <c r="B29" i="14648"/>
  <c r="B47" i="14648" s="1"/>
  <c r="J41" i="14662"/>
  <c r="J42" i="14662"/>
  <c r="G1" i="14628"/>
  <c r="A3" i="14626"/>
  <c r="E32" i="11"/>
  <c r="B62" i="14692"/>
  <c r="A69" i="14692"/>
  <c r="A76" i="14692"/>
  <c r="A77" i="14692"/>
  <c r="A65" i="14692"/>
  <c r="A49" i="14692"/>
  <c r="A50" i="14692"/>
  <c r="A51" i="14692"/>
  <c r="A52" i="14692"/>
  <c r="A56" i="14692"/>
  <c r="A57" i="14692"/>
  <c r="A61" i="14692"/>
  <c r="A62" i="14692"/>
  <c r="A63" i="14692"/>
  <c r="A64" i="14692"/>
  <c r="A45" i="14692"/>
  <c r="A32" i="14692"/>
  <c r="A33" i="14692"/>
  <c r="A37" i="14692"/>
  <c r="A38" i="14692"/>
  <c r="A39" i="14692"/>
  <c r="A43" i="14692"/>
  <c r="A44" i="14692"/>
  <c r="A27" i="14692"/>
  <c r="A17" i="14692"/>
  <c r="A18" i="14692"/>
  <c r="A19" i="14692"/>
  <c r="A20" i="14692"/>
  <c r="A21" i="14692"/>
  <c r="A22" i="14692"/>
  <c r="A26" i="14692"/>
  <c r="A28" i="14692"/>
  <c r="A11" i="14692"/>
  <c r="A12" i="14692"/>
  <c r="A13" i="14692"/>
  <c r="J58" i="14685"/>
  <c r="B36" i="14692"/>
  <c r="B25" i="14692"/>
  <c r="B31" i="14692"/>
  <c r="B42" i="14692"/>
  <c r="B48" i="14692"/>
  <c r="B55" i="14692"/>
  <c r="B60" i="14692"/>
  <c r="C68" i="14692"/>
  <c r="B68" i="14692"/>
  <c r="D60" i="14692"/>
  <c r="C60" i="14692"/>
  <c r="C55" i="14692"/>
  <c r="C48" i="14692"/>
  <c r="C42" i="14692"/>
  <c r="C36" i="14692"/>
  <c r="C31" i="14692"/>
  <c r="C25" i="14692"/>
  <c r="J56" i="14685"/>
  <c r="J51" i="14685"/>
  <c r="J44" i="14685"/>
  <c r="J38" i="14685"/>
  <c r="J32" i="14685"/>
  <c r="J27" i="14685"/>
  <c r="J21" i="14685"/>
  <c r="E56" i="14685"/>
  <c r="D56" i="14685"/>
  <c r="E51" i="14685"/>
  <c r="D51" i="14685"/>
  <c r="E44" i="14685"/>
  <c r="D44" i="14685"/>
  <c r="E38" i="14685"/>
  <c r="D38" i="14685"/>
  <c r="E32" i="14685"/>
  <c r="D32" i="14685"/>
  <c r="E27" i="14685"/>
  <c r="D27" i="14685"/>
  <c r="E21" i="14685"/>
  <c r="A2" i="14692"/>
  <c r="N20" i="14645"/>
  <c r="N78" i="14645"/>
  <c r="N31" i="14645"/>
  <c r="N89" i="14645"/>
  <c r="E14" i="14688"/>
  <c r="F14" i="14688" s="1"/>
  <c r="G14" i="14688" s="1"/>
  <c r="E15" i="14688"/>
  <c r="F15" i="14688" s="1"/>
  <c r="C23" i="14688"/>
  <c r="C31" i="14688"/>
  <c r="C41" i="14688"/>
  <c r="C53" i="14688"/>
  <c r="C61" i="14688"/>
  <c r="C70" i="14688"/>
  <c r="B31" i="14688"/>
  <c r="B41" i="14688"/>
  <c r="B53" i="14688"/>
  <c r="B61" i="14688"/>
  <c r="B70" i="14688"/>
  <c r="B28" i="14689"/>
  <c r="B33" i="14689"/>
  <c r="B38" i="14689"/>
  <c r="B54" i="14689"/>
  <c r="B74" i="14689"/>
  <c r="F38" i="14689"/>
  <c r="G38" i="14689"/>
  <c r="H38" i="14689"/>
  <c r="B16" i="14690"/>
  <c r="B22" i="14690"/>
  <c r="B26" i="14690"/>
  <c r="B30" i="14690"/>
  <c r="B35" i="14690"/>
  <c r="C16" i="14690"/>
  <c r="D16" i="14690"/>
  <c r="D22" i="14690"/>
  <c r="D26" i="14690"/>
  <c r="D30" i="14690"/>
  <c r="D35" i="14690"/>
  <c r="C22" i="14690"/>
  <c r="E22" i="14690"/>
  <c r="F22" i="14690"/>
  <c r="G22" i="14690"/>
  <c r="C26" i="14690"/>
  <c r="E26" i="14690"/>
  <c r="F26" i="14690"/>
  <c r="G26" i="14690"/>
  <c r="C30" i="14690"/>
  <c r="C35" i="14690"/>
  <c r="E30" i="14690"/>
  <c r="F30" i="14690"/>
  <c r="G30" i="14690"/>
  <c r="B17" i="14691"/>
  <c r="C17" i="14691"/>
  <c r="C20" i="14691"/>
  <c r="C25" i="14691"/>
  <c r="C30" i="14691"/>
  <c r="C35" i="14691"/>
  <c r="D17" i="14691"/>
  <c r="D20" i="14691"/>
  <c r="D25" i="14691"/>
  <c r="D30" i="14691"/>
  <c r="D35" i="14691"/>
  <c r="B20" i="14691"/>
  <c r="B25" i="14691"/>
  <c r="E25" i="14691"/>
  <c r="F25" i="14691"/>
  <c r="G25" i="14691"/>
  <c r="B30" i="14691"/>
  <c r="B35" i="14691"/>
  <c r="A5" i="14649"/>
  <c r="A11" i="14649"/>
  <c r="D5" i="14645"/>
  <c r="D16" i="14645" s="1"/>
  <c r="D19" i="4129"/>
  <c r="B5" i="14649"/>
  <c r="B6" i="14649"/>
  <c r="B10" i="14649"/>
  <c r="B11" i="14649"/>
  <c r="B12" i="14649"/>
  <c r="B14" i="14649"/>
  <c r="C23" i="14649"/>
  <c r="B28" i="14649"/>
  <c r="B47" i="14649" s="1"/>
  <c r="B29" i="14649"/>
  <c r="B64" i="14649"/>
  <c r="A2" i="4128"/>
  <c r="C5" i="4128"/>
  <c r="C13" i="4128" s="1"/>
  <c r="C18" i="4128" s="1"/>
  <c r="A2" i="14643"/>
  <c r="B36" i="14643"/>
  <c r="C7" i="14643"/>
  <c r="H13" i="14643"/>
  <c r="H18" i="14643"/>
  <c r="H21" i="14643"/>
  <c r="H24" i="14643"/>
  <c r="A36" i="14643"/>
  <c r="C36" i="14643"/>
  <c r="A24" i="14665"/>
  <c r="A8" i="14683" s="1"/>
  <c r="A36" i="14683" s="1"/>
  <c r="A25" i="14665"/>
  <c r="A18" i="14668" s="1"/>
  <c r="A26" i="14665"/>
  <c r="A7" i="14637" s="1"/>
  <c r="A27" i="14665"/>
  <c r="A28" i="14647" s="1"/>
  <c r="A10" i="14632" s="1"/>
  <c r="A36" i="14632" s="1"/>
  <c r="A28" i="14665"/>
  <c r="A25" i="14683" s="1"/>
  <c r="A29" i="14665"/>
  <c r="A22" i="14669" s="1"/>
  <c r="A30" i="14665"/>
  <c r="A11" i="14637" s="1"/>
  <c r="A31" i="14665"/>
  <c r="A24" i="14669" s="1"/>
  <c r="A2" i="14684"/>
  <c r="C6" i="14684"/>
  <c r="C7" i="14684"/>
  <c r="D7" i="14684" s="1"/>
  <c r="E7" i="14684" s="1"/>
  <c r="F7" i="14684" s="1"/>
  <c r="G7" i="14684" s="1"/>
  <c r="B35" i="14645"/>
  <c r="C7" i="14641" s="1"/>
  <c r="C35" i="14645"/>
  <c r="D7" i="14641" s="1"/>
  <c r="D35" i="14645"/>
  <c r="E7" i="14641" s="1"/>
  <c r="E35" i="14645"/>
  <c r="F7" i="14641" s="1"/>
  <c r="F35" i="14645"/>
  <c r="G7" i="14641" s="1"/>
  <c r="G35" i="14645"/>
  <c r="H7" i="14641" s="1"/>
  <c r="I35" i="14645"/>
  <c r="J7" i="14641" s="1"/>
  <c r="J35" i="14645"/>
  <c r="K7" i="14641" s="1"/>
  <c r="K35" i="14645"/>
  <c r="L7" i="14641" s="1"/>
  <c r="L35" i="14645"/>
  <c r="M7" i="14641" s="1"/>
  <c r="B46" i="14645"/>
  <c r="C7" i="14676" s="1"/>
  <c r="C46" i="14645"/>
  <c r="D7" i="14676" s="1"/>
  <c r="D46" i="14645"/>
  <c r="E7" i="14676" s="1"/>
  <c r="E46" i="14645"/>
  <c r="F7" i="14676" s="1"/>
  <c r="F46" i="14645"/>
  <c r="G7" i="14676" s="1"/>
  <c r="G46" i="14645"/>
  <c r="H7" i="14676" s="1"/>
  <c r="I46" i="14645"/>
  <c r="J7" i="14676" s="1"/>
  <c r="J46" i="14645"/>
  <c r="K7" i="14676" s="1"/>
  <c r="K46" i="14645"/>
  <c r="L7" i="14676" s="1"/>
  <c r="L46" i="14645"/>
  <c r="M7" i="14676" s="1"/>
  <c r="B57" i="14645"/>
  <c r="C7" i="14677" s="1"/>
  <c r="C57" i="14645"/>
  <c r="D7" i="14677" s="1"/>
  <c r="D57" i="14645"/>
  <c r="E7" i="14677" s="1"/>
  <c r="E57" i="14645"/>
  <c r="F7" i="14677" s="1"/>
  <c r="F57" i="14645"/>
  <c r="G7" i="14677" s="1"/>
  <c r="G57" i="14645"/>
  <c r="H7" i="14677" s="1"/>
  <c r="I57" i="14645"/>
  <c r="J7" i="14677" s="1"/>
  <c r="J57" i="14645"/>
  <c r="K7" i="14677" s="1"/>
  <c r="K57" i="14645"/>
  <c r="L7" i="14677" s="1"/>
  <c r="L57" i="14645"/>
  <c r="M7" i="14677" s="1"/>
  <c r="J8" i="14625"/>
  <c r="K8" i="14625"/>
  <c r="M8" i="14625"/>
  <c r="N8" i="14625"/>
  <c r="D8" i="14641"/>
  <c r="E8" i="14641"/>
  <c r="G8" i="14641"/>
  <c r="H8" i="14641"/>
  <c r="J8" i="14641"/>
  <c r="K8" i="14641"/>
  <c r="M8" i="14641"/>
  <c r="N8" i="14641"/>
  <c r="D8" i="14676"/>
  <c r="E8" i="14676"/>
  <c r="G8" i="14676"/>
  <c r="H8" i="14676"/>
  <c r="J8" i="14676"/>
  <c r="K8" i="14676"/>
  <c r="M8" i="14676"/>
  <c r="N8" i="14676"/>
  <c r="D8" i="14677"/>
  <c r="E8" i="14677"/>
  <c r="G8" i="14677"/>
  <c r="H8" i="14677"/>
  <c r="J8" i="14677"/>
  <c r="K8" i="14677"/>
  <c r="M8" i="14677"/>
  <c r="N8" i="14677"/>
  <c r="B92" i="14645"/>
  <c r="C20" i="14641" s="1"/>
  <c r="C92" i="14645"/>
  <c r="D20" i="14641" s="1"/>
  <c r="D92" i="14645"/>
  <c r="E20" i="14641" s="1"/>
  <c r="E92" i="14645"/>
  <c r="F20" i="14641" s="1"/>
  <c r="F92" i="14645"/>
  <c r="G20" i="14641" s="1"/>
  <c r="G92" i="14645"/>
  <c r="H20" i="14641" s="1"/>
  <c r="B103" i="14645"/>
  <c r="C20" i="14676" s="1"/>
  <c r="C103" i="14645"/>
  <c r="D20" i="14676" s="1"/>
  <c r="D103" i="14645"/>
  <c r="E20" i="14676" s="1"/>
  <c r="E103" i="14645"/>
  <c r="F20" i="14676" s="1"/>
  <c r="F103" i="14645"/>
  <c r="G20" i="14676" s="1"/>
  <c r="G103" i="14645"/>
  <c r="H20" i="14676" s="1"/>
  <c r="B114" i="14645"/>
  <c r="C20" i="14677" s="1"/>
  <c r="C114" i="14645"/>
  <c r="D20" i="14677" s="1"/>
  <c r="D114" i="14645"/>
  <c r="E20" i="14677" s="1"/>
  <c r="E114" i="14645"/>
  <c r="F20" i="14677" s="1"/>
  <c r="F114" i="14645"/>
  <c r="G20" i="14677" s="1"/>
  <c r="G114" i="14645"/>
  <c r="H20" i="14677" s="1"/>
  <c r="D21" i="14625"/>
  <c r="E21" i="14625"/>
  <c r="A40" i="14684"/>
  <c r="A2" i="14677"/>
  <c r="I114" i="14645"/>
  <c r="J20" i="14677" s="1"/>
  <c r="J114" i="14645"/>
  <c r="K20" i="14677" s="1"/>
  <c r="K114" i="14645"/>
  <c r="L20" i="14677" s="1"/>
  <c r="L114" i="14645"/>
  <c r="M20" i="14677" s="1"/>
  <c r="D21" i="14677"/>
  <c r="E21" i="14677"/>
  <c r="G21" i="14677"/>
  <c r="H21" i="14677"/>
  <c r="J21" i="14677"/>
  <c r="K21" i="14677"/>
  <c r="M21" i="14677"/>
  <c r="N21" i="14677"/>
  <c r="A2" i="14676"/>
  <c r="I103" i="14645"/>
  <c r="J20" i="14676" s="1"/>
  <c r="J103" i="14645"/>
  <c r="K20" i="14676" s="1"/>
  <c r="K103" i="14645"/>
  <c r="L20" i="14676" s="1"/>
  <c r="L103" i="14645"/>
  <c r="M20" i="14676" s="1"/>
  <c r="D21" i="14676"/>
  <c r="E21" i="14676"/>
  <c r="G21" i="14676"/>
  <c r="H21" i="14676"/>
  <c r="J21" i="14676"/>
  <c r="K21" i="14676"/>
  <c r="M21" i="14676"/>
  <c r="N21" i="14676"/>
  <c r="A2" i="14641"/>
  <c r="I92" i="14645"/>
  <c r="J20" i="14641" s="1"/>
  <c r="J92" i="14645"/>
  <c r="K20" i="14641" s="1"/>
  <c r="K92" i="14645"/>
  <c r="L20" i="14641" s="1"/>
  <c r="L92" i="14645"/>
  <c r="M20" i="14641" s="1"/>
  <c r="D21" i="14641"/>
  <c r="E21" i="14641"/>
  <c r="G21" i="14641"/>
  <c r="H21" i="14641"/>
  <c r="J21" i="14641"/>
  <c r="K21" i="14641"/>
  <c r="M21" i="14641"/>
  <c r="N21" i="14641"/>
  <c r="A2" i="14633"/>
  <c r="D21" i="14633"/>
  <c r="E21" i="14633"/>
  <c r="G21" i="14633"/>
  <c r="H21" i="14633"/>
  <c r="J21" i="14633"/>
  <c r="K21" i="14633"/>
  <c r="M21" i="14633"/>
  <c r="N21" i="14633"/>
  <c r="C1" i="14625"/>
  <c r="A2" i="14625"/>
  <c r="G21" i="14625"/>
  <c r="H21" i="14625"/>
  <c r="J21" i="14625"/>
  <c r="K21" i="14625"/>
  <c r="M21" i="14625"/>
  <c r="N21" i="14625"/>
  <c r="A2" i="14648"/>
  <c r="A8" i="14648"/>
  <c r="C17" i="14648"/>
  <c r="D17" i="14648"/>
  <c r="E17" i="14648"/>
  <c r="F17" i="14648"/>
  <c r="G17" i="14648"/>
  <c r="H17" i="14648"/>
  <c r="I17" i="14648"/>
  <c r="J17" i="14648"/>
  <c r="K17" i="14648"/>
  <c r="L17" i="14648"/>
  <c r="M17" i="14648"/>
  <c r="N17" i="14648"/>
  <c r="C26" i="14648"/>
  <c r="D26" i="14648"/>
  <c r="E26" i="14648"/>
  <c r="F26" i="14648"/>
  <c r="G26" i="14648"/>
  <c r="H26" i="14648"/>
  <c r="I26" i="14648"/>
  <c r="J26" i="14648"/>
  <c r="K26" i="14648"/>
  <c r="L26" i="14648"/>
  <c r="M26" i="14648"/>
  <c r="N26" i="14648"/>
  <c r="C35" i="14648"/>
  <c r="D35" i="14648"/>
  <c r="E35" i="14648"/>
  <c r="F35" i="14648"/>
  <c r="G35" i="14648"/>
  <c r="H35" i="14648"/>
  <c r="I35" i="14648"/>
  <c r="J35" i="14648"/>
  <c r="K35" i="14648"/>
  <c r="L35" i="14648"/>
  <c r="M35" i="14648"/>
  <c r="N35" i="14648"/>
  <c r="C44" i="14648"/>
  <c r="D44" i="14648"/>
  <c r="E44" i="14648"/>
  <c r="F44" i="14648"/>
  <c r="G44" i="14648"/>
  <c r="H44" i="14648"/>
  <c r="I44" i="14648"/>
  <c r="J44" i="14648"/>
  <c r="K44" i="14648"/>
  <c r="L44" i="14648"/>
  <c r="M44" i="14648"/>
  <c r="N44" i="14648"/>
  <c r="A56" i="14648"/>
  <c r="C56" i="14648"/>
  <c r="D56" i="14648"/>
  <c r="E56" i="14648"/>
  <c r="F56" i="14648"/>
  <c r="G56" i="14648"/>
  <c r="H56" i="14648"/>
  <c r="I56" i="14648"/>
  <c r="J56" i="14648"/>
  <c r="K56" i="14648"/>
  <c r="L56" i="14648"/>
  <c r="M56" i="14648"/>
  <c r="N56" i="14648"/>
  <c r="O58" i="14648"/>
  <c r="C61" i="14648"/>
  <c r="D61" i="14648"/>
  <c r="E61" i="14648"/>
  <c r="F61" i="14648"/>
  <c r="G61" i="14648"/>
  <c r="H61" i="14648"/>
  <c r="I61" i="14648"/>
  <c r="J61" i="14648"/>
  <c r="K61" i="14648"/>
  <c r="L61" i="14648"/>
  <c r="M61" i="14648"/>
  <c r="N61" i="14648"/>
  <c r="C66" i="14648"/>
  <c r="D66" i="14648"/>
  <c r="E66" i="14648"/>
  <c r="F66" i="14648"/>
  <c r="G66" i="14648"/>
  <c r="H66" i="14648"/>
  <c r="I66" i="14648"/>
  <c r="J66" i="14648"/>
  <c r="K66" i="14648"/>
  <c r="L66" i="14648"/>
  <c r="M66" i="14648"/>
  <c r="N66" i="14648"/>
  <c r="A2" i="14682"/>
  <c r="B6" i="14682"/>
  <c r="B24" i="14682" s="1"/>
  <c r="B7" i="14682"/>
  <c r="C7" i="14682" s="1"/>
  <c r="D7" i="14682" s="1"/>
  <c r="A27" i="14624"/>
  <c r="A27" i="14673" s="1"/>
  <c r="A28" i="14624"/>
  <c r="A27" i="14682" s="1"/>
  <c r="A29" i="14624"/>
  <c r="A30" i="14624"/>
  <c r="A29" i="14682" s="1"/>
  <c r="A31" i="14624"/>
  <c r="A32" i="14624"/>
  <c r="A32" i="14672" s="1"/>
  <c r="A33" i="14624"/>
  <c r="A32" i="14682" s="1"/>
  <c r="A34" i="14624"/>
  <c r="A33" i="14682" s="1"/>
  <c r="A34" i="14682"/>
  <c r="A35" i="14682"/>
  <c r="A36" i="14682"/>
  <c r="A38" i="14624"/>
  <c r="A38" i="14672" s="1"/>
  <c r="A39" i="14624"/>
  <c r="A38" i="14682" s="1"/>
  <c r="A41" i="14624"/>
  <c r="A42" i="14624"/>
  <c r="A43" i="14624"/>
  <c r="A43" i="14672" s="1"/>
  <c r="A44" i="14624"/>
  <c r="A44" i="14673" s="1"/>
  <c r="A45" i="14624"/>
  <c r="A2" i="7"/>
  <c r="A2" i="14634" s="1"/>
  <c r="O7" i="14675"/>
  <c r="O7" i="14674"/>
  <c r="O7" i="14639"/>
  <c r="O7" i="14634"/>
  <c r="F1" i="14628"/>
  <c r="O7" i="14628"/>
  <c r="B15" i="14628"/>
  <c r="A2" i="14673"/>
  <c r="C23" i="14695"/>
  <c r="D23" i="14695" s="1"/>
  <c r="E23" i="14695" s="1"/>
  <c r="B27" i="14624"/>
  <c r="A29" i="14673"/>
  <c r="B29" i="14624"/>
  <c r="B30" i="14624"/>
  <c r="B31" i="14624"/>
  <c r="B32" i="14624"/>
  <c r="B33" i="14624"/>
  <c r="B34" i="14624"/>
  <c r="A35" i="14673"/>
  <c r="B35" i="14624"/>
  <c r="A36" i="14673"/>
  <c r="B36" i="14624"/>
  <c r="A37" i="14673"/>
  <c r="B37" i="14624"/>
  <c r="B38" i="14624"/>
  <c r="B39" i="14624"/>
  <c r="B40" i="14624"/>
  <c r="B41" i="14624"/>
  <c r="B42" i="14624"/>
  <c r="B43" i="14624"/>
  <c r="B44" i="14624"/>
  <c r="A2" i="14672"/>
  <c r="A35" i="14672"/>
  <c r="A36" i="14672"/>
  <c r="A37" i="14672"/>
  <c r="A2" i="14636"/>
  <c r="A35" i="14636"/>
  <c r="A36" i="14636"/>
  <c r="A37" i="14636"/>
  <c r="A2" i="14629"/>
  <c r="A35" i="14629"/>
  <c r="A36" i="14629"/>
  <c r="A37" i="14629"/>
  <c r="A39" i="14629"/>
  <c r="H1" i="14624"/>
  <c r="A2" i="14624"/>
  <c r="B12" i="14624"/>
  <c r="B16" i="14624"/>
  <c r="B28" i="14624"/>
  <c r="A35" i="14624"/>
  <c r="A36" i="14624"/>
  <c r="A37" i="14624"/>
  <c r="A40" i="14624"/>
  <c r="A2" i="14679"/>
  <c r="P44" i="14679"/>
  <c r="A2" i="14678"/>
  <c r="P44" i="14678"/>
  <c r="A2" i="14638"/>
  <c r="P44" i="14638"/>
  <c r="A2" i="14632"/>
  <c r="P44" i="14632"/>
  <c r="F1" i="14623"/>
  <c r="G1" i="14623"/>
  <c r="A2" i="14623"/>
  <c r="A11" i="14647"/>
  <c r="E7" i="14681"/>
  <c r="F7" i="14681"/>
  <c r="F16" i="14681" s="1"/>
  <c r="F25" i="14681" s="1"/>
  <c r="F34" i="14681" s="1"/>
  <c r="F43" i="14681" s="1"/>
  <c r="A16" i="14681"/>
  <c r="A34" i="14681" s="1"/>
  <c r="A25" i="14681"/>
  <c r="A43" i="14681" s="1"/>
  <c r="C7" i="14657"/>
  <c r="C8" i="14657"/>
  <c r="D8" i="14657" s="1"/>
  <c r="E8" i="14657" s="1"/>
  <c r="F8" i="14657" s="1"/>
  <c r="G8" i="14657" s="1"/>
  <c r="J11" i="14657"/>
  <c r="J12" i="14657"/>
  <c r="J13" i="14657"/>
  <c r="D29" i="14657"/>
  <c r="L21" i="14657" s="1"/>
  <c r="A2" i="14659"/>
  <c r="B6" i="14659"/>
  <c r="D6" i="14659" s="1"/>
  <c r="C14" i="14659"/>
  <c r="E14" i="14659"/>
  <c r="F14" i="14659"/>
  <c r="I14" i="14659"/>
  <c r="C15" i="14659"/>
  <c r="F15" i="14659"/>
  <c r="C16" i="14659"/>
  <c r="F16" i="14659"/>
  <c r="A2" i="14667"/>
  <c r="D6" i="14667"/>
  <c r="F6" i="14667"/>
  <c r="H6" i="14667"/>
  <c r="J6" i="14667"/>
  <c r="L6" i="14667"/>
  <c r="A2" i="14617"/>
  <c r="A17" i="14617"/>
  <c r="A1" i="14683"/>
  <c r="A2" i="14683"/>
  <c r="B6" i="14683"/>
  <c r="B19" i="14683" s="1"/>
  <c r="A32" i="14683"/>
  <c r="A33" i="14683"/>
  <c r="A2" i="14671"/>
  <c r="A2" i="14670"/>
  <c r="A2" i="14640"/>
  <c r="A2" i="14631"/>
  <c r="I1" i="8"/>
  <c r="A2" i="8"/>
  <c r="A1" i="14669"/>
  <c r="A2" i="14669"/>
  <c r="A16" i="7"/>
  <c r="A16" i="14669" s="1"/>
  <c r="A28" i="14669"/>
  <c r="A29" i="14669"/>
  <c r="A47" i="14669"/>
  <c r="A48" i="14669"/>
  <c r="A1" i="14668"/>
  <c r="A2" i="14668"/>
  <c r="A28" i="14668"/>
  <c r="A29" i="14668"/>
  <c r="A47" i="14668"/>
  <c r="A48" i="14668"/>
  <c r="A1" i="14637"/>
  <c r="A2" i="14637"/>
  <c r="A28" i="14637"/>
  <c r="A29" i="14637"/>
  <c r="A47" i="14637"/>
  <c r="A48" i="14637"/>
  <c r="A1" i="14630"/>
  <c r="A2" i="14630"/>
  <c r="A28" i="14630"/>
  <c r="A29" i="14630"/>
  <c r="A47" i="14630"/>
  <c r="A48" i="14630"/>
  <c r="E1" i="7"/>
  <c r="F28" i="7" s="1"/>
  <c r="A29" i="7"/>
  <c r="A48" i="7"/>
  <c r="A2" i="14661"/>
  <c r="F7" i="14661"/>
  <c r="A1" i="14626"/>
  <c r="G12" i="14626"/>
  <c r="G19" i="14626"/>
  <c r="G23" i="14626"/>
  <c r="G24" i="14626"/>
  <c r="G25" i="14626"/>
  <c r="C20" i="14626"/>
  <c r="C22" i="14626"/>
  <c r="A2" i="14645"/>
  <c r="N8" i="14645"/>
  <c r="N10" i="14645"/>
  <c r="N11" i="14645"/>
  <c r="A16" i="14645"/>
  <c r="A38" i="14645" s="1"/>
  <c r="N19" i="14645"/>
  <c r="N21" i="14645"/>
  <c r="A27" i="14645"/>
  <c r="A49" i="14645" s="1"/>
  <c r="N30" i="14645"/>
  <c r="N32" i="14645"/>
  <c r="N34" i="14645"/>
  <c r="N41" i="14645"/>
  <c r="N42" i="14645"/>
  <c r="N43" i="14645"/>
  <c r="N45" i="14645"/>
  <c r="N52" i="14645"/>
  <c r="N53" i="14645"/>
  <c r="N54" i="14645"/>
  <c r="N56" i="14645"/>
  <c r="N65" i="14645"/>
  <c r="N66" i="14645"/>
  <c r="A73" i="14645"/>
  <c r="A95" i="14645" s="1"/>
  <c r="N76" i="14645"/>
  <c r="A84" i="14645"/>
  <c r="A106" i="14645" s="1"/>
  <c r="N87" i="14645"/>
  <c r="N91" i="14645"/>
  <c r="N98" i="14645"/>
  <c r="N100" i="14645"/>
  <c r="N101" i="14645"/>
  <c r="N102" i="14645"/>
  <c r="N109" i="14645"/>
  <c r="N111" i="14645"/>
  <c r="N112" i="14645"/>
  <c r="N113" i="14645"/>
  <c r="A1" i="14647"/>
  <c r="A5" i="14647"/>
  <c r="D25" i="14647"/>
  <c r="D40" i="14647" s="1"/>
  <c r="A53" i="14647"/>
  <c r="A2" i="14653"/>
  <c r="E9" i="14653"/>
  <c r="F9" i="14653"/>
  <c r="N11" i="14653" s="1"/>
  <c r="N13" i="14653"/>
  <c r="N14" i="14653"/>
  <c r="N15" i="14653"/>
  <c r="N16" i="14653"/>
  <c r="N17" i="14653"/>
  <c r="N18" i="14653"/>
  <c r="N19" i="14653"/>
  <c r="C20" i="14653"/>
  <c r="E20" i="14653"/>
  <c r="F20" i="14653"/>
  <c r="G20" i="14653"/>
  <c r="H20" i="14653"/>
  <c r="I20" i="14653"/>
  <c r="J20" i="14653"/>
  <c r="K20" i="14653"/>
  <c r="L20" i="14653"/>
  <c r="M20" i="14653"/>
  <c r="A22" i="14653"/>
  <c r="A35" i="14653" s="1"/>
  <c r="A48" i="14653" s="1"/>
  <c r="A61" i="14653" s="1"/>
  <c r="A2" i="14652"/>
  <c r="B9" i="14652"/>
  <c r="B23" i="14652"/>
  <c r="B37" i="14652"/>
  <c r="I37" i="14652" s="1"/>
  <c r="J37" i="14652" s="1"/>
  <c r="A2" i="14655"/>
  <c r="A2" i="14663"/>
  <c r="C6" i="14663"/>
  <c r="E9" i="14663"/>
  <c r="O12" i="14663"/>
  <c r="E20" i="14663"/>
  <c r="E31" i="14663"/>
  <c r="E42" i="14663"/>
  <c r="E53" i="14663"/>
  <c r="A2" i="14695"/>
  <c r="B13" i="14695"/>
  <c r="B14" i="14695"/>
  <c r="B19" i="14695" s="1"/>
  <c r="D20" i="14695"/>
  <c r="E20" i="14695" s="1"/>
  <c r="F20" i="14695" s="1"/>
  <c r="C32" i="14695"/>
  <c r="C33" i="14695"/>
  <c r="A35" i="14695"/>
  <c r="A2" i="14686"/>
  <c r="A16" i="14686"/>
  <c r="A2" i="11"/>
  <c r="A2" i="14622"/>
  <c r="A2" i="14685"/>
  <c r="J7" i="14685"/>
  <c r="J8" i="14685"/>
  <c r="J9" i="14685"/>
  <c r="K9" i="14685"/>
  <c r="J13" i="14685"/>
  <c r="K13" i="14685"/>
  <c r="J14" i="14685"/>
  <c r="K14" i="14685"/>
  <c r="J15" i="14685"/>
  <c r="K15" i="14685"/>
  <c r="J16" i="14685"/>
  <c r="K16" i="14685"/>
  <c r="J17" i="14685"/>
  <c r="K17" i="14685"/>
  <c r="J18" i="14685"/>
  <c r="K18" i="14685"/>
  <c r="J22" i="14685"/>
  <c r="K22" i="14685"/>
  <c r="J23" i="14685"/>
  <c r="K23" i="14685"/>
  <c r="J24" i="14685"/>
  <c r="K24" i="14685"/>
  <c r="J28" i="14685"/>
  <c r="K28" i="14685"/>
  <c r="J29" i="14685"/>
  <c r="K29" i="14685"/>
  <c r="J33" i="14685"/>
  <c r="K33" i="14685"/>
  <c r="J34" i="14685"/>
  <c r="K34" i="14685"/>
  <c r="J35" i="14685"/>
  <c r="K35" i="14685"/>
  <c r="J39" i="14685"/>
  <c r="K39" i="14685"/>
  <c r="J40" i="14685"/>
  <c r="K40" i="14685"/>
  <c r="J41" i="14685"/>
  <c r="K41" i="14685"/>
  <c r="J45" i="14685"/>
  <c r="K45" i="14685"/>
  <c r="J46" i="14685"/>
  <c r="K46" i="14685"/>
  <c r="J47" i="14685"/>
  <c r="K47" i="14685"/>
  <c r="J48" i="14685"/>
  <c r="K48" i="14685"/>
  <c r="J52" i="14685"/>
  <c r="K52" i="14685"/>
  <c r="J53" i="14685"/>
  <c r="K53" i="14685"/>
  <c r="J57" i="14685"/>
  <c r="K57" i="14685"/>
  <c r="J59" i="14685"/>
  <c r="K59" i="14685"/>
  <c r="J60" i="14685"/>
  <c r="K60" i="14685"/>
  <c r="J61" i="14685"/>
  <c r="K61" i="14685"/>
  <c r="A2" i="14665"/>
  <c r="B12" i="14665"/>
  <c r="B39" i="14665" s="1"/>
  <c r="B40" i="14665"/>
  <c r="C40" i="14665" s="1"/>
  <c r="D40" i="14665" s="1"/>
  <c r="E40" i="14665" s="1"/>
  <c r="F40" i="14665" s="1"/>
  <c r="B2" i="14662"/>
  <c r="A43" i="14682"/>
  <c r="A44" i="14672"/>
  <c r="A31" i="14672"/>
  <c r="A31" i="14629"/>
  <c r="A27" i="14636"/>
  <c r="I26" i="14628"/>
  <c r="I8" i="14625" s="1"/>
  <c r="A44" i="14636"/>
  <c r="A39" i="14672"/>
  <c r="D11" i="14647"/>
  <c r="D27" i="14647" s="1"/>
  <c r="D42" i="14647" s="1"/>
  <c r="I26" i="14675"/>
  <c r="I8" i="14677" s="1"/>
  <c r="B34" i="14694"/>
  <c r="B42" i="14694" s="1"/>
  <c r="F12" i="14703"/>
  <c r="B31" i="14639"/>
  <c r="B31" i="14674"/>
  <c r="B31" i="14675"/>
  <c r="B31" i="14628"/>
  <c r="O26" i="14628"/>
  <c r="C26" i="14634" s="1"/>
  <c r="C8" i="14633" s="1"/>
  <c r="C39" i="14652"/>
  <c r="C40" i="14652" s="1"/>
  <c r="C41" i="14652" s="1"/>
  <c r="F11" i="14647"/>
  <c r="F27" i="14647" s="1"/>
  <c r="F42" i="14647" s="1"/>
  <c r="F12" i="14647"/>
  <c r="F28" i="14647" s="1"/>
  <c r="F43" i="14647" s="1"/>
  <c r="F13" i="14647"/>
  <c r="F29" i="14647" s="1"/>
  <c r="F44" i="14647" s="1"/>
  <c r="H26" i="14643"/>
  <c r="C10" i="14647"/>
  <c r="C26" i="14647" s="1"/>
  <c r="C41" i="14647" s="1"/>
  <c r="C34" i="14701"/>
  <c r="A36" i="14694"/>
  <c r="G24" i="14630"/>
  <c r="H38" i="14634" s="1"/>
  <c r="D22" i="14630"/>
  <c r="E36" i="14634" s="1"/>
  <c r="B71" i="14692"/>
  <c r="C71" i="14692" s="1"/>
  <c r="E71" i="14692" s="1"/>
  <c r="G65" i="14685"/>
  <c r="G69" i="14685" s="1"/>
  <c r="C11" i="14647"/>
  <c r="C27" i="14647" s="1"/>
  <c r="C42" i="14647" s="1"/>
  <c r="E19" i="14692"/>
  <c r="C54" i="14685"/>
  <c r="J54" i="14685"/>
  <c r="C12" i="14637"/>
  <c r="B6" i="14668"/>
  <c r="K54" i="14653"/>
  <c r="K67" i="14653" s="1"/>
  <c r="K8" i="14669" s="1"/>
  <c r="H57" i="14653"/>
  <c r="H11" i="14668" s="1"/>
  <c r="H11" i="14637"/>
  <c r="F14" i="14647"/>
  <c r="F30" i="14647" s="1"/>
  <c r="F45" i="14647" s="1"/>
  <c r="J43" i="14702"/>
  <c r="M58" i="14653"/>
  <c r="M12" i="14668" s="1"/>
  <c r="A42" i="14636"/>
  <c r="F16" i="14647"/>
  <c r="F15" i="14647"/>
  <c r="F31" i="14647" s="1"/>
  <c r="F46" i="14647" s="1"/>
  <c r="A31" i="14636"/>
  <c r="C9" i="14703"/>
  <c r="B20" i="14648"/>
  <c r="B38" i="14648" s="1"/>
  <c r="G11" i="14647"/>
  <c r="G12" i="14647"/>
  <c r="G28" i="14647" s="1"/>
  <c r="G43" i="14647" s="1"/>
  <c r="G13" i="14647"/>
  <c r="G29" i="14647" s="1"/>
  <c r="G44" i="14647" s="1"/>
  <c r="G14" i="14647"/>
  <c r="G30" i="14647" s="1"/>
  <c r="G45" i="14647" s="1"/>
  <c r="D6" i="8"/>
  <c r="E6" i="8"/>
  <c r="C12" i="14647"/>
  <c r="C28" i="14647" s="1"/>
  <c r="C43" i="14647" s="1"/>
  <c r="M34" i="14628"/>
  <c r="L38" i="14628"/>
  <c r="J38" i="14628"/>
  <c r="E38" i="14628"/>
  <c r="F38" i="7"/>
  <c r="F40" i="14623" s="1"/>
  <c r="K12" i="14637"/>
  <c r="K58" i="14653"/>
  <c r="K71" i="14653" s="1"/>
  <c r="K12" i="14669" s="1"/>
  <c r="H54" i="14653"/>
  <c r="H8" i="14668" s="1"/>
  <c r="G11" i="14637"/>
  <c r="G23" i="14637" s="1"/>
  <c r="H37" i="14639" s="1"/>
  <c r="G57" i="14653"/>
  <c r="G70" i="14653" s="1"/>
  <c r="G11" i="14669" s="1"/>
  <c r="F58" i="14653"/>
  <c r="F12" i="14637"/>
  <c r="M57" i="14653"/>
  <c r="M70" i="14653" s="1"/>
  <c r="M11" i="14669" s="1"/>
  <c r="M11" i="14637"/>
  <c r="L11" i="14637"/>
  <c r="L23" i="14637" s="1"/>
  <c r="L57" i="14653"/>
  <c r="L11" i="14668" s="1"/>
  <c r="J57" i="14653"/>
  <c r="J11" i="14668" s="1"/>
  <c r="J11" i="14637"/>
  <c r="G58" i="14653"/>
  <c r="G71" i="14653" s="1"/>
  <c r="G12" i="14669" s="1"/>
  <c r="G12" i="14637"/>
  <c r="G7" i="14637"/>
  <c r="F11" i="14637"/>
  <c r="F23" i="14637" s="1"/>
  <c r="F57" i="14653"/>
  <c r="F70" i="14653" s="1"/>
  <c r="F11" i="14669" s="1"/>
  <c r="G37" i="14628"/>
  <c r="G56" i="14653"/>
  <c r="G69" i="14653" s="1"/>
  <c r="G10" i="14669" s="1"/>
  <c r="B56" i="14653"/>
  <c r="B69" i="14653" s="1"/>
  <c r="B10" i="14669" s="1"/>
  <c r="B10" i="14637"/>
  <c r="B58" i="14653"/>
  <c r="B71" i="14653" s="1"/>
  <c r="B12" i="14669" s="1"/>
  <c r="D38" i="14628"/>
  <c r="F11" i="14668"/>
  <c r="A29" i="14629" l="1"/>
  <c r="A28" i="14682"/>
  <c r="L32" i="14702"/>
  <c r="L46" i="14702" s="1"/>
  <c r="M38" i="14702" s="1"/>
  <c r="M37" i="14630"/>
  <c r="H70" i="14653"/>
  <c r="H11" i="14669" s="1"/>
  <c r="A31" i="14673"/>
  <c r="A30" i="14682"/>
  <c r="L71" i="14653"/>
  <c r="L12" i="14669" s="1"/>
  <c r="L12" i="14668"/>
  <c r="C69" i="14653"/>
  <c r="C10" i="14669" s="1"/>
  <c r="C10" i="14668"/>
  <c r="L12" i="14637"/>
  <c r="C10" i="14637"/>
  <c r="F54" i="14653"/>
  <c r="F67" i="14653" s="1"/>
  <c r="F8" i="14669" s="1"/>
  <c r="H10" i="14637"/>
  <c r="G12" i="14623"/>
  <c r="I12" i="14668"/>
  <c r="I71" i="14653"/>
  <c r="I12" i="14669" s="1"/>
  <c r="E57" i="14647"/>
  <c r="E74" i="14647" s="1"/>
  <c r="E89" i="14647" s="1"/>
  <c r="L70" i="14653"/>
  <c r="L11" i="14669" s="1"/>
  <c r="A44" i="14629"/>
  <c r="C58" i="14647"/>
  <c r="C75" i="14647" s="1"/>
  <c r="C90" i="14647" s="1"/>
  <c r="A39" i="14673"/>
  <c r="H27" i="14643"/>
  <c r="L11" i="14630"/>
  <c r="L23" i="14630" s="1"/>
  <c r="M37" i="14634" s="1"/>
  <c r="J44" i="14702"/>
  <c r="K12" i="14630"/>
  <c r="K38" i="14630" s="1"/>
  <c r="K40" i="14632" s="1"/>
  <c r="C30" i="14685"/>
  <c r="D34" i="7"/>
  <c r="D48" i="14702"/>
  <c r="E48" i="14702" s="1"/>
  <c r="E54" i="14685"/>
  <c r="C17" i="14661" s="1"/>
  <c r="J12" i="14630"/>
  <c r="J24" i="14630" s="1"/>
  <c r="K38" i="14634" s="1"/>
  <c r="E12" i="14630"/>
  <c r="J11" i="14630"/>
  <c r="J37" i="14630" s="1"/>
  <c r="J39" i="14632" s="1"/>
  <c r="D12" i="14630"/>
  <c r="D24" i="14630" s="1"/>
  <c r="E38" i="14634" s="1"/>
  <c r="C37" i="7"/>
  <c r="C39" i="14623" s="1"/>
  <c r="D25" i="14692"/>
  <c r="D11" i="14630"/>
  <c r="D23" i="14630" s="1"/>
  <c r="E37" i="14634" s="1"/>
  <c r="H23" i="14643"/>
  <c r="A33" i="14673"/>
  <c r="H20" i="14643"/>
  <c r="I12" i="14637"/>
  <c r="C22" i="14630"/>
  <c r="D36" i="14634" s="1"/>
  <c r="H8" i="14643"/>
  <c r="A9" i="14630"/>
  <c r="A35" i="14630" s="1"/>
  <c r="A55" i="14630" s="1"/>
  <c r="I12" i="14630"/>
  <c r="I24" i="14630" s="1"/>
  <c r="J38" i="14634" s="1"/>
  <c r="B37" i="7"/>
  <c r="B39" i="14623" s="1"/>
  <c r="M71" i="14653"/>
  <c r="M12" i="14669" s="1"/>
  <c r="K23" i="7"/>
  <c r="L37" i="14628" s="1"/>
  <c r="A27" i="14629"/>
  <c r="A27" i="14672"/>
  <c r="H17" i="14643"/>
  <c r="A26" i="14682"/>
  <c r="G34" i="11"/>
  <c r="C42" i="14685"/>
  <c r="A12" i="14637"/>
  <c r="C13" i="14623"/>
  <c r="M12" i="14630"/>
  <c r="H12" i="14630"/>
  <c r="H24" i="14630" s="1"/>
  <c r="I38" i="14634" s="1"/>
  <c r="A18" i="14630"/>
  <c r="C24" i="14703"/>
  <c r="E40" i="14652"/>
  <c r="E59" i="14647" s="1"/>
  <c r="E76" i="14647" s="1"/>
  <c r="E91" i="14647" s="1"/>
  <c r="B12" i="14629"/>
  <c r="K12" i="14668"/>
  <c r="A46" i="14647"/>
  <c r="A13" i="14679" s="1"/>
  <c r="A39" i="14679" s="1"/>
  <c r="D31" i="14692"/>
  <c r="L23" i="14702"/>
  <c r="M8" i="14702" s="1"/>
  <c r="E30" i="14685"/>
  <c r="C13" i="14661" s="1"/>
  <c r="C34" i="7"/>
  <c r="C36" i="14623" s="1"/>
  <c r="I12" i="14703"/>
  <c r="D6" i="14703"/>
  <c r="I26" i="14674"/>
  <c r="I8" i="14676" s="1"/>
  <c r="G1" i="14632"/>
  <c r="D55" i="14692"/>
  <c r="J70" i="14653"/>
  <c r="J11" i="14669" s="1"/>
  <c r="D48" i="14692"/>
  <c r="A2" i="14639"/>
  <c r="L18" i="14703"/>
  <c r="D42" i="14692"/>
  <c r="C33" i="14692"/>
  <c r="E33" i="14692" s="1"/>
  <c r="F39" i="14652"/>
  <c r="D68" i="14692"/>
  <c r="D36" i="14692"/>
  <c r="D83" i="14692"/>
  <c r="J23" i="14630"/>
  <c r="K37" i="14634" s="1"/>
  <c r="A21" i="14669"/>
  <c r="E22" i="14695"/>
  <c r="E9" i="14703"/>
  <c r="G7" i="14661"/>
  <c r="E1" i="14630"/>
  <c r="D47" i="14630" s="1"/>
  <c r="E55" i="14692"/>
  <c r="A36" i="14704"/>
  <c r="B16" i="14672"/>
  <c r="F23" i="14695"/>
  <c r="B16" i="14673" s="1"/>
  <c r="B16" i="14636"/>
  <c r="B26" i="14695"/>
  <c r="B37" i="14695" s="1"/>
  <c r="K27" i="14695"/>
  <c r="D16" i="14695"/>
  <c r="E16" i="14695" s="1"/>
  <c r="N9" i="7"/>
  <c r="B12" i="14683" s="1"/>
  <c r="A28" i="14703"/>
  <c r="C12" i="14623"/>
  <c r="A35" i="14617"/>
  <c r="H11" i="14623"/>
  <c r="C11" i="14623"/>
  <c r="B5" i="14637"/>
  <c r="C50" i="14692"/>
  <c r="E50" i="14692" s="1"/>
  <c r="C6" i="14668"/>
  <c r="D17" i="4129"/>
  <c r="E5" i="14708" s="1"/>
  <c r="E13" i="14708" s="1"/>
  <c r="E18" i="14708" s="1"/>
  <c r="D5" i="14707"/>
  <c r="D28" i="14707" s="1"/>
  <c r="E28" i="14707" s="1"/>
  <c r="F28" i="14707" s="1"/>
  <c r="G28" i="14707" s="1"/>
  <c r="C6" i="14704"/>
  <c r="G11" i="14706" s="1"/>
  <c r="G1" i="14634"/>
  <c r="H35" i="7"/>
  <c r="H37" i="14623" s="1"/>
  <c r="D6" i="14617"/>
  <c r="Q18" i="14623"/>
  <c r="R29" i="14623" s="1"/>
  <c r="D5" i="14708"/>
  <c r="D13" i="14708" s="1"/>
  <c r="D18" i="14708" s="1"/>
  <c r="J35" i="7"/>
  <c r="J37" i="14623" s="1"/>
  <c r="G11" i="14668"/>
  <c r="J9" i="14637"/>
  <c r="L9" i="14637"/>
  <c r="L21" i="14637" s="1"/>
  <c r="L11" i="14638" s="1"/>
  <c r="M9" i="14637"/>
  <c r="M21" i="14637" s="1"/>
  <c r="C6" i="14683"/>
  <c r="C19" i="14683" s="1"/>
  <c r="J48" i="14702"/>
  <c r="B9" i="14637"/>
  <c r="B21" i="14637" s="1"/>
  <c r="C42" i="14665"/>
  <c r="G38" i="14665" s="1"/>
  <c r="C59" i="14647"/>
  <c r="C76" i="14647" s="1"/>
  <c r="C91" i="14647" s="1"/>
  <c r="A43" i="14647"/>
  <c r="A10" i="14679" s="1"/>
  <c r="A36" i="14679" s="1"/>
  <c r="G28" i="14685"/>
  <c r="G30" i="14685" s="1"/>
  <c r="C14" i="14694"/>
  <c r="G36" i="7"/>
  <c r="G38" i="14623" s="1"/>
  <c r="G7" i="14623"/>
  <c r="F7" i="14623"/>
  <c r="C7" i="14623"/>
  <c r="H36" i="7"/>
  <c r="H38" i="14623" s="1"/>
  <c r="D20" i="14703"/>
  <c r="D26" i="14703" s="1"/>
  <c r="E26" i="14703" s="1"/>
  <c r="B31" i="14695"/>
  <c r="C61" i="14692"/>
  <c r="E61" i="14692" s="1"/>
  <c r="M23" i="14630"/>
  <c r="N37" i="14634" s="1"/>
  <c r="K24" i="14703"/>
  <c r="F18" i="14703"/>
  <c r="D32" i="14695"/>
  <c r="E32" i="14695" s="1"/>
  <c r="C74" i="14688"/>
  <c r="I9" i="14703"/>
  <c r="D9" i="14630"/>
  <c r="D35" i="14630" s="1"/>
  <c r="D37" i="14632" s="1"/>
  <c r="C9" i="14630"/>
  <c r="C35" i="14630" s="1"/>
  <c r="C37" i="14632" s="1"/>
  <c r="D16" i="4129"/>
  <c r="F1" i="14639" s="1"/>
  <c r="C14" i="14695"/>
  <c r="C31" i="14695" s="1"/>
  <c r="D5" i="14669"/>
  <c r="A10" i="14706"/>
  <c r="H9" i="14703"/>
  <c r="E41" i="14665"/>
  <c r="A20" i="14630"/>
  <c r="B9" i="14630"/>
  <c r="B21" i="14630" s="1"/>
  <c r="C35" i="14634" s="1"/>
  <c r="F6" i="14630"/>
  <c r="F18" i="14630" s="1"/>
  <c r="G32" i="14634" s="1"/>
  <c r="C5" i="14669"/>
  <c r="C5" i="14668"/>
  <c r="C5" i="14637"/>
  <c r="E5" i="14637"/>
  <c r="I67" i="14653"/>
  <c r="I8" i="14669" s="1"/>
  <c r="I8" i="14668"/>
  <c r="G54" i="14653"/>
  <c r="G67" i="14653" s="1"/>
  <c r="G8" i="14669" s="1"/>
  <c r="L8" i="14637"/>
  <c r="L20" i="14637" s="1"/>
  <c r="M8" i="14630"/>
  <c r="M20" i="14630" s="1"/>
  <c r="N34" i="14634" s="1"/>
  <c r="G8" i="14630"/>
  <c r="G20" i="14630" s="1"/>
  <c r="H34" i="14634" s="1"/>
  <c r="I8" i="14637"/>
  <c r="I20" i="14637" s="1"/>
  <c r="K8" i="14630"/>
  <c r="K20" i="14630" s="1"/>
  <c r="K10" i="14632" s="1"/>
  <c r="I8" i="14630"/>
  <c r="I34" i="14630" s="1"/>
  <c r="I36" i="14632" s="1"/>
  <c r="E8" i="14630"/>
  <c r="E20" i="14630" s="1"/>
  <c r="F34" i="14634" s="1"/>
  <c r="L8" i="14630"/>
  <c r="L34" i="14630" s="1"/>
  <c r="L36" i="14632" s="1"/>
  <c r="J8" i="14630"/>
  <c r="J20" i="14630" s="1"/>
  <c r="K34" i="14634" s="1"/>
  <c r="F8" i="14630"/>
  <c r="F20" i="14630" s="1"/>
  <c r="G34" i="14634" s="1"/>
  <c r="H31" i="14628"/>
  <c r="F53" i="14653"/>
  <c r="F66" i="14653" s="1"/>
  <c r="F7" i="14669" s="1"/>
  <c r="L31" i="7"/>
  <c r="L33" i="14623" s="1"/>
  <c r="J7" i="14637"/>
  <c r="K53" i="14653"/>
  <c r="K7" i="14668" s="1"/>
  <c r="K31" i="7"/>
  <c r="K33" i="14623" s="1"/>
  <c r="M7" i="14630"/>
  <c r="M19" i="14630" s="1"/>
  <c r="N33" i="14634" s="1"/>
  <c r="J7" i="14630"/>
  <c r="J33" i="14630" s="1"/>
  <c r="J35" i="14632" s="1"/>
  <c r="I7" i="14630"/>
  <c r="I19" i="14630" s="1"/>
  <c r="J33" i="14634" s="1"/>
  <c r="H7" i="14630"/>
  <c r="H33" i="14630" s="1"/>
  <c r="H35" i="14632" s="1"/>
  <c r="G7" i="14630"/>
  <c r="G33" i="14630" s="1"/>
  <c r="G35" i="14632" s="1"/>
  <c r="F7" i="14630"/>
  <c r="F19" i="14630" s="1"/>
  <c r="G33" i="14634" s="1"/>
  <c r="C32" i="7"/>
  <c r="L53" i="14653"/>
  <c r="L66" i="14653" s="1"/>
  <c r="L7" i="14669" s="1"/>
  <c r="D31" i="14628"/>
  <c r="G31" i="14628"/>
  <c r="E11" i="14637"/>
  <c r="E23" i="14637" s="1"/>
  <c r="F37" i="14639" s="1"/>
  <c r="E57" i="14653"/>
  <c r="H10" i="14668"/>
  <c r="H69" i="14653"/>
  <c r="H10" i="14669" s="1"/>
  <c r="N12" i="14703"/>
  <c r="M20" i="14703"/>
  <c r="M26" i="14703" s="1"/>
  <c r="N26" i="14703" s="1"/>
  <c r="K69" i="14653"/>
  <c r="K10" i="14669" s="1"/>
  <c r="K10" i="14668"/>
  <c r="M34" i="14702"/>
  <c r="D12" i="14668"/>
  <c r="D71" i="14653"/>
  <c r="D12" i="14669" s="1"/>
  <c r="G10" i="14668"/>
  <c r="J6" i="14669"/>
  <c r="E36" i="7"/>
  <c r="E38" i="14623" s="1"/>
  <c r="I36" i="7"/>
  <c r="I38" i="14623" s="1"/>
  <c r="A47" i="14647"/>
  <c r="A14" i="14678" s="1"/>
  <c r="A40" i="14678" s="1"/>
  <c r="A24" i="14668"/>
  <c r="B20" i="14703"/>
  <c r="F20" i="14703" s="1"/>
  <c r="A8" i="14630"/>
  <c r="A34" i="14630" s="1"/>
  <c r="A54" i="14630" s="1"/>
  <c r="A8" i="14669"/>
  <c r="A28" i="14683"/>
  <c r="A15" i="14653"/>
  <c r="A34" i="14675" s="1"/>
  <c r="B74" i="14688"/>
  <c r="F9" i="14703"/>
  <c r="F10" i="14630"/>
  <c r="F22" i="14630" s="1"/>
  <c r="G36" i="14634" s="1"/>
  <c r="B4" i="14636"/>
  <c r="J42" i="14636" s="1"/>
  <c r="D36" i="7"/>
  <c r="D38" i="14623" s="1"/>
  <c r="C36" i="7"/>
  <c r="D36" i="14628"/>
  <c r="F10" i="14637"/>
  <c r="G6" i="14668"/>
  <c r="K10" i="14637"/>
  <c r="F36" i="7"/>
  <c r="F38" i="14623" s="1"/>
  <c r="J36" i="7"/>
  <c r="J38" i="14623" s="1"/>
  <c r="E65" i="14689"/>
  <c r="A32" i="14647"/>
  <c r="A14" i="14632" s="1"/>
  <c r="A40" i="14632" s="1"/>
  <c r="A10" i="14678"/>
  <c r="A36" i="14678" s="1"/>
  <c r="N9" i="14703"/>
  <c r="A8" i="7"/>
  <c r="A41" i="14643" s="1"/>
  <c r="N32" i="14653"/>
  <c r="E29" i="14657"/>
  <c r="H1" i="14659"/>
  <c r="A28" i="14704"/>
  <c r="M10" i="14630"/>
  <c r="M36" i="14630" s="1"/>
  <c r="M38" i="14632" s="1"/>
  <c r="E11" i="14630"/>
  <c r="E23" i="14630" s="1"/>
  <c r="F37" i="14634" s="1"/>
  <c r="C12" i="14630"/>
  <c r="C24" i="14630" s="1"/>
  <c r="D38" i="14634" s="1"/>
  <c r="O33" i="14663"/>
  <c r="O22" i="14663"/>
  <c r="A19" i="14653"/>
  <c r="A38" i="14634" s="1"/>
  <c r="A16" i="14647"/>
  <c r="D33" i="14695"/>
  <c r="E33" i="14695" s="1"/>
  <c r="A24" i="14630"/>
  <c r="A20" i="14668"/>
  <c r="A11" i="14683"/>
  <c r="A39" i="14683" s="1"/>
  <c r="H2" i="14659"/>
  <c r="C43" i="14690"/>
  <c r="B46" i="14702"/>
  <c r="C33" i="14702" s="1"/>
  <c r="L44" i="14702"/>
  <c r="M44" i="14702" s="1"/>
  <c r="H31" i="14629"/>
  <c r="L10" i="14630"/>
  <c r="L36" i="14630" s="1"/>
  <c r="L38" i="14632" s="1"/>
  <c r="K10" i="14630"/>
  <c r="K22" i="14630" s="1"/>
  <c r="K12" i="14632" s="1"/>
  <c r="B12" i="14630"/>
  <c r="B24" i="14630" s="1"/>
  <c r="C38" i="14634" s="1"/>
  <c r="C76" i="14689"/>
  <c r="I26" i="14703"/>
  <c r="D30" i="14703"/>
  <c r="E30" i="14703" s="1"/>
  <c r="E75" i="14692"/>
  <c r="E48" i="14692"/>
  <c r="A35" i="14694"/>
  <c r="H6" i="14694"/>
  <c r="O23" i="14663"/>
  <c r="O13" i="14663"/>
  <c r="F31" i="14652"/>
  <c r="G31" i="14652" s="1"/>
  <c r="H17" i="14710"/>
  <c r="H23" i="14668" s="1"/>
  <c r="I37" i="14674" s="1"/>
  <c r="L9" i="14668"/>
  <c r="M11" i="14668"/>
  <c r="B5" i="14668"/>
  <c r="M68" i="14653"/>
  <c r="M9" i="14669" s="1"/>
  <c r="H67" i="14653"/>
  <c r="H8" i="14669" s="1"/>
  <c r="H23" i="14637"/>
  <c r="I37" i="14639" s="1"/>
  <c r="E68" i="14692"/>
  <c r="E36" i="14692"/>
  <c r="J32" i="14636"/>
  <c r="A13" i="14683"/>
  <c r="A41" i="14683" s="1"/>
  <c r="A45" i="14647"/>
  <c r="A12" i="14638" s="1"/>
  <c r="A38" i="14638" s="1"/>
  <c r="A26" i="14683"/>
  <c r="A22" i="14668"/>
  <c r="A22" i="14630"/>
  <c r="A10" i="14637"/>
  <c r="A69" i="14643" s="1"/>
  <c r="A41" i="14647"/>
  <c r="A8" i="14638" s="1"/>
  <c r="A34" i="14638" s="1"/>
  <c r="A6" i="14630"/>
  <c r="A32" i="14630" s="1"/>
  <c r="A52" i="14630" s="1"/>
  <c r="A9" i="14683"/>
  <c r="A37" i="14683" s="1"/>
  <c r="A6" i="14637"/>
  <c r="A65" i="14643" s="1"/>
  <c r="I18" i="14703"/>
  <c r="H9" i="14630"/>
  <c r="H21" i="14630" s="1"/>
  <c r="I35" i="14634" s="1"/>
  <c r="G37" i="14630"/>
  <c r="G39" i="14632" s="1"/>
  <c r="G23" i="14630"/>
  <c r="H37" i="14634" s="1"/>
  <c r="B41" i="14653"/>
  <c r="N41" i="14653" s="1"/>
  <c r="B8" i="14630"/>
  <c r="B33" i="14653"/>
  <c r="E17" i="14692"/>
  <c r="E23" i="14692" s="1"/>
  <c r="C23" i="14692"/>
  <c r="D26" i="14652"/>
  <c r="E26" i="14652" s="1"/>
  <c r="F12" i="14652"/>
  <c r="G32" i="14637" s="1"/>
  <c r="G22" i="14685"/>
  <c r="G25" i="14685" s="1"/>
  <c r="E25" i="14685"/>
  <c r="C12" i="14661" s="1"/>
  <c r="E60" i="14692"/>
  <c r="E31" i="14692"/>
  <c r="M32" i="14702"/>
  <c r="M27" i="14702"/>
  <c r="M30" i="14702"/>
  <c r="M37" i="14702"/>
  <c r="M42" i="14702"/>
  <c r="M39" i="14702"/>
  <c r="M26" i="14702"/>
  <c r="M29" i="14702"/>
  <c r="A2" i="14675"/>
  <c r="A2" i="14628"/>
  <c r="A42" i="14673"/>
  <c r="A42" i="14672"/>
  <c r="A42" i="14629"/>
  <c r="A41" i="14682"/>
  <c r="A33" i="14636"/>
  <c r="A33" i="14672"/>
  <c r="A33" i="14629"/>
  <c r="A29" i="14672"/>
  <c r="A29" i="14636"/>
  <c r="C37" i="14702"/>
  <c r="C39" i="14702"/>
  <c r="F43" i="14702"/>
  <c r="F46" i="14702"/>
  <c r="G40" i="14702" s="1"/>
  <c r="H23" i="14702"/>
  <c r="L43" i="14702"/>
  <c r="M25" i="14702"/>
  <c r="A46" i="14665"/>
  <c r="C13" i="14665"/>
  <c r="D13" i="14665" s="1"/>
  <c r="E13" i="14665" s="1"/>
  <c r="F13" i="14665" s="1"/>
  <c r="I42" i="14653"/>
  <c r="I46" i="14653" s="1"/>
  <c r="I9" i="14630"/>
  <c r="I21" i="14630" s="1"/>
  <c r="J35" i="14634" s="1"/>
  <c r="G42" i="14653"/>
  <c r="G9" i="14630"/>
  <c r="G35" i="14630" s="1"/>
  <c r="G37" i="14632" s="1"/>
  <c r="F42" i="14653"/>
  <c r="F46" i="14653" s="1"/>
  <c r="F9" i="14630"/>
  <c r="F21" i="14630" s="1"/>
  <c r="E43" i="14653"/>
  <c r="E10" i="14637" s="1"/>
  <c r="E10" i="14630"/>
  <c r="N30" i="14653"/>
  <c r="D23" i="14637"/>
  <c r="E37" i="14639" s="1"/>
  <c r="C44" i="14653"/>
  <c r="C46" i="14653" s="1"/>
  <c r="C11" i="14630"/>
  <c r="C23" i="14630" s="1"/>
  <c r="D37" i="14634" s="1"/>
  <c r="B44" i="14653"/>
  <c r="N31" i="14653"/>
  <c r="M21" i="7"/>
  <c r="N35" i="14628" s="1"/>
  <c r="M35" i="7"/>
  <c r="M37" i="14623" s="1"/>
  <c r="M31" i="7"/>
  <c r="M33" i="14623" s="1"/>
  <c r="M17" i="7"/>
  <c r="N31" i="14628" s="1"/>
  <c r="L21" i="7"/>
  <c r="M35" i="14628" s="1"/>
  <c r="L35" i="7"/>
  <c r="L37" i="14623" s="1"/>
  <c r="K21" i="7"/>
  <c r="L35" i="14628" s="1"/>
  <c r="K35" i="7"/>
  <c r="K37" i="14623" s="1"/>
  <c r="J17" i="7"/>
  <c r="K31" i="14628" s="1"/>
  <c r="J31" i="7"/>
  <c r="J33" i="14623" s="1"/>
  <c r="I21" i="7"/>
  <c r="I35" i="7"/>
  <c r="I37" i="14623" s="1"/>
  <c r="I17" i="7"/>
  <c r="J31" i="14628" s="1"/>
  <c r="I31" i="7"/>
  <c r="I33" i="14623" s="1"/>
  <c r="H17" i="7"/>
  <c r="I31" i="14628" s="1"/>
  <c r="H31" i="7"/>
  <c r="H33" i="14623" s="1"/>
  <c r="D21" i="7"/>
  <c r="E35" i="14628" s="1"/>
  <c r="D35" i="7"/>
  <c r="D37" i="14623" s="1"/>
  <c r="B21" i="7"/>
  <c r="B35" i="7"/>
  <c r="B17" i="7"/>
  <c r="C31" i="14628" s="1"/>
  <c r="N5" i="7"/>
  <c r="B8" i="14683" s="1"/>
  <c r="A26" i="14702"/>
  <c r="K1" i="14657"/>
  <c r="A26" i="14701"/>
  <c r="A35" i="14704"/>
  <c r="K3" i="14657"/>
  <c r="A40" i="14695"/>
  <c r="A36" i="14703"/>
  <c r="K2" i="14657"/>
  <c r="M28" i="14662"/>
  <c r="D27" i="14695"/>
  <c r="B18" i="14629"/>
  <c r="O44" i="14663"/>
  <c r="J23" i="14637"/>
  <c r="J13" i="14638" s="1"/>
  <c r="E42" i="14692"/>
  <c r="B21" i="14629"/>
  <c r="H21" i="14629" s="1"/>
  <c r="M41" i="14702"/>
  <c r="D46" i="14691"/>
  <c r="D43" i="14690"/>
  <c r="O9" i="14703"/>
  <c r="J12" i="14703"/>
  <c r="K9" i="14703"/>
  <c r="B32" i="14630"/>
  <c r="B18" i="14630"/>
  <c r="C32" i="14634" s="1"/>
  <c r="D76" i="14689"/>
  <c r="C15" i="14693"/>
  <c r="C26" i="14692"/>
  <c r="E26" i="14692" s="1"/>
  <c r="B38" i="14652"/>
  <c r="I38" i="14652" s="1"/>
  <c r="J38" i="14652" s="1"/>
  <c r="D46" i="14702"/>
  <c r="E39" i="14702" s="1"/>
  <c r="J46" i="14702"/>
  <c r="G13" i="14623"/>
  <c r="F13" i="14623"/>
  <c r="F9" i="14623"/>
  <c r="B42" i="14629"/>
  <c r="B38" i="14629"/>
  <c r="B33" i="14629"/>
  <c r="B29" i="14629"/>
  <c r="B43" i="14690"/>
  <c r="B76" i="14689"/>
  <c r="G38" i="14630"/>
  <c r="G40" i="14632" s="1"/>
  <c r="E38" i="14630"/>
  <c r="E40" i="14632" s="1"/>
  <c r="D32" i="14630"/>
  <c r="B44" i="14629"/>
  <c r="B40" i="14629"/>
  <c r="B31" i="14629"/>
  <c r="B27" i="14629"/>
  <c r="B58" i="14692"/>
  <c r="B43" i="14702"/>
  <c r="B48" i="14702" s="1"/>
  <c r="C48" i="14702" s="1"/>
  <c r="C32" i="14630"/>
  <c r="D37" i="7"/>
  <c r="D39" i="14623" s="1"/>
  <c r="H3" i="14659"/>
  <c r="A36" i="14617"/>
  <c r="M27" i="14662"/>
  <c r="A35" i="14703"/>
  <c r="F14" i="14623"/>
  <c r="C14" i="14623"/>
  <c r="C10" i="14623"/>
  <c r="F6" i="14668"/>
  <c r="F6" i="14669"/>
  <c r="G8" i="14668"/>
  <c r="F6" i="14637"/>
  <c r="F18" i="14637" s="1"/>
  <c r="G32" i="14639" s="1"/>
  <c r="E7" i="14630"/>
  <c r="E33" i="14630" s="1"/>
  <c r="E35" i="14632" s="1"/>
  <c r="H6" i="14637"/>
  <c r="H18" i="14637" s="1"/>
  <c r="I32" i="14639" s="1"/>
  <c r="D8" i="14630"/>
  <c r="D32" i="7"/>
  <c r="D34" i="14623" s="1"/>
  <c r="H46" i="14653"/>
  <c r="C8" i="14630"/>
  <c r="N28" i="14653"/>
  <c r="B12" i="14667"/>
  <c r="B12" i="14701" s="1"/>
  <c r="C23" i="14709"/>
  <c r="E28" i="14688"/>
  <c r="F28" i="14688" s="1"/>
  <c r="D54" i="14685"/>
  <c r="D17" i="14661" s="1"/>
  <c r="E17" i="14661" s="1"/>
  <c r="C14" i="14709"/>
  <c r="D42" i="14685"/>
  <c r="D15" i="14661" s="1"/>
  <c r="E15" i="14661" s="1"/>
  <c r="B15" i="14661"/>
  <c r="L22" i="14709" s="1"/>
  <c r="B13" i="14661"/>
  <c r="L23" i="14709" s="1"/>
  <c r="N23" i="14709" s="1"/>
  <c r="J30" i="14685"/>
  <c r="C25" i="14685"/>
  <c r="C13" i="14709"/>
  <c r="B38" i="14630"/>
  <c r="B40" i="14632" s="1"/>
  <c r="J38" i="14630"/>
  <c r="J40" i="14632" s="1"/>
  <c r="F38" i="14630"/>
  <c r="F40" i="14632" s="1"/>
  <c r="F18" i="14652"/>
  <c r="J36" i="14630"/>
  <c r="J38" i="14632" s="1"/>
  <c r="D36" i="14630"/>
  <c r="D38" i="14632" s="1"/>
  <c r="F16" i="14652"/>
  <c r="B36" i="14637" s="1"/>
  <c r="B38" i="14638" s="1"/>
  <c r="B36" i="14630"/>
  <c r="B38" i="14632" s="1"/>
  <c r="F15" i="14652"/>
  <c r="D40" i="14629"/>
  <c r="L40" i="14629"/>
  <c r="H40" i="14629"/>
  <c r="D39" i="14629"/>
  <c r="P20" i="14655"/>
  <c r="D38" i="14629"/>
  <c r="L38" i="14629"/>
  <c r="H38" i="14629"/>
  <c r="D37" i="14629"/>
  <c r="L37" i="14629"/>
  <c r="H37" i="14629"/>
  <c r="D34" i="14629"/>
  <c r="H34" i="14629"/>
  <c r="D30" i="14629"/>
  <c r="L30" i="14629"/>
  <c r="P11" i="14655"/>
  <c r="H30" i="14629"/>
  <c r="D28" i="14629"/>
  <c r="H28" i="14629"/>
  <c r="D27" i="14629"/>
  <c r="L27" i="14629"/>
  <c r="H27" i="14629"/>
  <c r="B11" i="14629"/>
  <c r="L19" i="7"/>
  <c r="M33" i="14628" s="1"/>
  <c r="D31" i="7"/>
  <c r="D33" i="14623" s="1"/>
  <c r="C31" i="7"/>
  <c r="C33" i="14623" s="1"/>
  <c r="D18" i="14630"/>
  <c r="E32" i="14634" s="1"/>
  <c r="D33" i="7"/>
  <c r="D35" i="14623" s="1"/>
  <c r="C33" i="7"/>
  <c r="C35" i="14623" s="1"/>
  <c r="N7" i="7"/>
  <c r="B10" i="14683" s="1"/>
  <c r="B33" i="7"/>
  <c r="J9" i="14623"/>
  <c r="C9" i="14623"/>
  <c r="G9" i="14623"/>
  <c r="J18" i="14637"/>
  <c r="K32" i="14639" s="1"/>
  <c r="G76" i="14685"/>
  <c r="P9" i="14655"/>
  <c r="D34" i="14628"/>
  <c r="L5" i="14637"/>
  <c r="K8" i="14668"/>
  <c r="F8" i="14668"/>
  <c r="J66" i="14653"/>
  <c r="J7" i="14669" s="1"/>
  <c r="J5" i="14669"/>
  <c r="J34" i="7"/>
  <c r="J36" i="14623" s="1"/>
  <c r="N27" i="14653"/>
  <c r="H34" i="7"/>
  <c r="H36" i="14623" s="1"/>
  <c r="C7" i="14637"/>
  <c r="L34" i="7"/>
  <c r="L36" i="14623" s="1"/>
  <c r="D33" i="14653"/>
  <c r="E49" i="14685"/>
  <c r="C16" i="14661" s="1"/>
  <c r="G49" i="14685"/>
  <c r="C10" i="14709"/>
  <c r="C11" i="14709"/>
  <c r="B12" i="14661"/>
  <c r="L18" i="14709" s="1"/>
  <c r="C19" i="14685"/>
  <c r="C21" i="14626"/>
  <c r="C10" i="14685"/>
  <c r="E62" i="14685"/>
  <c r="E22" i="14688" s="1"/>
  <c r="E23" i="14688" s="1"/>
  <c r="G42" i="14685"/>
  <c r="E42" i="14685"/>
  <c r="C15" i="14661" s="1"/>
  <c r="E36" i="14685"/>
  <c r="C14" i="14661" s="1"/>
  <c r="L5" i="14669"/>
  <c r="L5" i="14668"/>
  <c r="K5" i="14668"/>
  <c r="K5" i="14669"/>
  <c r="C53" i="14653"/>
  <c r="C7" i="14668" s="1"/>
  <c r="M33" i="14653"/>
  <c r="C33" i="14653"/>
  <c r="K5" i="14637"/>
  <c r="I33" i="14653"/>
  <c r="D7" i="14630"/>
  <c r="D33" i="14630" s="1"/>
  <c r="D35" i="14632" s="1"/>
  <c r="C7" i="14630"/>
  <c r="C19" i="14630" s="1"/>
  <c r="D33" i="14634" s="1"/>
  <c r="E33" i="14653"/>
  <c r="L44" i="14629"/>
  <c r="H44" i="14629"/>
  <c r="D44" i="14629"/>
  <c r="L43" i="14629"/>
  <c r="P24" i="14655"/>
  <c r="H43" i="14629"/>
  <c r="D43" i="14629"/>
  <c r="L42" i="14629"/>
  <c r="H42" i="14629"/>
  <c r="D42" i="14629"/>
  <c r="L41" i="14629"/>
  <c r="H41" i="14629"/>
  <c r="D41" i="14629"/>
  <c r="L33" i="14629"/>
  <c r="D33" i="14629"/>
  <c r="H32" i="14629"/>
  <c r="H29" i="14629"/>
  <c r="B15" i="14629"/>
  <c r="E38" i="7"/>
  <c r="E40" i="14623" s="1"/>
  <c r="G34" i="7"/>
  <c r="G36" i="14623" s="1"/>
  <c r="G2" i="14706"/>
  <c r="H38" i="7"/>
  <c r="H40" i="14623" s="1"/>
  <c r="J38" i="7"/>
  <c r="J40" i="14623" s="1"/>
  <c r="L38" i="7"/>
  <c r="L40" i="14623" s="1"/>
  <c r="C28" i="14708"/>
  <c r="D2" i="14706"/>
  <c r="G38" i="14628"/>
  <c r="G14" i="14623"/>
  <c r="D38" i="7"/>
  <c r="D40" i="14623" s="1"/>
  <c r="F34" i="7"/>
  <c r="F36" i="14623" s="1"/>
  <c r="G38" i="7"/>
  <c r="G40" i="14623" s="1"/>
  <c r="I34" i="7"/>
  <c r="I36" i="14623" s="1"/>
  <c r="K34" i="7"/>
  <c r="K36" i="14623" s="1"/>
  <c r="M34" i="7"/>
  <c r="M36" i="14623" s="1"/>
  <c r="E34" i="7"/>
  <c r="E36" i="14623" s="1"/>
  <c r="I38" i="7"/>
  <c r="I40" i="14623" s="1"/>
  <c r="K38" i="7"/>
  <c r="K40" i="14623" s="1"/>
  <c r="M38" i="7"/>
  <c r="M40" i="14623" s="1"/>
  <c r="G62" i="14685"/>
  <c r="J19" i="14685"/>
  <c r="E25" i="14688"/>
  <c r="F25" i="14688" s="1"/>
  <c r="G25" i="14688" s="1"/>
  <c r="J10" i="14685"/>
  <c r="C28" i="14707"/>
  <c r="G37" i="7"/>
  <c r="G39" i="14623" s="1"/>
  <c r="H37" i="7"/>
  <c r="H39" i="14623" s="1"/>
  <c r="I37" i="7"/>
  <c r="I39" i="14623" s="1"/>
  <c r="J37" i="7"/>
  <c r="J39" i="14623" s="1"/>
  <c r="M19" i="7"/>
  <c r="N33" i="14628" s="1"/>
  <c r="L23" i="7"/>
  <c r="M37" i="14628" s="1"/>
  <c r="G33" i="14628"/>
  <c r="H37" i="14628"/>
  <c r="H33" i="7"/>
  <c r="H35" i="14623" s="1"/>
  <c r="I33" i="7"/>
  <c r="I35" i="14623" s="1"/>
  <c r="J33" i="7"/>
  <c r="J35" i="14623" s="1"/>
  <c r="K19" i="7"/>
  <c r="L33" i="14628" s="1"/>
  <c r="A17" i="14637"/>
  <c r="A12" i="14653"/>
  <c r="A31" i="14634" s="1"/>
  <c r="A25" i="14647"/>
  <c r="A7" i="14632" s="1"/>
  <c r="A33" i="14632" s="1"/>
  <c r="L8" i="14668"/>
  <c r="L67" i="14653"/>
  <c r="L8" i="14669" s="1"/>
  <c r="F12" i="14668"/>
  <c r="F71" i="14653"/>
  <c r="F12" i="14669" s="1"/>
  <c r="J9" i="14668"/>
  <c r="J68" i="14653"/>
  <c r="J9" i="14669" s="1"/>
  <c r="E5" i="14669"/>
  <c r="D57" i="14653"/>
  <c r="B50" i="14694"/>
  <c r="C50" i="14694" s="1"/>
  <c r="D50" i="14694" s="1"/>
  <c r="E50" i="14694" s="1"/>
  <c r="F50" i="14694" s="1"/>
  <c r="C42" i="14694"/>
  <c r="D42" i="14694" s="1"/>
  <c r="E42" i="14694" s="1"/>
  <c r="F42" i="14694" s="1"/>
  <c r="G42" i="14694" s="1"/>
  <c r="H42" i="14694" s="1"/>
  <c r="I42" i="14694" s="1"/>
  <c r="J42" i="14694" s="1"/>
  <c r="K42" i="14694" s="1"/>
  <c r="L42" i="14694" s="1"/>
  <c r="M42" i="14694" s="1"/>
  <c r="E58" i="14653"/>
  <c r="E12" i="14637"/>
  <c r="E38" i="14637" s="1"/>
  <c r="E40" i="14638" s="1"/>
  <c r="N45" i="14653"/>
  <c r="K25" i="14702"/>
  <c r="I57" i="14653"/>
  <c r="I11" i="14637"/>
  <c r="I23" i="14637" s="1"/>
  <c r="J37" i="14639" s="1"/>
  <c r="F10" i="14668"/>
  <c r="H6" i="14668"/>
  <c r="B34" i="14683"/>
  <c r="C71" i="14653"/>
  <c r="C12" i="14669" s="1"/>
  <c r="C34" i="14694"/>
  <c r="D34" i="14694" s="1"/>
  <c r="E34" i="14694" s="1"/>
  <c r="F34" i="14694" s="1"/>
  <c r="G34" i="14694" s="1"/>
  <c r="H34" i="14694" s="1"/>
  <c r="I34" i="14694" s="1"/>
  <c r="J34" i="14694" s="1"/>
  <c r="K34" i="14694" s="1"/>
  <c r="L34" i="14694" s="1"/>
  <c r="M34" i="14694" s="1"/>
  <c r="G27" i="14702"/>
  <c r="G39" i="14702"/>
  <c r="I26" i="14634"/>
  <c r="I8" i="14633" s="1"/>
  <c r="M40" i="14702"/>
  <c r="M36" i="14702"/>
  <c r="M46" i="14702" s="1"/>
  <c r="A11" i="14630"/>
  <c r="A57" i="14643" s="1"/>
  <c r="A15" i="14647"/>
  <c r="A27" i="14647"/>
  <c r="A9" i="14632" s="1"/>
  <c r="A35" i="14632" s="1"/>
  <c r="A42" i="14647"/>
  <c r="A9" i="14679" s="1"/>
  <c r="A35" i="14679" s="1"/>
  <c r="L5" i="14630"/>
  <c r="L17" i="14630" s="1"/>
  <c r="M31" i="14634" s="1"/>
  <c r="K9" i="14630"/>
  <c r="I10" i="14630"/>
  <c r="I6" i="14630"/>
  <c r="F37" i="14630"/>
  <c r="F39" i="14632" s="1"/>
  <c r="D37" i="14630"/>
  <c r="D39" i="14632" s="1"/>
  <c r="B37" i="14630"/>
  <c r="B39" i="14632" s="1"/>
  <c r="B7" i="14630"/>
  <c r="P14" i="14655"/>
  <c r="B9" i="11"/>
  <c r="B26" i="14667" s="1"/>
  <c r="D26" i="14667" s="1"/>
  <c r="F3" i="11"/>
  <c r="A16" i="14668"/>
  <c r="G28" i="14702"/>
  <c r="F26" i="14634"/>
  <c r="F8" i="14633" s="1"/>
  <c r="M28" i="14702"/>
  <c r="M33" i="14702"/>
  <c r="C30" i="14702"/>
  <c r="A14" i="14653"/>
  <c r="A33" i="14634" s="1"/>
  <c r="A31" i="14647"/>
  <c r="A13" i="14632" s="1"/>
  <c r="A39" i="14632" s="1"/>
  <c r="A28" i="14636"/>
  <c r="M5" i="14630"/>
  <c r="M17" i="14630" s="1"/>
  <c r="N31" i="14634" s="1"/>
  <c r="L9" i="14630"/>
  <c r="L35" i="14630" s="1"/>
  <c r="K37" i="14630"/>
  <c r="K39" i="14632" s="1"/>
  <c r="K33" i="14630"/>
  <c r="K35" i="14632" s="1"/>
  <c r="H37" i="14630"/>
  <c r="H39" i="14632" s="1"/>
  <c r="G10" i="14630"/>
  <c r="G36" i="14630" s="1"/>
  <c r="G38" i="14632" s="1"/>
  <c r="G6" i="14630"/>
  <c r="G32" i="14630" s="1"/>
  <c r="G34" i="14632" s="1"/>
  <c r="D12" i="14637"/>
  <c r="D24" i="14637" s="1"/>
  <c r="E38" i="14639" s="1"/>
  <c r="F13" i="14652"/>
  <c r="J33" i="14637" s="1"/>
  <c r="J35" i="14638" s="1"/>
  <c r="A16" i="14630"/>
  <c r="A16" i="14637"/>
  <c r="G30" i="14702"/>
  <c r="G42" i="14702"/>
  <c r="O26" i="14634"/>
  <c r="C26" i="14639" s="1"/>
  <c r="C8" i="14641" s="1"/>
  <c r="A28" i="14673"/>
  <c r="A28" i="14629"/>
  <c r="A11" i="14668"/>
  <c r="A28" i="14672"/>
  <c r="B44" i="14702"/>
  <c r="C44" i="14702" s="1"/>
  <c r="L9" i="14703"/>
  <c r="L24" i="14703"/>
  <c r="M9" i="14630"/>
  <c r="M35" i="14630" s="1"/>
  <c r="M37" i="14632" s="1"/>
  <c r="K5" i="14630"/>
  <c r="K17" i="14630" s="1"/>
  <c r="L31" i="14634" s="1"/>
  <c r="J9" i="14630"/>
  <c r="I37" i="14630"/>
  <c r="I39" i="14632" s="1"/>
  <c r="H10" i="14630"/>
  <c r="H6" i="14630"/>
  <c r="P19" i="14655"/>
  <c r="P8" i="14655"/>
  <c r="G15" i="14652"/>
  <c r="I15" i="14652" s="1"/>
  <c r="H11" i="14710"/>
  <c r="J11" i="14710" s="1"/>
  <c r="H16" i="14710"/>
  <c r="H30" i="14652" s="1"/>
  <c r="I30" i="14652" s="1"/>
  <c r="D28" i="14667"/>
  <c r="C28" i="14701" s="1"/>
  <c r="L17" i="14662"/>
  <c r="M17" i="14662" s="1"/>
  <c r="A16" i="14653"/>
  <c r="A35" i="14628" s="1"/>
  <c r="A21" i="14637"/>
  <c r="F26" i="14639"/>
  <c r="F8" i="14641" s="1"/>
  <c r="F37" i="7"/>
  <c r="F39" i="14623" s="1"/>
  <c r="A30" i="14672"/>
  <c r="A17" i="14669"/>
  <c r="A9" i="14637"/>
  <c r="A68" i="14643" s="1"/>
  <c r="A28" i="14694"/>
  <c r="G13" i="14638"/>
  <c r="N80" i="14645"/>
  <c r="M23" i="7"/>
  <c r="N37" i="14628" s="1"/>
  <c r="E24" i="14630"/>
  <c r="F38" i="14634" s="1"/>
  <c r="A20" i="14694"/>
  <c r="I6" i="14694"/>
  <c r="A5" i="7"/>
  <c r="A38" i="14643" s="1"/>
  <c r="A17" i="7"/>
  <c r="N11" i="7"/>
  <c r="B14" i="14683" s="1"/>
  <c r="D14" i="14683" s="1"/>
  <c r="A44" i="14647"/>
  <c r="A11" i="14678" s="1"/>
  <c r="A37" i="14678" s="1"/>
  <c r="A40" i="14647"/>
  <c r="B66" i="14692"/>
  <c r="D66" i="14692" s="1"/>
  <c r="A52" i="14694"/>
  <c r="L26" i="14639"/>
  <c r="L8" i="14641" s="1"/>
  <c r="B42" i="14667"/>
  <c r="D42" i="14667" s="1"/>
  <c r="C42" i="14701" s="1"/>
  <c r="N23" i="14645"/>
  <c r="A30" i="14629"/>
  <c r="A21" i="14683"/>
  <c r="H23" i="14630"/>
  <c r="I37" i="14634" s="1"/>
  <c r="J22" i="14630"/>
  <c r="K36" i="14634" s="1"/>
  <c r="K19" i="14630"/>
  <c r="L33" i="14634" s="1"/>
  <c r="L21" i="14630"/>
  <c r="M35" i="14634" s="1"/>
  <c r="A34" i="14636"/>
  <c r="A13" i="14638"/>
  <c r="A39" i="14638" s="1"/>
  <c r="A5" i="14630"/>
  <c r="A21" i="7"/>
  <c r="A12" i="14683"/>
  <c r="A40" i="14683" s="1"/>
  <c r="A29" i="14647"/>
  <c r="A11" i="14632" s="1"/>
  <c r="A37" i="14632" s="1"/>
  <c r="F28" i="14624"/>
  <c r="E5" i="14630"/>
  <c r="E17" i="14630" s="1"/>
  <c r="F31" i="14634" s="1"/>
  <c r="A24" i="14662"/>
  <c r="A25" i="14662"/>
  <c r="A26" i="14662" s="1"/>
  <c r="A27" i="14662" s="1"/>
  <c r="A28" i="14662" s="1"/>
  <c r="A29" i="14662" s="1"/>
  <c r="A30" i="14662" s="1"/>
  <c r="A31" i="14662" s="1"/>
  <c r="A32" i="14662" s="1"/>
  <c r="A33" i="14662" s="1"/>
  <c r="A34" i="14662" s="1"/>
  <c r="A35" i="14662" s="1"/>
  <c r="A36" i="14662" s="1"/>
  <c r="A37" i="14662" s="1"/>
  <c r="A38" i="14662" s="1"/>
  <c r="A39" i="14662" s="1"/>
  <c r="O55" i="14663"/>
  <c r="I10" i="14637"/>
  <c r="I56" i="14653"/>
  <c r="J62" i="14685"/>
  <c r="D62" i="14685"/>
  <c r="D19" i="14661" s="1"/>
  <c r="E19" i="14661" s="1"/>
  <c r="B19" i="14661"/>
  <c r="B10" i="14667" s="1"/>
  <c r="D10" i="14667" s="1"/>
  <c r="C62" i="14685"/>
  <c r="H12" i="14703"/>
  <c r="L12" i="14703"/>
  <c r="G20" i="14703"/>
  <c r="L38" i="14637"/>
  <c r="L40" i="14638" s="1"/>
  <c r="H18" i="14710"/>
  <c r="F32" i="14652"/>
  <c r="G32" i="14652" s="1"/>
  <c r="C18" i="14637"/>
  <c r="D32" i="14639" s="1"/>
  <c r="B10" i="14668"/>
  <c r="B12" i="14668"/>
  <c r="D44" i="14702"/>
  <c r="G54" i="14685"/>
  <c r="G18" i="14652"/>
  <c r="I18" i="14652" s="1"/>
  <c r="F17" i="14652"/>
  <c r="J37" i="14637" s="1"/>
  <c r="J39" i="14638" s="1"/>
  <c r="F38" i="14637"/>
  <c r="F40" i="14638" s="1"/>
  <c r="B16" i="14629"/>
  <c r="P18" i="14655"/>
  <c r="C16" i="14626"/>
  <c r="L26" i="14709"/>
  <c r="M26" i="14709" s="1"/>
  <c r="N26" i="14709" s="1"/>
  <c r="G11" i="14623"/>
  <c r="G18" i="14637"/>
  <c r="H32" i="14639" s="1"/>
  <c r="G16" i="14652"/>
  <c r="I16" i="14652" s="1"/>
  <c r="B5" i="14681"/>
  <c r="I53" i="14653"/>
  <c r="I7" i="14637"/>
  <c r="I19" i="14637" s="1"/>
  <c r="K20" i="14637"/>
  <c r="L34" i="14639" s="1"/>
  <c r="F20" i="14637"/>
  <c r="F10" i="14638" s="1"/>
  <c r="H20" i="14637"/>
  <c r="H10" i="14638" s="1"/>
  <c r="G20" i="14637"/>
  <c r="H34" i="14639" s="1"/>
  <c r="D29" i="14629"/>
  <c r="L29" i="14629"/>
  <c r="P10" i="14655"/>
  <c r="H35" i="14628"/>
  <c r="G35" i="7"/>
  <c r="G37" i="14623" s="1"/>
  <c r="E9" i="14630"/>
  <c r="N29" i="14653"/>
  <c r="L7" i="14630"/>
  <c r="G7" i="14668"/>
  <c r="F33" i="7"/>
  <c r="E53" i="14653"/>
  <c r="E7" i="14637"/>
  <c r="E33" i="14637" s="1"/>
  <c r="E35" i="14638" s="1"/>
  <c r="E6" i="14630"/>
  <c r="J5" i="14630"/>
  <c r="J17" i="14630" s="1"/>
  <c r="K31" i="14634" s="1"/>
  <c r="L32" i="14629"/>
  <c r="D32" i="14629"/>
  <c r="D36" i="14629"/>
  <c r="H39" i="14629"/>
  <c r="L39" i="14629"/>
  <c r="H33" i="14629"/>
  <c r="H35" i="14629"/>
  <c r="L31" i="14629"/>
  <c r="D31" i="14629"/>
  <c r="L28" i="14629"/>
  <c r="P21" i="14655"/>
  <c r="D35" i="14629"/>
  <c r="L35" i="14629"/>
  <c r="C29" i="14649"/>
  <c r="C9" i="14710"/>
  <c r="C9" i="14652" s="1"/>
  <c r="D23" i="14652" s="1"/>
  <c r="E35" i="7"/>
  <c r="E37" i="14623" s="1"/>
  <c r="F35" i="7"/>
  <c r="F37" i="14623" s="1"/>
  <c r="F29" i="14652"/>
  <c r="G29" i="14652" s="1"/>
  <c r="H15" i="14710"/>
  <c r="M21" i="14668" s="1"/>
  <c r="N35" i="14674" s="1"/>
  <c r="J21" i="14637"/>
  <c r="J11" i="14638" s="1"/>
  <c r="H34" i="14637"/>
  <c r="H36" i="14638" s="1"/>
  <c r="K34" i="14637"/>
  <c r="K36" i="14638" s="1"/>
  <c r="H14" i="14652"/>
  <c r="F34" i="14630"/>
  <c r="F36" i="14632" s="1"/>
  <c r="D28" i="14652"/>
  <c r="E28" i="14652" s="1"/>
  <c r="H34" i="14630"/>
  <c r="H36" i="14632" s="1"/>
  <c r="F34" i="14637"/>
  <c r="F36" i="14638" s="1"/>
  <c r="F27" i="14652"/>
  <c r="G27" i="14652" s="1"/>
  <c r="D53" i="14653"/>
  <c r="N40" i="14653"/>
  <c r="D7" i="14637"/>
  <c r="E33" i="7"/>
  <c r="E35" i="14623" s="1"/>
  <c r="M18" i="14637"/>
  <c r="N32" i="14639" s="1"/>
  <c r="A38" i="14652"/>
  <c r="A26" i="14652"/>
  <c r="A26" i="14647"/>
  <c r="A8" i="14632" s="1"/>
  <c r="A34" i="14632" s="1"/>
  <c r="B34" i="14623"/>
  <c r="M46" i="14653"/>
  <c r="L46" i="14653"/>
  <c r="G25" i="7"/>
  <c r="G5" i="8" s="1"/>
  <c r="F25" i="7"/>
  <c r="F5" i="8" s="1"/>
  <c r="C25" i="7"/>
  <c r="C5" i="8" s="1"/>
  <c r="C7" i="8" s="1"/>
  <c r="H32" i="14628"/>
  <c r="E32" i="7"/>
  <c r="E34" i="14623" s="1"/>
  <c r="F32" i="7"/>
  <c r="G32" i="7"/>
  <c r="E32" i="14628"/>
  <c r="F32" i="14628"/>
  <c r="K18" i="14637"/>
  <c r="L32" i="14639" s="1"/>
  <c r="E25" i="7"/>
  <c r="E5" i="8" s="1"/>
  <c r="E7" i="8" s="1"/>
  <c r="J33" i="14653"/>
  <c r="I5" i="14630"/>
  <c r="I17" i="14630" s="1"/>
  <c r="J31" i="14634" s="1"/>
  <c r="H5" i="14630"/>
  <c r="H17" i="14630" s="1"/>
  <c r="I31" i="14634" s="1"/>
  <c r="C6" i="14669"/>
  <c r="D32" i="14628"/>
  <c r="K33" i="14653"/>
  <c r="G33" i="14653"/>
  <c r="N26" i="14653"/>
  <c r="G32" i="14628"/>
  <c r="F5" i="14637"/>
  <c r="J46" i="14653"/>
  <c r="K46" i="14653"/>
  <c r="J32" i="14628"/>
  <c r="L33" i="14653"/>
  <c r="H33" i="14653"/>
  <c r="M6" i="14630"/>
  <c r="M32" i="14630" s="1"/>
  <c r="L6" i="14630"/>
  <c r="L18" i="14630" s="1"/>
  <c r="L8" i="14632" s="1"/>
  <c r="K6" i="14630"/>
  <c r="J6" i="14630"/>
  <c r="N20" i="14653"/>
  <c r="G5" i="14630"/>
  <c r="G17" i="14630" s="1"/>
  <c r="H31" i="14634" s="1"/>
  <c r="N25" i="14653"/>
  <c r="F33" i="14653"/>
  <c r="F5" i="14630"/>
  <c r="F31" i="14630" s="1"/>
  <c r="H14" i="14710"/>
  <c r="F28" i="14652"/>
  <c r="G28" i="14652" s="1"/>
  <c r="I14" i="14652"/>
  <c r="C30" i="14710"/>
  <c r="B29" i="14710"/>
  <c r="I29" i="14710" s="1"/>
  <c r="J29" i="14710" s="1"/>
  <c r="D39" i="14652"/>
  <c r="H13" i="14710"/>
  <c r="C42" i="14652"/>
  <c r="C60" i="14647"/>
  <c r="C77" i="14647" s="1"/>
  <c r="C92" i="14647" s="1"/>
  <c r="H12" i="14710"/>
  <c r="H17" i="14652"/>
  <c r="L37" i="14637"/>
  <c r="L39" i="14638" s="1"/>
  <c r="B56" i="14647"/>
  <c r="I56" i="14647" s="1"/>
  <c r="J56" i="14647" s="1"/>
  <c r="G33" i="7"/>
  <c r="E37" i="7"/>
  <c r="E39" i="14623" s="1"/>
  <c r="I24" i="14637"/>
  <c r="B22" i="14637"/>
  <c r="B12" i="14638" s="1"/>
  <c r="C11" i="14648"/>
  <c r="F11" i="14652"/>
  <c r="D31" i="14630"/>
  <c r="D33" i="14632" s="1"/>
  <c r="C31" i="14630"/>
  <c r="B31" i="14630"/>
  <c r="B33" i="14632" s="1"/>
  <c r="P12" i="14655"/>
  <c r="C39" i="14692"/>
  <c r="E39" i="14692" s="1"/>
  <c r="I6" i="14637"/>
  <c r="N39" i="14653"/>
  <c r="L36" i="14629"/>
  <c r="H36" i="14629"/>
  <c r="P17" i="14655"/>
  <c r="P23" i="14655"/>
  <c r="O43" i="14624"/>
  <c r="B42" i="14682" s="1"/>
  <c r="L42" i="14624"/>
  <c r="O42" i="14624" s="1"/>
  <c r="B41" i="14682" s="1"/>
  <c r="O40" i="14624"/>
  <c r="B39" i="14682" s="1"/>
  <c r="O36" i="14624"/>
  <c r="B35" i="14682" s="1"/>
  <c r="O33" i="14624"/>
  <c r="B32" i="14682" s="1"/>
  <c r="P15" i="14655"/>
  <c r="P13" i="14655"/>
  <c r="C43" i="14692"/>
  <c r="E43" i="14692" s="1"/>
  <c r="C38" i="14692"/>
  <c r="E38" i="14692" s="1"/>
  <c r="C28" i="14692"/>
  <c r="E28" i="14692" s="1"/>
  <c r="B11" i="14661"/>
  <c r="L19" i="14709" s="1"/>
  <c r="M19" i="14709" s="1"/>
  <c r="N19" i="14709" s="1"/>
  <c r="D19" i="14685"/>
  <c r="D11" i="14661" s="1"/>
  <c r="E11" i="14661" s="1"/>
  <c r="C9" i="14709"/>
  <c r="E10" i="14685"/>
  <c r="E24" i="14688"/>
  <c r="F24" i="14688" s="1"/>
  <c r="G24" i="14688" s="1"/>
  <c r="D10" i="14685"/>
  <c r="D10" i="14661" s="1"/>
  <c r="E10" i="14661" s="1"/>
  <c r="B10" i="14661"/>
  <c r="L17" i="14709" s="1"/>
  <c r="M17" i="14709" s="1"/>
  <c r="N17" i="14709" s="1"/>
  <c r="C8" i="14709"/>
  <c r="C14" i="14624"/>
  <c r="C22" i="14624" s="1"/>
  <c r="D17" i="14663"/>
  <c r="D14" i="14624" s="1"/>
  <c r="C9" i="14624"/>
  <c r="C21" i="14624" s="1"/>
  <c r="D16" i="14663"/>
  <c r="D9" i="14624" s="1"/>
  <c r="P16" i="14655"/>
  <c r="L34" i="14629"/>
  <c r="E34" i="14624"/>
  <c r="O34" i="14624" s="1"/>
  <c r="B33" i="14682" s="1"/>
  <c r="B16" i="14667"/>
  <c r="C32" i="14692"/>
  <c r="E32" i="14692" s="1"/>
  <c r="C28" i="14624"/>
  <c r="P25" i="14655"/>
  <c r="P22" i="14655"/>
  <c r="C37" i="14692"/>
  <c r="E37" i="14692" s="1"/>
  <c r="N22" i="14709"/>
  <c r="M22" i="14709"/>
  <c r="C19" i="14661"/>
  <c r="F18" i="14688"/>
  <c r="G18" i="14688" s="1"/>
  <c r="N13" i="14709" s="1"/>
  <c r="L13" i="14709"/>
  <c r="F13" i="14638"/>
  <c r="G37" i="14639"/>
  <c r="L13" i="14638"/>
  <c r="M37" i="14639"/>
  <c r="M23" i="14637"/>
  <c r="K22" i="14637"/>
  <c r="F37" i="14637"/>
  <c r="F39" i="14638" s="1"/>
  <c r="A30" i="14647"/>
  <c r="A12" i="14632" s="1"/>
  <c r="A38" i="14632" s="1"/>
  <c r="A7" i="14669"/>
  <c r="G34" i="14637"/>
  <c r="G36" i="14638" s="1"/>
  <c r="M36" i="7"/>
  <c r="M38" i="14623" s="1"/>
  <c r="A55" i="14643"/>
  <c r="A39" i="14636"/>
  <c r="B9" i="14647"/>
  <c r="I9" i="14647" s="1"/>
  <c r="J9" i="14647" s="1"/>
  <c r="B6" i="14669"/>
  <c r="N38" i="14653"/>
  <c r="I5" i="14637"/>
  <c r="G31" i="7"/>
  <c r="F31" i="7"/>
  <c r="F33" i="14623" s="1"/>
  <c r="E31" i="7"/>
  <c r="E33" i="14623" s="1"/>
  <c r="O41" i="14624"/>
  <c r="B40" i="14682" s="1"/>
  <c r="C20" i="14712" s="1"/>
  <c r="O39" i="14624"/>
  <c r="B38" i="14682" s="1"/>
  <c r="C23" i="14712" s="1"/>
  <c r="O38" i="14624"/>
  <c r="B37" i="14682" s="1"/>
  <c r="N37" i="14624"/>
  <c r="O37" i="14624" s="1"/>
  <c r="O35" i="14624"/>
  <c r="B34" i="14682" s="1"/>
  <c r="D25" i="14685"/>
  <c r="D12" i="14661" s="1"/>
  <c r="B4" i="14672"/>
  <c r="K28" i="14672" s="1"/>
  <c r="F14" i="14665"/>
  <c r="B4" i="14673" s="1"/>
  <c r="B25" i="14682"/>
  <c r="G27" i="14647"/>
  <c r="G42" i="14647" s="1"/>
  <c r="D36" i="14623"/>
  <c r="C38" i="14623"/>
  <c r="B36" i="14623"/>
  <c r="C20" i="14709"/>
  <c r="A38" i="14673"/>
  <c r="A5" i="14668"/>
  <c r="A77" i="14643" s="1"/>
  <c r="A7" i="14668"/>
  <c r="A7" i="14630"/>
  <c r="A7" i="7"/>
  <c r="A9" i="14668"/>
  <c r="A35" i="14668" s="1"/>
  <c r="A55" i="14668" s="1"/>
  <c r="A9" i="7"/>
  <c r="A18" i="14653"/>
  <c r="A37" i="14639" s="1"/>
  <c r="A11" i="7"/>
  <c r="C73" i="14647"/>
  <c r="E25" i="14647"/>
  <c r="E40" i="14647" s="1"/>
  <c r="A23" i="7"/>
  <c r="A19" i="7"/>
  <c r="A23" i="14630"/>
  <c r="A21" i="14630"/>
  <c r="A19" i="14630"/>
  <c r="A17" i="14630"/>
  <c r="A23" i="14637"/>
  <c r="A19" i="14637"/>
  <c r="A23" i="14668"/>
  <c r="A21" i="14668"/>
  <c r="A19" i="14668"/>
  <c r="A17" i="14668"/>
  <c r="A23" i="14669"/>
  <c r="A19" i="14669"/>
  <c r="A27" i="14683"/>
  <c r="A23" i="14683"/>
  <c r="A14" i="14683"/>
  <c r="A42" i="14683" s="1"/>
  <c r="A10" i="14683"/>
  <c r="A38" i="14683" s="1"/>
  <c r="A13" i="14647"/>
  <c r="A60" i="14647" s="1"/>
  <c r="A77" i="14647" s="1"/>
  <c r="A92" i="14647" s="1"/>
  <c r="A9" i="14647"/>
  <c r="B53" i="14692"/>
  <c r="D53" i="14692" s="1"/>
  <c r="B46" i="14692"/>
  <c r="B34" i="14692"/>
  <c r="B29" i="14692"/>
  <c r="D29" i="14692" s="1"/>
  <c r="B23" i="14692"/>
  <c r="D23" i="14692" s="1"/>
  <c r="B40" i="14692"/>
  <c r="E67" i="14689"/>
  <c r="O26" i="14639"/>
  <c r="C26" i="14674" s="1"/>
  <c r="C8" i="14676" s="1"/>
  <c r="N44" i="14629"/>
  <c r="J44" i="14629"/>
  <c r="F44" i="14629"/>
  <c r="N43" i="14629"/>
  <c r="J43" i="14629"/>
  <c r="F43" i="14629"/>
  <c r="N42" i="14629"/>
  <c r="J42" i="14629"/>
  <c r="F42" i="14629"/>
  <c r="N41" i="14629"/>
  <c r="J41" i="14629"/>
  <c r="F41" i="14629"/>
  <c r="N40" i="14629"/>
  <c r="J40" i="14629"/>
  <c r="F40" i="14629"/>
  <c r="N39" i="14629"/>
  <c r="J39" i="14629"/>
  <c r="F39" i="14629"/>
  <c r="N38" i="14629"/>
  <c r="J38" i="14629"/>
  <c r="F38" i="14629"/>
  <c r="N37" i="14629"/>
  <c r="J37" i="14629"/>
  <c r="F37" i="14629"/>
  <c r="N36" i="14629"/>
  <c r="J36" i="14629"/>
  <c r="F36" i="14629"/>
  <c r="N35" i="14629"/>
  <c r="J35" i="14629"/>
  <c r="F35" i="14629"/>
  <c r="N34" i="14629"/>
  <c r="J34" i="14629"/>
  <c r="F34" i="14629"/>
  <c r="N33" i="14629"/>
  <c r="J33" i="14629"/>
  <c r="F33" i="14629"/>
  <c r="N32" i="14629"/>
  <c r="J32" i="14629"/>
  <c r="F32" i="14629"/>
  <c r="N31" i="14629"/>
  <c r="J31" i="14629"/>
  <c r="F31" i="14629"/>
  <c r="N30" i="14629"/>
  <c r="J30" i="14629"/>
  <c r="F30" i="14629"/>
  <c r="N29" i="14629"/>
  <c r="J29" i="14629"/>
  <c r="F29" i="14629"/>
  <c r="N28" i="14629"/>
  <c r="J28" i="14629"/>
  <c r="F28" i="14629"/>
  <c r="N27" i="14629"/>
  <c r="J27" i="14629"/>
  <c r="F27" i="14629"/>
  <c r="K36" i="7"/>
  <c r="K38" i="14623" s="1"/>
  <c r="E38" i="14688"/>
  <c r="C12" i="14709"/>
  <c r="E15" i="14695"/>
  <c r="B11" i="14636"/>
  <c r="C40" i="14647"/>
  <c r="A13" i="14623"/>
  <c r="A39" i="14623" s="1"/>
  <c r="A62" i="14647"/>
  <c r="A79" i="14647" s="1"/>
  <c r="A94" i="14647" s="1"/>
  <c r="A9" i="14623"/>
  <c r="A35" i="14623" s="1"/>
  <c r="A58" i="14647"/>
  <c r="A75" i="14647" s="1"/>
  <c r="A90" i="14647" s="1"/>
  <c r="A44" i="14682"/>
  <c r="A45" i="14629"/>
  <c r="A45" i="14673"/>
  <c r="A42" i="14682"/>
  <c r="A43" i="14673"/>
  <c r="A40" i="14682"/>
  <c r="A41" i="14629"/>
  <c r="A41" i="14636"/>
  <c r="A41" i="14672"/>
  <c r="A31" i="14682"/>
  <c r="A32" i="14636"/>
  <c r="A43" i="14694"/>
  <c r="A27" i="14694"/>
  <c r="A51" i="14694"/>
  <c r="B17" i="14701"/>
  <c r="E54" i="14688"/>
  <c r="D15" i="14667"/>
  <c r="L32" i="14709" s="1"/>
  <c r="E68" i="14688"/>
  <c r="B28" i="14701"/>
  <c r="E24" i="14689"/>
  <c r="F47" i="14689"/>
  <c r="F34" i="14667"/>
  <c r="D34" i="14701" s="1"/>
  <c r="M38" i="14630"/>
  <c r="M40" i="14632" s="1"/>
  <c r="M24" i="14630"/>
  <c r="N38" i="14634" s="1"/>
  <c r="L38" i="14630"/>
  <c r="L40" i="14632" s="1"/>
  <c r="L24" i="14630"/>
  <c r="M38" i="14634" s="1"/>
  <c r="C27" i="14629"/>
  <c r="E27" i="14629"/>
  <c r="G27" i="14629"/>
  <c r="I27" i="14629"/>
  <c r="K27" i="14629"/>
  <c r="M27" i="14629"/>
  <c r="C28" i="14629"/>
  <c r="E28" i="14629"/>
  <c r="G28" i="14629"/>
  <c r="I28" i="14629"/>
  <c r="K28" i="14629"/>
  <c r="M28" i="14629"/>
  <c r="C29" i="14629"/>
  <c r="E29" i="14629"/>
  <c r="G29" i="14629"/>
  <c r="I29" i="14629"/>
  <c r="K29" i="14629"/>
  <c r="M29" i="14629"/>
  <c r="C30" i="14629"/>
  <c r="E30" i="14629"/>
  <c r="G30" i="14629"/>
  <c r="I30" i="14629"/>
  <c r="K30" i="14629"/>
  <c r="M30" i="14629"/>
  <c r="C31" i="14629"/>
  <c r="E31" i="14629"/>
  <c r="G31" i="14629"/>
  <c r="I31" i="14629"/>
  <c r="K31" i="14629"/>
  <c r="M31" i="14629"/>
  <c r="C32" i="14629"/>
  <c r="E32" i="14629"/>
  <c r="G32" i="14629"/>
  <c r="I32" i="14629"/>
  <c r="K32" i="14629"/>
  <c r="M32" i="14629"/>
  <c r="C33" i="14629"/>
  <c r="E33" i="14629"/>
  <c r="G33" i="14629"/>
  <c r="I33" i="14629"/>
  <c r="K33" i="14629"/>
  <c r="M33" i="14629"/>
  <c r="C34" i="14629"/>
  <c r="E34" i="14629"/>
  <c r="G34" i="14629"/>
  <c r="I34" i="14629"/>
  <c r="K34" i="14629"/>
  <c r="M34" i="14629"/>
  <c r="C35" i="14629"/>
  <c r="E35" i="14629"/>
  <c r="G35" i="14629"/>
  <c r="I35" i="14629"/>
  <c r="K35" i="14629"/>
  <c r="M35" i="14629"/>
  <c r="C36" i="14629"/>
  <c r="E36" i="14629"/>
  <c r="G36" i="14629"/>
  <c r="I36" i="14629"/>
  <c r="K36" i="14629"/>
  <c r="M36" i="14629"/>
  <c r="C37" i="14629"/>
  <c r="E37" i="14629"/>
  <c r="G37" i="14629"/>
  <c r="I37" i="14629"/>
  <c r="K37" i="14629"/>
  <c r="M37" i="14629"/>
  <c r="C38" i="14629"/>
  <c r="E38" i="14629"/>
  <c r="G38" i="14629"/>
  <c r="I38" i="14629"/>
  <c r="K38" i="14629"/>
  <c r="M38" i="14629"/>
  <c r="C39" i="14629"/>
  <c r="E39" i="14629"/>
  <c r="G39" i="14629"/>
  <c r="I39" i="14629"/>
  <c r="K39" i="14629"/>
  <c r="M39" i="14629"/>
  <c r="C40" i="14629"/>
  <c r="E40" i="14629"/>
  <c r="G40" i="14629"/>
  <c r="I40" i="14629"/>
  <c r="K40" i="14629"/>
  <c r="M40" i="14629"/>
  <c r="C41" i="14629"/>
  <c r="E41" i="14629"/>
  <c r="G41" i="14629"/>
  <c r="I41" i="14629"/>
  <c r="K41" i="14629"/>
  <c r="M41" i="14629"/>
  <c r="C42" i="14629"/>
  <c r="E42" i="14629"/>
  <c r="G42" i="14629"/>
  <c r="I42" i="14629"/>
  <c r="K42" i="14629"/>
  <c r="M42" i="14629"/>
  <c r="C43" i="14629"/>
  <c r="E43" i="14629"/>
  <c r="G43" i="14629"/>
  <c r="I43" i="14629"/>
  <c r="K43" i="14629"/>
  <c r="M43" i="14629"/>
  <c r="C44" i="14629"/>
  <c r="E44" i="14629"/>
  <c r="G44" i="14629"/>
  <c r="I44" i="14629"/>
  <c r="K44" i="14629"/>
  <c r="M44" i="14629"/>
  <c r="C76" i="14692"/>
  <c r="E76" i="14692" s="1"/>
  <c r="B80" i="14692"/>
  <c r="D80" i="14692" s="1"/>
  <c r="G36" i="14685"/>
  <c r="L36" i="7"/>
  <c r="L38" i="14623" s="1"/>
  <c r="J32" i="7"/>
  <c r="A34" i="14669"/>
  <c r="A54" i="14669" s="1"/>
  <c r="A93" i="14643"/>
  <c r="A71" i="14643"/>
  <c r="A38" i="14637"/>
  <c r="A58" i="14637" s="1"/>
  <c r="A15" i="14683"/>
  <c r="A43" i="14683" s="1"/>
  <c r="A24" i="14637"/>
  <c r="A24" i="7"/>
  <c r="A12" i="7"/>
  <c r="A12" i="14669"/>
  <c r="A12" i="14630"/>
  <c r="A10" i="14668"/>
  <c r="A17" i="14653"/>
  <c r="A14" i="14647"/>
  <c r="A22" i="14637"/>
  <c r="A22" i="7"/>
  <c r="A10" i="7"/>
  <c r="A10" i="14669"/>
  <c r="A8" i="14668"/>
  <c r="A34" i="14668" s="1"/>
  <c r="A54" i="14668" s="1"/>
  <c r="A12" i="14647"/>
  <c r="A24" i="14683"/>
  <c r="A20" i="14669"/>
  <c r="A20" i="14637"/>
  <c r="A20" i="7"/>
  <c r="A8" i="14637"/>
  <c r="A6" i="14668"/>
  <c r="A32" i="14668" s="1"/>
  <c r="A52" i="14668" s="1"/>
  <c r="A13" i="14653"/>
  <c r="A10" i="14647"/>
  <c r="A22" i="14683"/>
  <c r="A18" i="14669"/>
  <c r="A18" i="14637"/>
  <c r="A18" i="7"/>
  <c r="A6" i="7"/>
  <c r="A6" i="14669"/>
  <c r="B7" i="14643"/>
  <c r="B49" i="14643"/>
  <c r="B62" i="14643" s="1"/>
  <c r="B75" i="14643" s="1"/>
  <c r="B88" i="14643" s="1"/>
  <c r="F26" i="14674"/>
  <c r="F8" i="14676" s="1"/>
  <c r="L26" i="14674"/>
  <c r="L8" i="14676" s="1"/>
  <c r="C26" i="14628"/>
  <c r="C8" i="14625" s="1"/>
  <c r="L26" i="14628"/>
  <c r="L8" i="14625" s="1"/>
  <c r="F26" i="14628"/>
  <c r="F8" i="14625" s="1"/>
  <c r="A33" i="14704"/>
  <c r="A33" i="14617"/>
  <c r="C13" i="14692"/>
  <c r="E13" i="14692" s="1"/>
  <c r="B14" i="14692"/>
  <c r="D14" i="14692" s="1"/>
  <c r="B32" i="14628"/>
  <c r="I7" i="14694"/>
  <c r="I9" i="14694" s="1"/>
  <c r="L44" i="14694" s="1"/>
  <c r="C15" i="14694"/>
  <c r="M18" i="7"/>
  <c r="N32" i="14628" s="1"/>
  <c r="M32" i="7"/>
  <c r="L18" i="7"/>
  <c r="M32" i="14628" s="1"/>
  <c r="L32" i="7"/>
  <c r="K18" i="7"/>
  <c r="L32" i="14628" s="1"/>
  <c r="K32" i="7"/>
  <c r="H18" i="7"/>
  <c r="H32" i="7"/>
  <c r="B24" i="7"/>
  <c r="N12" i="7"/>
  <c r="B15" i="14683" s="1"/>
  <c r="D15" i="14683" s="1"/>
  <c r="B22" i="7"/>
  <c r="C36" i="14628" s="1"/>
  <c r="N10" i="7"/>
  <c r="B13" i="14683" s="1"/>
  <c r="D13" i="14683" s="1"/>
  <c r="B20" i="7"/>
  <c r="N8" i="7"/>
  <c r="B11" i="14683" s="1"/>
  <c r="B18" i="7"/>
  <c r="N6" i="7"/>
  <c r="B9" i="14683" s="1"/>
  <c r="L15" i="14662"/>
  <c r="M15" i="14662" s="1"/>
  <c r="B13" i="14686"/>
  <c r="B43" i="14629"/>
  <c r="B41" i="14629"/>
  <c r="B39" i="14629"/>
  <c r="B37" i="14629"/>
  <c r="B36" i="14629"/>
  <c r="B35" i="14629"/>
  <c r="B34" i="14629"/>
  <c r="B32" i="14629"/>
  <c r="B30" i="14629"/>
  <c r="B15" i="14693"/>
  <c r="D74" i="14688"/>
  <c r="C38" i="14632"/>
  <c r="E47" i="14689"/>
  <c r="G50" i="14694"/>
  <c r="H50" i="14694" s="1"/>
  <c r="A66" i="14643"/>
  <c r="A33" i="14637"/>
  <c r="A53" i="14637" s="1"/>
  <c r="C21" i="14702"/>
  <c r="C17" i="14702"/>
  <c r="C11" i="14702"/>
  <c r="C14" i="14702"/>
  <c r="C20" i="14702"/>
  <c r="C16" i="14702"/>
  <c r="C10" i="14702"/>
  <c r="B50" i="14702"/>
  <c r="C19" i="14702"/>
  <c r="C15" i="14702"/>
  <c r="C9" i="14702"/>
  <c r="C7" i="14702"/>
  <c r="C18" i="14702"/>
  <c r="C12" i="14702"/>
  <c r="C8" i="14702"/>
  <c r="M5" i="14637"/>
  <c r="K55" i="14653"/>
  <c r="K9" i="14637"/>
  <c r="D55" i="14653"/>
  <c r="D46" i="14653"/>
  <c r="D9" i="14637"/>
  <c r="C54" i="14653"/>
  <c r="C8" i="14668" s="1"/>
  <c r="C8" i="14637"/>
  <c r="B14" i="14661"/>
  <c r="L20" i="14709" s="1"/>
  <c r="D36" i="14685"/>
  <c r="D14" i="14661" s="1"/>
  <c r="E14" i="14661" s="1"/>
  <c r="J36" i="14685"/>
  <c r="C36" i="14685"/>
  <c r="O32" i="14624"/>
  <c r="B31" i="14682" s="1"/>
  <c r="O27" i="14624"/>
  <c r="B26" i="14682" s="1"/>
  <c r="A80" i="14643"/>
  <c r="H32" i="14702"/>
  <c r="M54" i="14653"/>
  <c r="M8" i="14637"/>
  <c r="L6" i="14637"/>
  <c r="J56" i="14653"/>
  <c r="J10" i="14637"/>
  <c r="H55" i="14653"/>
  <c r="H9" i="14637"/>
  <c r="E55" i="14653"/>
  <c r="E9" i="14637"/>
  <c r="C55" i="14653"/>
  <c r="C9" i="14637"/>
  <c r="O31" i="14624"/>
  <c r="B30" i="14682" s="1"/>
  <c r="O30" i="14624"/>
  <c r="B29" i="14682" s="1"/>
  <c r="O29" i="14624"/>
  <c r="B9" i="14668"/>
  <c r="A12" i="14668"/>
  <c r="B46" i="14691"/>
  <c r="H12" i="14647"/>
  <c r="H28" i="14647" s="1"/>
  <c r="H43" i="14647" s="1"/>
  <c r="G39" i="14652"/>
  <c r="H39" i="14652"/>
  <c r="M39" i="14632"/>
  <c r="O44" i="14624"/>
  <c r="B43" i="14682" s="1"/>
  <c r="C19" i="14712" s="1"/>
  <c r="G13" i="14652"/>
  <c r="I13" i="14652" s="1"/>
  <c r="G6" i="14686"/>
  <c r="G9" i="14686" s="1"/>
  <c r="C46" i="14691"/>
  <c r="O34" i="14663"/>
  <c r="L50" i="14702"/>
  <c r="M19" i="14702"/>
  <c r="M9" i="14702"/>
  <c r="M7" i="14702"/>
  <c r="M10" i="14702"/>
  <c r="M18" i="14702"/>
  <c r="M16" i="14702"/>
  <c r="M17" i="14702"/>
  <c r="M12" i="14702"/>
  <c r="J23" i="14702"/>
  <c r="F44" i="14702"/>
  <c r="F23" i="14702"/>
  <c r="E7" i="14702"/>
  <c r="E18" i="14702"/>
  <c r="E12" i="14702"/>
  <c r="E8" i="14702"/>
  <c r="E21" i="14702"/>
  <c r="E17" i="14702"/>
  <c r="E11" i="14702"/>
  <c r="E20" i="14702"/>
  <c r="E16" i="14702"/>
  <c r="E10" i="14702"/>
  <c r="E14" i="14702"/>
  <c r="E19" i="14702"/>
  <c r="E15" i="14702"/>
  <c r="E9" i="14702"/>
  <c r="F24" i="14689"/>
  <c r="A45" i="14636"/>
  <c r="A32" i="14673"/>
  <c r="A34" i="14672"/>
  <c r="A43" i="14636"/>
  <c r="A30" i="14673"/>
  <c r="A38" i="14629"/>
  <c r="A34" i="14629"/>
  <c r="A34" i="14673"/>
  <c r="A45" i="14672"/>
  <c r="A41" i="14673"/>
  <c r="A43" i="14629"/>
  <c r="A38" i="14636"/>
  <c r="A37" i="14682"/>
  <c r="A32" i="14629"/>
  <c r="A30" i="14636"/>
  <c r="H7" i="14686"/>
  <c r="G7" i="14686"/>
  <c r="B16" i="14661"/>
  <c r="L21" i="14709" s="1"/>
  <c r="D49" i="14685"/>
  <c r="D16" i="14661" s="1"/>
  <c r="E16" i="14661" s="1"/>
  <c r="E26" i="14688"/>
  <c r="J49" i="14685"/>
  <c r="C49" i="14685"/>
  <c r="B72" i="14692" s="1"/>
  <c r="E19" i="14685"/>
  <c r="C65" i="14692"/>
  <c r="E65" i="14692" s="1"/>
  <c r="C64" i="14692"/>
  <c r="E64" i="14692" s="1"/>
  <c r="C63" i="14692"/>
  <c r="E63" i="14692" s="1"/>
  <c r="C57" i="14692"/>
  <c r="E57" i="14692" s="1"/>
  <c r="E79" i="14692"/>
  <c r="G1" i="14624"/>
  <c r="A26" i="14667"/>
  <c r="A9" i="11" s="1"/>
  <c r="G10" i="14626"/>
  <c r="A61" i="14648"/>
  <c r="F1" i="14632"/>
  <c r="A70" i="14647"/>
  <c r="Q44" i="14623"/>
  <c r="R55" i="14623" s="1"/>
  <c r="A22" i="14686"/>
  <c r="A28" i="14686" s="1"/>
  <c r="A34" i="14686" s="1"/>
  <c r="A40" i="14686" s="1"/>
  <c r="A46" i="14686" s="1"/>
  <c r="H1" i="14629"/>
  <c r="A17" i="14648"/>
  <c r="C1" i="14633"/>
  <c r="A41" i="14684"/>
  <c r="D7" i="14643"/>
  <c r="D5" i="4128"/>
  <c r="C28" i="14649"/>
  <c r="C12" i="14665"/>
  <c r="E22" i="14653"/>
  <c r="E35" i="14653" s="1"/>
  <c r="E48" i="14653" s="1"/>
  <c r="E61" i="14653" s="1"/>
  <c r="C6" i="14682"/>
  <c r="D47" i="7"/>
  <c r="A2" i="14674"/>
  <c r="N7" i="14645"/>
  <c r="N64" i="14645" s="1"/>
  <c r="D7" i="14657"/>
  <c r="A3" i="14681"/>
  <c r="D6" i="14684"/>
  <c r="E6" i="14684" s="1"/>
  <c r="F6" i="14684" s="1"/>
  <c r="G6" i="14684" s="1"/>
  <c r="A49" i="14643"/>
  <c r="A62" i="14643" s="1"/>
  <c r="A75" i="14643" s="1"/>
  <c r="A88" i="14643" s="1"/>
  <c r="E16" i="14681"/>
  <c r="E25" i="14681" s="1"/>
  <c r="E34" i="14681" s="1"/>
  <c r="E43" i="14681" s="1"/>
  <c r="A22" i="14647"/>
  <c r="F1" i="14634"/>
  <c r="G1" i="14629"/>
  <c r="C28" i="4128"/>
  <c r="D62" i="14645"/>
  <c r="A64" i="14645" s="1"/>
  <c r="A7" i="14645"/>
  <c r="D25" i="14682"/>
  <c r="E7" i="14682"/>
  <c r="N36" i="14628"/>
  <c r="L36" i="14628"/>
  <c r="B69" i="14692"/>
  <c r="C69" i="14692" s="1"/>
  <c r="E69" i="14692" s="1"/>
  <c r="K18" i="14657"/>
  <c r="L18" i="14657" s="1"/>
  <c r="M18" i="14657" s="1"/>
  <c r="N18" i="14657" s="1"/>
  <c r="O18" i="14657" s="1"/>
  <c r="A3" i="14657"/>
  <c r="L37" i="14632"/>
  <c r="D29" i="14659"/>
  <c r="G6" i="14659"/>
  <c r="B29" i="14659"/>
  <c r="F22" i="14653"/>
  <c r="C37" i="14623"/>
  <c r="B33" i="14623"/>
  <c r="G15" i="14688"/>
  <c r="F32" i="14647"/>
  <c r="F47" i="14647" s="1"/>
  <c r="D26" i="14647"/>
  <c r="B10" i="14647"/>
  <c r="G12" i="14668"/>
  <c r="C74" i="14647"/>
  <c r="B57" i="14647"/>
  <c r="H58" i="14653"/>
  <c r="H12" i="14637"/>
  <c r="E6" i="14637"/>
  <c r="E18" i="14637" s="1"/>
  <c r="D10" i="14637"/>
  <c r="D56" i="14653"/>
  <c r="D6" i="14637"/>
  <c r="B18" i="14637"/>
  <c r="M56" i="14653"/>
  <c r="M10" i="14637"/>
  <c r="M53" i="14653"/>
  <c r="M7" i="14637"/>
  <c r="L10" i="14637"/>
  <c r="L56" i="14653"/>
  <c r="K57" i="14653"/>
  <c r="K11" i="14637"/>
  <c r="J58" i="14653"/>
  <c r="J12" i="14637"/>
  <c r="J54" i="14653"/>
  <c r="J8" i="14637"/>
  <c r="H7" i="14637"/>
  <c r="H53" i="14653"/>
  <c r="F55" i="14653"/>
  <c r="E8" i="14637"/>
  <c r="E54" i="14653"/>
  <c r="D8" i="14637"/>
  <c r="D54" i="14653"/>
  <c r="B7" i="14637"/>
  <c r="B53" i="14653"/>
  <c r="A25" i="14693"/>
  <c r="A32" i="14693" s="1"/>
  <c r="A39" i="14693" s="1"/>
  <c r="A46" i="14693" s="1"/>
  <c r="A53" i="14693" s="1"/>
  <c r="A25" i="14694"/>
  <c r="A33" i="14694" s="1"/>
  <c r="A41" i="14694" s="1"/>
  <c r="A49" i="14694" s="1"/>
  <c r="B14" i="14694"/>
  <c r="G15" i="14685"/>
  <c r="G19" i="14685" s="1"/>
  <c r="B22" i="14629"/>
  <c r="I12" i="14652"/>
  <c r="C56" i="14692"/>
  <c r="C52" i="14692"/>
  <c r="E52" i="14692" s="1"/>
  <c r="C51" i="14692"/>
  <c r="E51" i="14692" s="1"/>
  <c r="C49" i="14692"/>
  <c r="C45" i="14692"/>
  <c r="E45" i="14692" s="1"/>
  <c r="C44" i="14692"/>
  <c r="H7" i="14694"/>
  <c r="H9" i="14694" s="1"/>
  <c r="I7" i="14693"/>
  <c r="I9" i="14693" s="1"/>
  <c r="H7" i="14693"/>
  <c r="H9" i="14693" s="1"/>
  <c r="H6" i="14686"/>
  <c r="H9" i="14686" s="1"/>
  <c r="B65" i="14649"/>
  <c r="B56" i="14649"/>
  <c r="D27" i="14645"/>
  <c r="D73" i="14645"/>
  <c r="A75" i="14645" s="1"/>
  <c r="N18" i="14645"/>
  <c r="N75" i="14645" s="1"/>
  <c r="A18" i="14645"/>
  <c r="A37" i="14637"/>
  <c r="A57" i="14637" s="1"/>
  <c r="A70" i="14643"/>
  <c r="F26" i="14675"/>
  <c r="F8" i="14677" s="1"/>
  <c r="L26" i="14675"/>
  <c r="L8" i="14677" s="1"/>
  <c r="G10" i="14706"/>
  <c r="D10" i="14706"/>
  <c r="C25" i="14682"/>
  <c r="A11" i="14669"/>
  <c r="A9" i="14669"/>
  <c r="A5" i="14669"/>
  <c r="A5" i="14637"/>
  <c r="A10" i="14630"/>
  <c r="G33" i="14636"/>
  <c r="D32" i="14636"/>
  <c r="I32" i="7"/>
  <c r="B13" i="14623"/>
  <c r="E13" i="14623"/>
  <c r="L7" i="14623"/>
  <c r="B12" i="14632"/>
  <c r="B13" i="14632"/>
  <c r="D7" i="14632"/>
  <c r="D9" i="14623"/>
  <c r="H13" i="14623"/>
  <c r="J13" i="14623"/>
  <c r="M12" i="14623"/>
  <c r="K12" i="14623"/>
  <c r="L12" i="14623"/>
  <c r="M10" i="14623"/>
  <c r="M14" i="14623"/>
  <c r="J10" i="14623"/>
  <c r="H12" i="14623"/>
  <c r="G10" i="14623"/>
  <c r="F10" i="14623"/>
  <c r="E14" i="14623"/>
  <c r="E12" i="14623"/>
  <c r="E10" i="14623"/>
  <c r="E8" i="14623"/>
  <c r="D14" i="14623"/>
  <c r="D12" i="14623"/>
  <c r="D10" i="14623"/>
  <c r="D8" i="14623"/>
  <c r="I13" i="14623"/>
  <c r="D13" i="14623"/>
  <c r="D12" i="14632"/>
  <c r="F10" i="14632"/>
  <c r="F14" i="14632"/>
  <c r="G14" i="14632"/>
  <c r="H10" i="14632"/>
  <c r="K7" i="14623"/>
  <c r="B7" i="14632"/>
  <c r="C7" i="14632"/>
  <c r="C13" i="14632"/>
  <c r="F13" i="14632"/>
  <c r="I13" i="14632"/>
  <c r="J13" i="14632"/>
  <c r="K13" i="14632"/>
  <c r="M13" i="14632"/>
  <c r="E9" i="14623"/>
  <c r="B9" i="14623"/>
  <c r="E11" i="14623"/>
  <c r="H9" i="14623"/>
  <c r="L10" i="14623"/>
  <c r="K10" i="14623"/>
  <c r="J11" i="14623"/>
  <c r="I9" i="14623"/>
  <c r="F11" i="14623"/>
  <c r="E7" i="14623"/>
  <c r="D7" i="14623"/>
  <c r="L14" i="14623"/>
  <c r="K14" i="14623"/>
  <c r="J14" i="14623"/>
  <c r="J12" i="14623"/>
  <c r="I14" i="14623"/>
  <c r="I12" i="14623"/>
  <c r="I10" i="14623"/>
  <c r="H14" i="14623"/>
  <c r="H10" i="14623"/>
  <c r="F12" i="14623"/>
  <c r="B69" i="14685"/>
  <c r="B70" i="14692"/>
  <c r="H15" i="14652" l="1"/>
  <c r="F29" i="14657"/>
  <c r="N21" i="14657" s="1"/>
  <c r="M21" i="14657"/>
  <c r="C12" i="14632"/>
  <c r="D21" i="14630"/>
  <c r="E35" i="14634" s="1"/>
  <c r="N44" i="14653"/>
  <c r="F35" i="14630"/>
  <c r="F37" i="14632" s="1"/>
  <c r="D14" i="14632"/>
  <c r="K24" i="14630"/>
  <c r="K14" i="14632" s="1"/>
  <c r="H38" i="14630"/>
  <c r="H40" i="14632" s="1"/>
  <c r="C58" i="14712"/>
  <c r="C70" i="14712" s="1"/>
  <c r="C16" i="14712"/>
  <c r="V15" i="14709"/>
  <c r="AB18" i="14709" s="1"/>
  <c r="C17" i="14712"/>
  <c r="AB16" i="14709"/>
  <c r="C21" i="14712"/>
  <c r="C22" i="14712"/>
  <c r="F15" i="14661"/>
  <c r="G15" i="14661" s="1"/>
  <c r="B15" i="14636"/>
  <c r="C35" i="14639"/>
  <c r="B11" i="14638"/>
  <c r="E7" i="14657"/>
  <c r="I13" i="14638"/>
  <c r="A42" i="14684"/>
  <c r="B46" i="14653"/>
  <c r="G1" i="14636"/>
  <c r="E32" i="14702"/>
  <c r="K48" i="14702"/>
  <c r="E40" i="14702"/>
  <c r="C23" i="14702"/>
  <c r="L37" i="14630"/>
  <c r="L39" i="14632" s="1"/>
  <c r="J37" i="14636"/>
  <c r="H31" i="14652"/>
  <c r="I31" i="14652" s="1"/>
  <c r="I38" i="14630"/>
  <c r="I40" i="14632" s="1"/>
  <c r="I20" i="14703"/>
  <c r="D13" i="14707"/>
  <c r="D18" i="14707" s="1"/>
  <c r="H14" i="14632"/>
  <c r="F1" i="14638"/>
  <c r="A31" i="14675"/>
  <c r="M37" i="14668"/>
  <c r="M39" i="14678" s="1"/>
  <c r="H19" i="14630"/>
  <c r="I33" i="14634" s="1"/>
  <c r="N20" i="14703"/>
  <c r="A11" i="14706"/>
  <c r="D58" i="14692"/>
  <c r="E41" i="14652"/>
  <c r="E60" i="14647" s="1"/>
  <c r="E77" i="14647" s="1"/>
  <c r="E92" i="14647" s="1"/>
  <c r="D11" i="14706"/>
  <c r="J14" i="14632"/>
  <c r="K11" i="14623"/>
  <c r="A3" i="14706"/>
  <c r="E39" i="14636"/>
  <c r="D3" i="14706"/>
  <c r="C34" i="14683"/>
  <c r="A34" i="7"/>
  <c r="A54" i="7" s="1"/>
  <c r="D38" i="14630"/>
  <c r="D40" i="14632" s="1"/>
  <c r="M30" i="14703"/>
  <c r="N30" i="14703" s="1"/>
  <c r="I34" i="14668"/>
  <c r="I36" i="14678" s="1"/>
  <c r="E44" i="14702"/>
  <c r="E20" i="14703"/>
  <c r="D13" i="14632"/>
  <c r="E16" i="4129"/>
  <c r="E37" i="14702"/>
  <c r="J23" i="14668"/>
  <c r="K37" i="14674" s="1"/>
  <c r="B14" i="14632"/>
  <c r="N32" i="14636"/>
  <c r="K13" i="14623"/>
  <c r="I37" i="14637"/>
  <c r="I39" i="14638" s="1"/>
  <c r="J17" i="14710"/>
  <c r="H23" i="14669" s="1"/>
  <c r="H13" i="14679" s="1"/>
  <c r="L13" i="14632"/>
  <c r="M41" i="14636"/>
  <c r="G3" i="14706"/>
  <c r="D36" i="14694"/>
  <c r="K36" i="14630"/>
  <c r="K38" i="14632" s="1"/>
  <c r="A31" i="14674"/>
  <c r="J34" i="14630"/>
  <c r="J36" i="14632" s="1"/>
  <c r="I1" i="14640"/>
  <c r="K44" i="14702"/>
  <c r="A31" i="14639"/>
  <c r="D6" i="14704"/>
  <c r="E6" i="14704" s="1"/>
  <c r="I44" i="14636"/>
  <c r="G32" i="14702"/>
  <c r="L22" i="14630"/>
  <c r="M36" i="14634" s="1"/>
  <c r="E42" i="14702"/>
  <c r="J28" i="14636"/>
  <c r="F58" i="14647"/>
  <c r="F75" i="14647" s="1"/>
  <c r="F90" i="14647" s="1"/>
  <c r="F40" i="14652"/>
  <c r="G1" i="14674"/>
  <c r="J41" i="14636"/>
  <c r="D36" i="14636"/>
  <c r="F9" i="14637"/>
  <c r="G6" i="14703"/>
  <c r="J6" i="14703" s="1"/>
  <c r="M6" i="14703" s="1"/>
  <c r="K30" i="14702"/>
  <c r="F12" i="14632"/>
  <c r="G37" i="14636"/>
  <c r="K43" i="14702"/>
  <c r="F33" i="14636"/>
  <c r="B11" i="14632"/>
  <c r="K38" i="14636"/>
  <c r="D50" i="14702"/>
  <c r="D40" i="14692"/>
  <c r="F36" i="14630"/>
  <c r="F38" i="14632" s="1"/>
  <c r="D21" i="14629"/>
  <c r="C29" i="14702"/>
  <c r="G6" i="14617"/>
  <c r="J6" i="14617" s="1"/>
  <c r="M6" i="14617" s="1"/>
  <c r="G34" i="14702"/>
  <c r="A14" i="14638"/>
  <c r="A40" i="14638" s="1"/>
  <c r="C36" i="14639"/>
  <c r="E33" i="14702"/>
  <c r="K36" i="14702"/>
  <c r="N37" i="14636"/>
  <c r="C43" i="14702"/>
  <c r="E38" i="14636"/>
  <c r="E5" i="14707"/>
  <c r="E13" i="14707" s="1"/>
  <c r="E18" i="14707" s="1"/>
  <c r="E34" i="14702"/>
  <c r="L30" i="14636"/>
  <c r="H13" i="14678"/>
  <c r="E42" i="14652"/>
  <c r="L44" i="14636"/>
  <c r="C28" i="14702"/>
  <c r="D34" i="14692"/>
  <c r="A9" i="14678"/>
  <c r="A35" i="14678" s="1"/>
  <c r="E34" i="14692"/>
  <c r="E37" i="14637"/>
  <c r="E39" i="14638" s="1"/>
  <c r="G21" i="14630"/>
  <c r="H35" i="14634" s="1"/>
  <c r="C32" i="14702"/>
  <c r="C25" i="14702"/>
  <c r="C37" i="14630"/>
  <c r="C39" i="14632" s="1"/>
  <c r="E43" i="14702"/>
  <c r="B35" i="14630"/>
  <c r="B37" i="14632" s="1"/>
  <c r="B42" i="14636"/>
  <c r="C38" i="14702"/>
  <c r="N33" i="14636"/>
  <c r="J33" i="14636"/>
  <c r="Q18" i="14632"/>
  <c r="R29" i="14632" s="1"/>
  <c r="K34" i="14636"/>
  <c r="K39" i="14702"/>
  <c r="C36" i="14636"/>
  <c r="I1" i="14671"/>
  <c r="I27" i="14636"/>
  <c r="N42" i="14653"/>
  <c r="M32" i="14636"/>
  <c r="L21" i="14629"/>
  <c r="H40" i="14636"/>
  <c r="C27" i="14702"/>
  <c r="E14" i="14632"/>
  <c r="G37" i="14637"/>
  <c r="G39" i="14638" s="1"/>
  <c r="I20" i="14630"/>
  <c r="J34" i="14634" s="1"/>
  <c r="N41" i="14636"/>
  <c r="G41" i="14636"/>
  <c r="C36" i="14702"/>
  <c r="C46" i="14702" s="1"/>
  <c r="I9" i="14637"/>
  <c r="M14" i="14702"/>
  <c r="G9" i="14637"/>
  <c r="I43" i="14636"/>
  <c r="M34" i="14630"/>
  <c r="M36" i="14632" s="1"/>
  <c r="E38" i="14702"/>
  <c r="K42" i="14636"/>
  <c r="I28" i="14636"/>
  <c r="M20" i="14702"/>
  <c r="M22" i="14630"/>
  <c r="M38" i="14636"/>
  <c r="C14" i="14632"/>
  <c r="D28" i="14636"/>
  <c r="D44" i="14636"/>
  <c r="N21" i="14629"/>
  <c r="E31" i="14636"/>
  <c r="C34" i="14702"/>
  <c r="E41" i="14702"/>
  <c r="M11" i="14702"/>
  <c r="C27" i="14636"/>
  <c r="A34" i="14628"/>
  <c r="D46" i="14692"/>
  <c r="A9" i="14638"/>
  <c r="A35" i="14638" s="1"/>
  <c r="E36" i="14636"/>
  <c r="M35" i="14639"/>
  <c r="D37" i="14637"/>
  <c r="D39" i="14638" s="1"/>
  <c r="A29" i="14653"/>
  <c r="A42" i="14653" s="1"/>
  <c r="A55" i="14653" s="1"/>
  <c r="A68" i="14653" s="1"/>
  <c r="E25" i="14702"/>
  <c r="C42" i="14702"/>
  <c r="N11" i="14630"/>
  <c r="C14" i="14683" s="1"/>
  <c r="F14" i="14683" s="1"/>
  <c r="G22" i="14630"/>
  <c r="H36" i="14634" s="1"/>
  <c r="G25" i="14702"/>
  <c r="E26" i="14702"/>
  <c r="B31" i="14636"/>
  <c r="C26" i="14702"/>
  <c r="C38" i="14636"/>
  <c r="A10" i="14638"/>
  <c r="A36" i="14638" s="1"/>
  <c r="F22" i="14695"/>
  <c r="B12" i="14673" s="1"/>
  <c r="B12" i="14672"/>
  <c r="H37" i="14637"/>
  <c r="H39" i="14638" s="1"/>
  <c r="G46" i="14653"/>
  <c r="C41" i="14702"/>
  <c r="N28" i="14636"/>
  <c r="I55" i="14653"/>
  <c r="C34" i="14692"/>
  <c r="I11" i="14632"/>
  <c r="M21" i="14629"/>
  <c r="E27" i="14702"/>
  <c r="M21" i="14702"/>
  <c r="A8" i="14678"/>
  <c r="A34" i="14678" s="1"/>
  <c r="I37" i="14636"/>
  <c r="A13" i="14678"/>
  <c r="A39" i="14678" s="1"/>
  <c r="M37" i="14637"/>
  <c r="M39" i="14638" s="1"/>
  <c r="H1" i="14636"/>
  <c r="A76" i="14648"/>
  <c r="G33" i="14702"/>
  <c r="I30" i="14703"/>
  <c r="E29" i="14702"/>
  <c r="D41" i="14636"/>
  <c r="A52" i="14643"/>
  <c r="L37" i="14636"/>
  <c r="H35" i="14630"/>
  <c r="H37" i="14632" s="1"/>
  <c r="C42" i="14636"/>
  <c r="C38" i="14630"/>
  <c r="C40" i="14632" s="1"/>
  <c r="N40" i="14632" s="1"/>
  <c r="D40" i="14636"/>
  <c r="M15" i="14702"/>
  <c r="M11" i="14623"/>
  <c r="F28" i="14630"/>
  <c r="H41" i="14636"/>
  <c r="J21" i="14629"/>
  <c r="D28" i="14708"/>
  <c r="E28" i="14708" s="1"/>
  <c r="F28" i="14708" s="1"/>
  <c r="G28" i="14708" s="1"/>
  <c r="G29" i="14636"/>
  <c r="M33" i="14636"/>
  <c r="C40" i="14702"/>
  <c r="H11" i="14632"/>
  <c r="J12" i="14632"/>
  <c r="K30" i="14636"/>
  <c r="I36" i="14636"/>
  <c r="F17" i="14661"/>
  <c r="G17" i="14661" s="1"/>
  <c r="G44" i="14702"/>
  <c r="A11" i="14623"/>
  <c r="A37" i="14623" s="1"/>
  <c r="L33" i="14637"/>
  <c r="L35" i="14638" s="1"/>
  <c r="G37" i="14702"/>
  <c r="M35" i="14637"/>
  <c r="M37" i="14638" s="1"/>
  <c r="F28" i="14636"/>
  <c r="C21" i="14630"/>
  <c r="E7" i="14643"/>
  <c r="E6" i="14683"/>
  <c r="E34" i="14683" s="1"/>
  <c r="E1" i="14669"/>
  <c r="F28" i="14669" s="1"/>
  <c r="E5" i="4128"/>
  <c r="E13" i="4128" s="1"/>
  <c r="E18" i="4128" s="1"/>
  <c r="E1" i="14637"/>
  <c r="D47" i="14637" s="1"/>
  <c r="C1" i="14677"/>
  <c r="H7" i="14661"/>
  <c r="I7" i="14661" s="1"/>
  <c r="J7" i="14661" s="1"/>
  <c r="C1" i="14641"/>
  <c r="Q18" i="14638"/>
  <c r="R29" i="14638" s="1"/>
  <c r="D29" i="14649"/>
  <c r="E29" i="14649" s="1"/>
  <c r="F29" i="14649" s="1"/>
  <c r="I1" i="14670"/>
  <c r="G1" i="14639"/>
  <c r="A35" i="14648"/>
  <c r="G1" i="14675"/>
  <c r="A66" i="14648"/>
  <c r="H1" i="14672"/>
  <c r="A71" i="14648"/>
  <c r="D11" i="14623"/>
  <c r="A44" i="14648"/>
  <c r="G1" i="14679"/>
  <c r="Q18" i="14679" s="1"/>
  <c r="Q44" i="14679" s="1"/>
  <c r="R55" i="14679" s="1"/>
  <c r="H1" i="14673"/>
  <c r="G1" i="14678"/>
  <c r="Q18" i="14678" s="1"/>
  <c r="Q44" i="14678" s="1"/>
  <c r="R55" i="14678" s="1"/>
  <c r="E9" i="14710"/>
  <c r="E9" i="14652" s="1"/>
  <c r="F23" i="14652" s="1"/>
  <c r="C1" i="14676"/>
  <c r="G1" i="14638"/>
  <c r="A26" i="14648"/>
  <c r="B44" i="14694"/>
  <c r="F26" i="14652"/>
  <c r="G26" i="14652" s="1"/>
  <c r="K32" i="14637"/>
  <c r="K34" i="14638" s="1"/>
  <c r="L32" i="14637"/>
  <c r="L34" i="14638" s="1"/>
  <c r="D14" i="14695"/>
  <c r="E14" i="14695" s="1"/>
  <c r="E31" i="14695" s="1"/>
  <c r="C19" i="14695"/>
  <c r="L13" i="14623"/>
  <c r="B39" i="7"/>
  <c r="B9" i="8" s="1"/>
  <c r="F32" i="14630"/>
  <c r="F34" i="14632" s="1"/>
  <c r="A8" i="14679"/>
  <c r="A34" i="14679" s="1"/>
  <c r="L31" i="14630"/>
  <c r="L33" i="14632" s="1"/>
  <c r="A27" i="14653"/>
  <c r="A40" i="14653" s="1"/>
  <c r="A53" i="14653" s="1"/>
  <c r="A66" i="14653" s="1"/>
  <c r="A34" i="14639"/>
  <c r="A33" i="14628"/>
  <c r="K34" i="14630"/>
  <c r="K36" i="14632" s="1"/>
  <c r="E34" i="14630"/>
  <c r="E36" i="14632" s="1"/>
  <c r="G10" i="14632"/>
  <c r="G34" i="14630"/>
  <c r="G36" i="14632" s="1"/>
  <c r="D5" i="14668"/>
  <c r="E21" i="14629"/>
  <c r="B21" i="14636"/>
  <c r="H21" i="14636" s="1"/>
  <c r="C21" i="14629"/>
  <c r="F21" i="14629"/>
  <c r="I21" i="14629"/>
  <c r="G21" i="14629"/>
  <c r="K21" i="14629"/>
  <c r="B12" i="14623"/>
  <c r="N12" i="14623" s="1"/>
  <c r="D25" i="7"/>
  <c r="D5" i="8" s="1"/>
  <c r="D7" i="8" s="1"/>
  <c r="N23" i="7"/>
  <c r="K57" i="7" s="1"/>
  <c r="I34" i="14637"/>
  <c r="I36" i="14638" s="1"/>
  <c r="F7" i="14668"/>
  <c r="L20" i="14630"/>
  <c r="M34" i="14634" s="1"/>
  <c r="L7" i="14668"/>
  <c r="E10" i="14632"/>
  <c r="E1" i="14668"/>
  <c r="E17" i="4129"/>
  <c r="G9" i="14710" s="1"/>
  <c r="G9" i="14652" s="1"/>
  <c r="H23" i="14652" s="1"/>
  <c r="A33" i="14674"/>
  <c r="N10" i="14630"/>
  <c r="C13" i="14683" s="1"/>
  <c r="F13" i="14683" s="1"/>
  <c r="N40" i="14623"/>
  <c r="G29" i="14657"/>
  <c r="O21" i="14657" s="1"/>
  <c r="F36" i="14637"/>
  <c r="F38" i="14638" s="1"/>
  <c r="M23" i="14668"/>
  <c r="F41" i="14665"/>
  <c r="F42" i="14665" s="1"/>
  <c r="E42" i="14665"/>
  <c r="E23" i="14702"/>
  <c r="B25" i="14647"/>
  <c r="I25" i="14647" s="1"/>
  <c r="J25" i="14647" s="1"/>
  <c r="N12" i="14630"/>
  <c r="C15" i="14683" s="1"/>
  <c r="F15" i="14683" s="1"/>
  <c r="J19" i="14630"/>
  <c r="F9" i="14632"/>
  <c r="G6" i="14669"/>
  <c r="F33" i="14630"/>
  <c r="F35" i="14632" s="1"/>
  <c r="I25" i="7"/>
  <c r="I5" i="8" s="1"/>
  <c r="J25" i="7"/>
  <c r="J9" i="14681" s="1"/>
  <c r="K66" i="14653"/>
  <c r="K7" i="14669" s="1"/>
  <c r="I33" i="14630"/>
  <c r="I35" i="14632" s="1"/>
  <c r="J6" i="14668"/>
  <c r="D39" i="7"/>
  <c r="D9" i="8" s="1"/>
  <c r="B40" i="14647"/>
  <c r="I40" i="14647" s="1"/>
  <c r="J40" i="14647" s="1"/>
  <c r="I9" i="14632"/>
  <c r="C32" i="14637"/>
  <c r="C34" i="14638" s="1"/>
  <c r="B32" i="14637"/>
  <c r="B34" i="14638" s="1"/>
  <c r="H12" i="14652"/>
  <c r="B32" i="14668" s="1"/>
  <c r="B34" i="14678" s="1"/>
  <c r="J32" i="14637"/>
  <c r="J34" i="14638" s="1"/>
  <c r="M32" i="14637"/>
  <c r="M34" i="14638" s="1"/>
  <c r="J7" i="14623"/>
  <c r="M34" i="14639"/>
  <c r="L10" i="14638"/>
  <c r="M9" i="14623"/>
  <c r="L34" i="14637"/>
  <c r="L36" i="14638" s="1"/>
  <c r="N8" i="14630"/>
  <c r="C11" i="14683" s="1"/>
  <c r="D11" i="14683" s="1"/>
  <c r="J10" i="14632"/>
  <c r="L9" i="14623"/>
  <c r="I34" i="14639"/>
  <c r="M9" i="14632"/>
  <c r="G19" i="14630"/>
  <c r="H33" i="14634" s="1"/>
  <c r="E19" i="14630"/>
  <c r="E5" i="14628"/>
  <c r="M33" i="14630"/>
  <c r="M35" i="14632" s="1"/>
  <c r="H7" i="14623"/>
  <c r="L11" i="14623"/>
  <c r="G28" i="14636"/>
  <c r="K29" i="14636"/>
  <c r="C31" i="14636"/>
  <c r="G32" i="14636"/>
  <c r="K33" i="14636"/>
  <c r="C35" i="14636"/>
  <c r="G36" i="14636"/>
  <c r="K37" i="14636"/>
  <c r="C39" i="14636"/>
  <c r="G40" i="14636"/>
  <c r="K41" i="14636"/>
  <c r="C43" i="14636"/>
  <c r="G44" i="14636"/>
  <c r="E29" i="14636"/>
  <c r="M31" i="14636"/>
  <c r="I34" i="14636"/>
  <c r="E37" i="14636"/>
  <c r="M39" i="14636"/>
  <c r="I42" i="14636"/>
  <c r="E56" i="14653"/>
  <c r="N56" i="14653" s="1"/>
  <c r="Q44" i="14638"/>
  <c r="R55" i="14638" s="1"/>
  <c r="A38" i="14674"/>
  <c r="D12" i="14667"/>
  <c r="F12" i="14667" s="1"/>
  <c r="D12" i="14701" s="1"/>
  <c r="A38" i="14628"/>
  <c r="E46" i="14653"/>
  <c r="G55" i="14653"/>
  <c r="G68" i="14653" s="1"/>
  <c r="M28" i="14636"/>
  <c r="E34" i="14636"/>
  <c r="I39" i="14636"/>
  <c r="M44" i="14636"/>
  <c r="A12" i="14679"/>
  <c r="A38" i="14679" s="1"/>
  <c r="A36" i="14637"/>
  <c r="A56" i="14637" s="1"/>
  <c r="M34" i="14636"/>
  <c r="E44" i="14636"/>
  <c r="A14" i="14679"/>
  <c r="A40" i="14679" s="1"/>
  <c r="H31" i="14636"/>
  <c r="D19" i="14630"/>
  <c r="H29" i="14636"/>
  <c r="N43" i="14653"/>
  <c r="E37" i="14630"/>
  <c r="E39" i="14632" s="1"/>
  <c r="C39" i="7"/>
  <c r="C9" i="8" s="1"/>
  <c r="C10" i="8" s="1"/>
  <c r="L32" i="14636"/>
  <c r="L33" i="14636"/>
  <c r="L43" i="14636"/>
  <c r="H27" i="14636"/>
  <c r="L28" i="14636"/>
  <c r="H30" i="14636"/>
  <c r="H32" i="14636"/>
  <c r="D37" i="14636"/>
  <c r="H35" i="14636"/>
  <c r="B40" i="14636"/>
  <c r="B29" i="14636"/>
  <c r="J31" i="14636"/>
  <c r="N35" i="7"/>
  <c r="B40" i="14683" s="1"/>
  <c r="O31" i="14628"/>
  <c r="F29" i="14636"/>
  <c r="C28" i="14636"/>
  <c r="N29" i="14636"/>
  <c r="F34" i="14636"/>
  <c r="L38" i="14636"/>
  <c r="N42" i="14636"/>
  <c r="C30" i="14636"/>
  <c r="J34" i="14636"/>
  <c r="N38" i="14636"/>
  <c r="F43" i="14636"/>
  <c r="J29" i="14636"/>
  <c r="C34" i="14636"/>
  <c r="J38" i="14636"/>
  <c r="A28" i="14653"/>
  <c r="A41" i="14653" s="1"/>
  <c r="A54" i="14653" s="1"/>
  <c r="A67" i="14653" s="1"/>
  <c r="A34" i="14674"/>
  <c r="A34" i="14634"/>
  <c r="F30" i="14636"/>
  <c r="N34" i="14636"/>
  <c r="B28" i="14636"/>
  <c r="J43" i="14636"/>
  <c r="F39" i="14636"/>
  <c r="B7" i="14623"/>
  <c r="D11" i="14632"/>
  <c r="G27" i="14636"/>
  <c r="K28" i="14636"/>
  <c r="D30" i="14636"/>
  <c r="G31" i="14636"/>
  <c r="K32" i="14636"/>
  <c r="D34" i="14636"/>
  <c r="G35" i="14636"/>
  <c r="K36" i="14636"/>
  <c r="D38" i="14636"/>
  <c r="G39" i="14636"/>
  <c r="K40" i="14636"/>
  <c r="D42" i="14636"/>
  <c r="G43" i="14636"/>
  <c r="K44" i="14636"/>
  <c r="E27" i="14636"/>
  <c r="M29" i="14636"/>
  <c r="I32" i="14636"/>
  <c r="E35" i="14636"/>
  <c r="M37" i="14636"/>
  <c r="I40" i="14636"/>
  <c r="E43" i="14636"/>
  <c r="A38" i="14639"/>
  <c r="E30" i="14636"/>
  <c r="I35" i="14636"/>
  <c r="M40" i="14636"/>
  <c r="A54" i="14643"/>
  <c r="M42" i="14636"/>
  <c r="E32" i="14636"/>
  <c r="A32" i="14653"/>
  <c r="A45" i="14653" s="1"/>
  <c r="A58" i="14653" s="1"/>
  <c r="A71" i="14653" s="1"/>
  <c r="H34" i="14636"/>
  <c r="N17" i="7"/>
  <c r="E51" i="7" s="1"/>
  <c r="J19" i="14628"/>
  <c r="L31" i="14636"/>
  <c r="L35" i="14636"/>
  <c r="N21" i="7"/>
  <c r="D55" i="7" s="1"/>
  <c r="L29" i="14636"/>
  <c r="H36" i="14636"/>
  <c r="D33" i="14636"/>
  <c r="D43" i="14636"/>
  <c r="H43" i="14636"/>
  <c r="H37" i="14636"/>
  <c r="L39" i="14636"/>
  <c r="H39" i="14636"/>
  <c r="D38" i="14637"/>
  <c r="D40" i="14638" s="1"/>
  <c r="D27" i="14636"/>
  <c r="L42" i="14636"/>
  <c r="B44" i="14636"/>
  <c r="B33" i="14636"/>
  <c r="M30" i="14636"/>
  <c r="N44" i="14636"/>
  <c r="F42" i="14636"/>
  <c r="F41" i="14636"/>
  <c r="N30" i="14636"/>
  <c r="J35" i="14636"/>
  <c r="N39" i="14636"/>
  <c r="F44" i="14636"/>
  <c r="F31" i="14636"/>
  <c r="N35" i="14636"/>
  <c r="C40" i="14636"/>
  <c r="J44" i="14636"/>
  <c r="J30" i="14636"/>
  <c r="F35" i="14636"/>
  <c r="J39" i="14636"/>
  <c r="N43" i="14636"/>
  <c r="C20" i="14703"/>
  <c r="B26" i="14703"/>
  <c r="E11" i="14668"/>
  <c r="E23" i="14668" s="1"/>
  <c r="E70" i="14653"/>
  <c r="E11" i="14669" s="1"/>
  <c r="E13" i="14632"/>
  <c r="I7" i="14623"/>
  <c r="K27" i="14636"/>
  <c r="C29" i="14636"/>
  <c r="G30" i="14636"/>
  <c r="K31" i="14636"/>
  <c r="C33" i="14636"/>
  <c r="G34" i="14636"/>
  <c r="K35" i="14636"/>
  <c r="C37" i="14636"/>
  <c r="G38" i="14636"/>
  <c r="K39" i="14636"/>
  <c r="C41" i="14636"/>
  <c r="G42" i="14636"/>
  <c r="K43" i="14636"/>
  <c r="A38" i="14675"/>
  <c r="M27" i="14636"/>
  <c r="I30" i="14636"/>
  <c r="E33" i="14636"/>
  <c r="M35" i="14636"/>
  <c r="I38" i="14636"/>
  <c r="E41" i="14636"/>
  <c r="M43" i="14636"/>
  <c r="I31" i="14636"/>
  <c r="M36" i="14636"/>
  <c r="E42" i="14636"/>
  <c r="E40" i="14636"/>
  <c r="I29" i="14636"/>
  <c r="I33" i="14636"/>
  <c r="E28" i="14636"/>
  <c r="I41" i="14636"/>
  <c r="L34" i="14636"/>
  <c r="L36" i="14636"/>
  <c r="F5" i="14708"/>
  <c r="C44" i="14636"/>
  <c r="D31" i="14636"/>
  <c r="D35" i="14636"/>
  <c r="D29" i="14636"/>
  <c r="J16" i="14710"/>
  <c r="J30" i="14652" s="1"/>
  <c r="K30" i="14652" s="1"/>
  <c r="O24" i="14663"/>
  <c r="A37" i="14630"/>
  <c r="A57" i="14630" s="1"/>
  <c r="H33" i="14636"/>
  <c r="L41" i="14636"/>
  <c r="H44" i="14636"/>
  <c r="H28" i="14636"/>
  <c r="H38" i="14636"/>
  <c r="D39" i="14636"/>
  <c r="H42" i="14636"/>
  <c r="L27" i="14636"/>
  <c r="B27" i="14636"/>
  <c r="B38" i="14636"/>
  <c r="F40" i="14636"/>
  <c r="F38" i="14636"/>
  <c r="F37" i="14636"/>
  <c r="J27" i="14636"/>
  <c r="C32" i="14636"/>
  <c r="J36" i="14636"/>
  <c r="L40" i="14636"/>
  <c r="N27" i="14636"/>
  <c r="F32" i="14636"/>
  <c r="N36" i="14636"/>
  <c r="N40" i="14636"/>
  <c r="F27" i="14636"/>
  <c r="O27" i="14636" s="1"/>
  <c r="N31" i="14636"/>
  <c r="F36" i="14636"/>
  <c r="J40" i="14636"/>
  <c r="F23" i="14668"/>
  <c r="G37" i="14674" s="1"/>
  <c r="L23" i="14668"/>
  <c r="M37" i="14674" s="1"/>
  <c r="A63" i="14647"/>
  <c r="A80" i="14647" s="1"/>
  <c r="A95" i="14647" s="1"/>
  <c r="A14" i="14623"/>
  <c r="A40" i="14623" s="1"/>
  <c r="G35" i="14634"/>
  <c r="F11" i="14632"/>
  <c r="E27" i="14695"/>
  <c r="B18" i="14636"/>
  <c r="M7" i="14623"/>
  <c r="E13" i="14638"/>
  <c r="L40" i="14628"/>
  <c r="B35" i="14623"/>
  <c r="N38" i="7"/>
  <c r="B37" i="14623"/>
  <c r="O35" i="14663"/>
  <c r="A12" i="14678"/>
  <c r="A38" i="14678" s="1"/>
  <c r="H34" i="14667"/>
  <c r="A35" i="14637"/>
  <c r="A55" i="14637" s="1"/>
  <c r="K37" i="14639"/>
  <c r="E31" i="14630"/>
  <c r="E33" i="14632" s="1"/>
  <c r="A35" i="14674"/>
  <c r="C38" i="14637"/>
  <c r="C40" i="14638" s="1"/>
  <c r="G38" i="14637"/>
  <c r="G40" i="14638" s="1"/>
  <c r="I38" i="14637"/>
  <c r="I40" i="14638" s="1"/>
  <c r="O37" i="14634"/>
  <c r="K26" i="14702"/>
  <c r="K29" i="14702"/>
  <c r="K27" i="14702"/>
  <c r="K32" i="14702"/>
  <c r="K46" i="14702" s="1"/>
  <c r="E36" i="14630"/>
  <c r="E38" i="14632" s="1"/>
  <c r="E22" i="14630"/>
  <c r="B34" i="14630"/>
  <c r="B36" i="14632" s="1"/>
  <c r="B20" i="14630"/>
  <c r="I16" i="14702"/>
  <c r="I15" i="14702"/>
  <c r="I20" i="14702"/>
  <c r="I10" i="14702"/>
  <c r="I19" i="14702"/>
  <c r="I9" i="14702"/>
  <c r="I18" i="14702"/>
  <c r="I8" i="14702"/>
  <c r="I17" i="14702"/>
  <c r="I7" i="14702"/>
  <c r="I12" i="14702"/>
  <c r="I21" i="14702"/>
  <c r="I11" i="14702"/>
  <c r="D13" i="14638"/>
  <c r="D14" i="14638"/>
  <c r="G13" i="14632"/>
  <c r="I14" i="14632"/>
  <c r="N40" i="14628"/>
  <c r="J35" i="14668"/>
  <c r="J37" i="14678" s="1"/>
  <c r="A35" i="14639"/>
  <c r="A35" i="14675"/>
  <c r="K38" i="14637"/>
  <c r="K40" i="14638" s="1"/>
  <c r="B38" i="14637"/>
  <c r="B40" i="14638" s="1"/>
  <c r="M38" i="14637"/>
  <c r="M40" i="14638" s="1"/>
  <c r="A32" i="14637"/>
  <c r="A52" i="14637" s="1"/>
  <c r="K38" i="14702"/>
  <c r="K41" i="14702"/>
  <c r="K40" i="14702"/>
  <c r="K34" i="14702"/>
  <c r="K20" i="14668"/>
  <c r="L34" i="14674" s="1"/>
  <c r="C11" i="14637"/>
  <c r="C57" i="14653"/>
  <c r="C59" i="14653" s="1"/>
  <c r="M43" i="14702"/>
  <c r="L48" i="14702"/>
  <c r="M48" i="14702" s="1"/>
  <c r="G36" i="14702"/>
  <c r="G26" i="14702"/>
  <c r="G29" i="14702"/>
  <c r="G38" i="14702"/>
  <c r="G41" i="14702"/>
  <c r="B8" i="14637"/>
  <c r="N8" i="14637" s="1"/>
  <c r="E11" i="14683" s="1"/>
  <c r="B54" i="14653"/>
  <c r="G23" i="14668"/>
  <c r="G43" i="14702"/>
  <c r="F48" i="14702"/>
  <c r="G48" i="14702" s="1"/>
  <c r="H13" i="14638"/>
  <c r="F13" i="14661"/>
  <c r="G13" i="14661" s="1"/>
  <c r="J5" i="14668"/>
  <c r="M21" i="14630"/>
  <c r="N35" i="14634" s="1"/>
  <c r="A35" i="14634"/>
  <c r="K37" i="14702"/>
  <c r="K28" i="14702"/>
  <c r="K42" i="14702"/>
  <c r="K33" i="14702"/>
  <c r="I35" i="14630"/>
  <c r="I37" i="14632" s="1"/>
  <c r="E28" i="14702"/>
  <c r="E30" i="14702"/>
  <c r="E36" i="14702"/>
  <c r="K12" i="14703"/>
  <c r="O12" i="14703"/>
  <c r="J20" i="14703"/>
  <c r="B11" i="14623"/>
  <c r="C35" i="14628"/>
  <c r="J35" i="14628"/>
  <c r="J39" i="14628" s="1"/>
  <c r="I11" i="14623"/>
  <c r="B57" i="14653"/>
  <c r="B11" i="14637"/>
  <c r="A47" i="14665"/>
  <c r="B46" i="14665"/>
  <c r="D57" i="14665" s="1"/>
  <c r="B29" i="14645" s="1"/>
  <c r="B86" i="14645" s="1"/>
  <c r="G19" i="4129"/>
  <c r="I14" i="14702"/>
  <c r="C66" i="14653"/>
  <c r="C7" i="14669" s="1"/>
  <c r="F32" i="14637"/>
  <c r="F34" i="14638" s="1"/>
  <c r="N34" i="7"/>
  <c r="D41" i="14643" s="1"/>
  <c r="H32" i="14637"/>
  <c r="H34" i="14638" s="1"/>
  <c r="J7" i="14632"/>
  <c r="J39" i="7"/>
  <c r="J9" i="8" s="1"/>
  <c r="K34" i="14668"/>
  <c r="K36" i="14678" s="1"/>
  <c r="C34" i="14630"/>
  <c r="C36" i="14632" s="1"/>
  <c r="C20" i="14630"/>
  <c r="D34" i="14630"/>
  <c r="D36" i="14632" s="1"/>
  <c r="D20" i="14630"/>
  <c r="E19" i="14634" s="1"/>
  <c r="G9" i="14632"/>
  <c r="J31" i="14630"/>
  <c r="J33" i="14632" s="1"/>
  <c r="C22" i="14709"/>
  <c r="H13" i="14632"/>
  <c r="N23" i="14630"/>
  <c r="C27" i="14683" s="1"/>
  <c r="F27" i="14683" s="1"/>
  <c r="B21" i="14668"/>
  <c r="C35" i="14674" s="1"/>
  <c r="E7" i="14632"/>
  <c r="K36" i="14637"/>
  <c r="K38" i="14638" s="1"/>
  <c r="C36" i="14637"/>
  <c r="C38" i="14638" s="1"/>
  <c r="I36" i="14637"/>
  <c r="I38" i="14638" s="1"/>
  <c r="G36" i="14637"/>
  <c r="G38" i="14638" s="1"/>
  <c r="H16" i="14652"/>
  <c r="H36" i="14668" s="1"/>
  <c r="H38" i="14678" s="1"/>
  <c r="H36" i="14637"/>
  <c r="H38" i="14638" s="1"/>
  <c r="L35" i="14637"/>
  <c r="L37" i="14638" s="1"/>
  <c r="B35" i="14668"/>
  <c r="B37" i="14678" s="1"/>
  <c r="B35" i="14637"/>
  <c r="B37" i="14638" s="1"/>
  <c r="J35" i="14637"/>
  <c r="J37" i="14638" s="1"/>
  <c r="F34" i="14668"/>
  <c r="F36" i="14678" s="1"/>
  <c r="J14" i="14652"/>
  <c r="K34" i="14669" s="1"/>
  <c r="K36" i="14679" s="1"/>
  <c r="I31" i="14637"/>
  <c r="I33" i="14638" s="1"/>
  <c r="C16" i="14624"/>
  <c r="C15" i="14624"/>
  <c r="C18" i="14624" s="1"/>
  <c r="I33" i="14637"/>
  <c r="I35" i="14638" s="1"/>
  <c r="H13" i="14652"/>
  <c r="H27" i="14652" s="1"/>
  <c r="I27" i="14652" s="1"/>
  <c r="D33" i="14637"/>
  <c r="D35" i="14638" s="1"/>
  <c r="K7" i="14632"/>
  <c r="D9" i="14632"/>
  <c r="K31" i="14630"/>
  <c r="K33" i="14632" s="1"/>
  <c r="N19" i="7"/>
  <c r="C53" i="7" s="1"/>
  <c r="B10" i="14701"/>
  <c r="F12" i="14661"/>
  <c r="G12" i="14661" s="1"/>
  <c r="G18" i="14630"/>
  <c r="H32" i="14634" s="1"/>
  <c r="O33" i="14628"/>
  <c r="K10" i="14638"/>
  <c r="F20" i="14668"/>
  <c r="F10" i="14678" s="1"/>
  <c r="K9" i="14632"/>
  <c r="I7" i="14632"/>
  <c r="G7" i="14632"/>
  <c r="C13" i="14626"/>
  <c r="F2" i="11"/>
  <c r="F19" i="14661"/>
  <c r="H15" i="14661"/>
  <c r="I15" i="14661" s="1"/>
  <c r="J15" i="14661" s="1"/>
  <c r="B26" i="14701"/>
  <c r="E12" i="14689"/>
  <c r="F12" i="14689" s="1"/>
  <c r="G12" i="14689" s="1"/>
  <c r="H12" i="14689" s="1"/>
  <c r="C40" i="14692"/>
  <c r="C29" i="14692"/>
  <c r="N33" i="7"/>
  <c r="D40" i="14643" s="1"/>
  <c r="O8" i="14633"/>
  <c r="D10" i="14684" s="1"/>
  <c r="M7" i="14632"/>
  <c r="C9" i="14632"/>
  <c r="M18" i="14630"/>
  <c r="M8" i="14632" s="1"/>
  <c r="C33" i="14630"/>
  <c r="C35" i="14632" s="1"/>
  <c r="N7" i="14630"/>
  <c r="C10" i="14683" s="1"/>
  <c r="D10" i="14683" s="1"/>
  <c r="H31" i="14630"/>
  <c r="H33" i="14632" s="1"/>
  <c r="M31" i="14630"/>
  <c r="M33" i="14632" s="1"/>
  <c r="L7" i="14632"/>
  <c r="P9" i="14709"/>
  <c r="S8" i="14709" s="1"/>
  <c r="C26" i="14701"/>
  <c r="F26" i="14667"/>
  <c r="Q9" i="14709" s="1"/>
  <c r="H5" i="14628"/>
  <c r="E36" i="14694"/>
  <c r="E44" i="14694"/>
  <c r="G35" i="14623"/>
  <c r="C12" i="14624"/>
  <c r="H39" i="14628"/>
  <c r="D44" i="14694"/>
  <c r="N37" i="7"/>
  <c r="K5" i="14628"/>
  <c r="K9" i="14623"/>
  <c r="C11" i="14624"/>
  <c r="O37" i="14628"/>
  <c r="A25" i="14653"/>
  <c r="A38" i="14653" s="1"/>
  <c r="A51" i="14653" s="1"/>
  <c r="A64" i="14653" s="1"/>
  <c r="A31" i="14628"/>
  <c r="B33" i="14630"/>
  <c r="B19" i="14630"/>
  <c r="I32" i="14630"/>
  <c r="I34" i="14632" s="1"/>
  <c r="I18" i="14630"/>
  <c r="J32" i="14634" s="1"/>
  <c r="I70" i="14653"/>
  <c r="I11" i="14669" s="1"/>
  <c r="I11" i="14668"/>
  <c r="I23" i="14668" s="1"/>
  <c r="I13" i="14678" s="1"/>
  <c r="F16" i="4129"/>
  <c r="G1" i="14673" s="1"/>
  <c r="F33" i="14695"/>
  <c r="F32" i="14695"/>
  <c r="A37" i="14668"/>
  <c r="A57" i="14668" s="1"/>
  <c r="A83" i="14643"/>
  <c r="I36" i="14630"/>
  <c r="I38" i="14632" s="1"/>
  <c r="I22" i="14630"/>
  <c r="H32" i="14630"/>
  <c r="H18" i="14630"/>
  <c r="I32" i="14634" s="1"/>
  <c r="J35" i="14630"/>
  <c r="J37" i="14632" s="1"/>
  <c r="J21" i="14630"/>
  <c r="K33" i="14637"/>
  <c r="K35" i="14638" s="1"/>
  <c r="C33" i="14637"/>
  <c r="C35" i="14638" s="1"/>
  <c r="K35" i="14630"/>
  <c r="K37" i="14632" s="1"/>
  <c r="K21" i="14630"/>
  <c r="E12" i="14668"/>
  <c r="E71" i="14653"/>
  <c r="E12" i="14669" s="1"/>
  <c r="D70" i="14653"/>
  <c r="D11" i="14669" s="1"/>
  <c r="D11" i="14668"/>
  <c r="I31" i="14630"/>
  <c r="H36" i="14630"/>
  <c r="H38" i="14632" s="1"/>
  <c r="H22" i="14630"/>
  <c r="A33" i="14639"/>
  <c r="A33" i="14675"/>
  <c r="F33" i="14637"/>
  <c r="F35" i="14638" s="1"/>
  <c r="G33" i="14637"/>
  <c r="G35" i="14638" s="1"/>
  <c r="H31" i="14672"/>
  <c r="F28" i="14667"/>
  <c r="E40" i="14692"/>
  <c r="G5" i="14628"/>
  <c r="O8" i="14641"/>
  <c r="E10" i="14684" s="1"/>
  <c r="A11" i="14679"/>
  <c r="A37" i="14679" s="1"/>
  <c r="A11" i="14638"/>
  <c r="A37" i="14638" s="1"/>
  <c r="B42" i="14701"/>
  <c r="E69" i="14689"/>
  <c r="A7" i="14679"/>
  <c r="A33" i="14679" s="1"/>
  <c r="A7" i="14678"/>
  <c r="A33" i="14678" s="1"/>
  <c r="A7" i="14638"/>
  <c r="A33" i="14638" s="1"/>
  <c r="E12" i="14661"/>
  <c r="D57" i="7"/>
  <c r="M13" i="14709"/>
  <c r="G10" i="14638"/>
  <c r="O28" i="14624"/>
  <c r="B27" i="14682" s="1"/>
  <c r="C61" i="14712" s="1"/>
  <c r="C73" i="14712" s="1"/>
  <c r="L11" i="14632"/>
  <c r="M10" i="14632"/>
  <c r="L10" i="14632"/>
  <c r="F28" i="14637"/>
  <c r="G4" i="14706"/>
  <c r="A4" i="14706"/>
  <c r="A31" i="14668"/>
  <c r="A51" i="14668" s="1"/>
  <c r="A81" i="14643"/>
  <c r="A31" i="7"/>
  <c r="A51" i="7" s="1"/>
  <c r="H34" i="14669"/>
  <c r="H36" i="14679" s="1"/>
  <c r="A51" i="14643"/>
  <c r="A31" i="14630"/>
  <c r="A51" i="14630" s="1"/>
  <c r="M13" i="14623"/>
  <c r="N13" i="14623" s="1"/>
  <c r="I57" i="7"/>
  <c r="F57" i="7"/>
  <c r="E29" i="14692"/>
  <c r="G31" i="14630"/>
  <c r="G9" i="14681"/>
  <c r="A78" i="14643"/>
  <c r="J18" i="14710"/>
  <c r="J32" i="14652" s="1"/>
  <c r="K32" i="14652" s="1"/>
  <c r="H32" i="14652"/>
  <c r="I32" i="14652" s="1"/>
  <c r="G26" i="14703"/>
  <c r="L20" i="14703"/>
  <c r="H20" i="14703"/>
  <c r="I10" i="14668"/>
  <c r="I69" i="14653"/>
  <c r="I10" i="14669" s="1"/>
  <c r="H18" i="14652"/>
  <c r="B38" i="14668" s="1"/>
  <c r="B40" i="14678" s="1"/>
  <c r="I1" i="14681"/>
  <c r="A5" i="14681"/>
  <c r="I3" i="14681"/>
  <c r="I2" i="14681"/>
  <c r="E32" i="14637"/>
  <c r="E34" i="14638" s="1"/>
  <c r="O44" i="14629"/>
  <c r="C43" i="14682" s="1"/>
  <c r="D19" i="14712" s="1"/>
  <c r="N38" i="14623"/>
  <c r="F39" i="7"/>
  <c r="F9" i="8" s="1"/>
  <c r="K8" i="14623"/>
  <c r="F35" i="14623"/>
  <c r="C5" i="14628"/>
  <c r="A37" i="14674"/>
  <c r="B34" i="14632"/>
  <c r="M8" i="14638"/>
  <c r="K35" i="14639"/>
  <c r="C8" i="14638"/>
  <c r="G34" i="14623"/>
  <c r="H19" i="14628"/>
  <c r="M5" i="14628"/>
  <c r="E39" i="7"/>
  <c r="E9" i="8" s="1"/>
  <c r="E10" i="8" s="1"/>
  <c r="I5" i="14628"/>
  <c r="F5" i="14628"/>
  <c r="C34" i="14632"/>
  <c r="D34" i="14632"/>
  <c r="H34" i="14623"/>
  <c r="H41" i="14623" s="1"/>
  <c r="L34" i="14623"/>
  <c r="L41" i="14623" s="1"/>
  <c r="D5" i="14628"/>
  <c r="F9" i="14681"/>
  <c r="M14" i="14632"/>
  <c r="L14" i="14632"/>
  <c r="L39" i="7"/>
  <c r="L9" i="8" s="1"/>
  <c r="N36" i="7"/>
  <c r="D43" i="14643" s="1"/>
  <c r="H39" i="7"/>
  <c r="H9" i="8" s="1"/>
  <c r="F14" i="14661"/>
  <c r="G14" i="14661" s="1"/>
  <c r="H14" i="14661" s="1"/>
  <c r="K34" i="14623"/>
  <c r="K41" i="14623" s="1"/>
  <c r="M34" i="14623"/>
  <c r="M41" i="14623" s="1"/>
  <c r="J34" i="14623"/>
  <c r="J41" i="14623" s="1"/>
  <c r="M34" i="14632"/>
  <c r="L34" i="14669"/>
  <c r="L36" i="14679" s="1"/>
  <c r="G34" i="14639"/>
  <c r="K19" i="14628"/>
  <c r="I66" i="14653"/>
  <c r="I7" i="14669" s="1"/>
  <c r="I7" i="14668"/>
  <c r="J34" i="14639"/>
  <c r="I10" i="14638"/>
  <c r="G34" i="14638"/>
  <c r="R29" i="14678"/>
  <c r="B27" i="14672"/>
  <c r="C30" i="14672"/>
  <c r="M11" i="14678"/>
  <c r="E35" i="14630"/>
  <c r="N9" i="14630"/>
  <c r="C12" i="14683" s="1"/>
  <c r="D12" i="14683" s="1"/>
  <c r="E21" i="14630"/>
  <c r="L33" i="14630"/>
  <c r="L19" i="14630"/>
  <c r="L25" i="14630" s="1"/>
  <c r="E66" i="14653"/>
  <c r="E7" i="14669" s="1"/>
  <c r="E7" i="14668"/>
  <c r="E9" i="14681"/>
  <c r="E33" i="14634"/>
  <c r="C9" i="14681"/>
  <c r="E32" i="14630"/>
  <c r="E18" i="14630"/>
  <c r="E8" i="14632" s="1"/>
  <c r="F19" i="14628"/>
  <c r="I8" i="14623"/>
  <c r="J8" i="14623"/>
  <c r="N19" i="14628"/>
  <c r="B32" i="14639"/>
  <c r="C8" i="14623"/>
  <c r="D19" i="14628"/>
  <c r="E8" i="14638"/>
  <c r="B8" i="14632"/>
  <c r="K39" i="14628"/>
  <c r="B8" i="14623"/>
  <c r="H8" i="14623"/>
  <c r="M39" i="14628"/>
  <c r="B32" i="14634"/>
  <c r="D40" i="14634" s="1"/>
  <c r="F8" i="14638"/>
  <c r="F8" i="14623"/>
  <c r="F15" i="14623" s="1"/>
  <c r="G19" i="14628"/>
  <c r="J8" i="14638"/>
  <c r="F8" i="14632"/>
  <c r="D8" i="14632"/>
  <c r="C8" i="14632"/>
  <c r="G40" i="14628"/>
  <c r="L19" i="14628"/>
  <c r="B32" i="14675"/>
  <c r="G8" i="14638"/>
  <c r="E19" i="14628"/>
  <c r="O34" i="14629"/>
  <c r="C33" i="14682" s="1"/>
  <c r="L27" i="14672"/>
  <c r="H27" i="14672"/>
  <c r="F34" i="14623"/>
  <c r="C34" i="14623"/>
  <c r="C41" i="14623" s="1"/>
  <c r="V19" i="14709"/>
  <c r="H29" i="14652"/>
  <c r="I29" i="14652" s="1"/>
  <c r="J15" i="14710"/>
  <c r="B21" i="14669" s="1"/>
  <c r="L21" i="14668"/>
  <c r="J21" i="14668"/>
  <c r="M11" i="14638"/>
  <c r="N35" i="14639"/>
  <c r="L34" i="14668"/>
  <c r="L36" i="14678" s="1"/>
  <c r="H34" i="14668"/>
  <c r="H36" i="14678" s="1"/>
  <c r="G34" i="14668"/>
  <c r="G36" i="14678" s="1"/>
  <c r="D7" i="14668"/>
  <c r="D66" i="14653"/>
  <c r="D7" i="14669" s="1"/>
  <c r="G8" i="14623"/>
  <c r="K24" i="14623" s="1"/>
  <c r="B32" i="14674"/>
  <c r="E28" i="4129"/>
  <c r="H8" i="14638"/>
  <c r="N31" i="7"/>
  <c r="B36" i="14683" s="1"/>
  <c r="N33" i="14653"/>
  <c r="L18" i="14637"/>
  <c r="L8" i="14638" s="1"/>
  <c r="K25" i="7"/>
  <c r="K9" i="14681" s="1"/>
  <c r="G33" i="14623"/>
  <c r="N33" i="14623" s="1"/>
  <c r="K6" i="14669"/>
  <c r="K6" i="14668"/>
  <c r="H5" i="14668"/>
  <c r="H5" i="14669"/>
  <c r="K8" i="14638"/>
  <c r="M8" i="14623"/>
  <c r="M25" i="7"/>
  <c r="M9" i="14681" s="1"/>
  <c r="M6" i="14668"/>
  <c r="M6" i="14669"/>
  <c r="H7" i="14632"/>
  <c r="L39" i="14628"/>
  <c r="G39" i="7"/>
  <c r="G9" i="8" s="1"/>
  <c r="N5" i="14628"/>
  <c r="K39" i="7"/>
  <c r="K9" i="8" s="1"/>
  <c r="L5" i="14628"/>
  <c r="M39" i="7"/>
  <c r="M9" i="8" s="1"/>
  <c r="K32" i="14630"/>
  <c r="K34" i="14632" s="1"/>
  <c r="K18" i="14630"/>
  <c r="L32" i="14630"/>
  <c r="J32" i="14630"/>
  <c r="N6" i="14630"/>
  <c r="C9" i="14683" s="1"/>
  <c r="D9" i="14683" s="1"/>
  <c r="J18" i="14630"/>
  <c r="L8" i="14623"/>
  <c r="G5" i="14668"/>
  <c r="G5" i="14669"/>
  <c r="F5" i="14669"/>
  <c r="F5" i="14668"/>
  <c r="F33" i="14632"/>
  <c r="F17" i="14630"/>
  <c r="N5" i="14630"/>
  <c r="C8" i="14683" s="1"/>
  <c r="D8" i="14683" s="1"/>
  <c r="L20" i="14668"/>
  <c r="J14" i="14710"/>
  <c r="H28" i="14652"/>
  <c r="I28" i="14652" s="1"/>
  <c r="H20" i="14668"/>
  <c r="G20" i="14668"/>
  <c r="I20" i="14668"/>
  <c r="J13" i="14710"/>
  <c r="J12" i="14710"/>
  <c r="L31" i="14637"/>
  <c r="L33" i="14638" s="1"/>
  <c r="F25" i="14652"/>
  <c r="G25" i="14652" s="1"/>
  <c r="N39" i="14628"/>
  <c r="K40" i="14628"/>
  <c r="D40" i="14628"/>
  <c r="H40" i="14628"/>
  <c r="M40" i="14628"/>
  <c r="D39" i="14628"/>
  <c r="E40" i="14628"/>
  <c r="D21" i="14693"/>
  <c r="E14" i="14648" s="1"/>
  <c r="A8" i="11"/>
  <c r="M35" i="14668"/>
  <c r="M37" i="14678" s="1"/>
  <c r="D58" i="14647"/>
  <c r="D40" i="14652"/>
  <c r="C31" i="14710"/>
  <c r="B30" i="14710"/>
  <c r="I30" i="14710" s="1"/>
  <c r="J30" i="14710" s="1"/>
  <c r="C13" i="14647"/>
  <c r="L35" i="14668"/>
  <c r="L37" i="14678" s="1"/>
  <c r="I34" i="14669"/>
  <c r="I36" i="14679" s="1"/>
  <c r="G34" i="14669"/>
  <c r="G36" i="14679" s="1"/>
  <c r="G16" i="14647"/>
  <c r="G32" i="14647" s="1"/>
  <c r="G47" i="14647" s="1"/>
  <c r="G15" i="14647"/>
  <c r="E43" i="14652"/>
  <c r="E61" i="14647"/>
  <c r="C43" i="14652"/>
  <c r="C61" i="14647"/>
  <c r="F34" i="14669"/>
  <c r="F36" i="14679" s="1"/>
  <c r="E11" i="14647"/>
  <c r="J15" i="14652"/>
  <c r="J17" i="14652"/>
  <c r="F37" i="14668"/>
  <c r="F39" i="14678" s="1"/>
  <c r="H37" i="14668"/>
  <c r="H39" i="14678" s="1"/>
  <c r="J37" i="14668"/>
  <c r="J39" i="14678" s="1"/>
  <c r="L37" i="14668"/>
  <c r="L39" i="14678" s="1"/>
  <c r="G37" i="14668"/>
  <c r="G39" i="14678" s="1"/>
  <c r="J38" i="14639"/>
  <c r="I14" i="14638"/>
  <c r="G24" i="14637"/>
  <c r="E24" i="14637"/>
  <c r="C24" i="14637"/>
  <c r="F24" i="14637"/>
  <c r="L24" i="14637"/>
  <c r="M24" i="14637"/>
  <c r="K24" i="14637"/>
  <c r="B24" i="14637"/>
  <c r="H22" i="14637"/>
  <c r="I22" i="14637"/>
  <c r="G22" i="14637"/>
  <c r="F22" i="14637"/>
  <c r="C22" i="14637"/>
  <c r="O40" i="14629"/>
  <c r="C39" i="14682" s="1"/>
  <c r="J31" i="14637"/>
  <c r="J33" i="14638" s="1"/>
  <c r="G31" i="14637"/>
  <c r="G33" i="14638" s="1"/>
  <c r="B31" i="14637"/>
  <c r="B33" i="14638" s="1"/>
  <c r="H11" i="14652"/>
  <c r="H25" i="14652" s="1"/>
  <c r="I25" i="14652" s="1"/>
  <c r="E31" i="14637"/>
  <c r="E33" i="14638" s="1"/>
  <c r="K31" i="14637"/>
  <c r="K33" i="14638" s="1"/>
  <c r="D31" i="14637"/>
  <c r="D33" i="14638" s="1"/>
  <c r="H31" i="14637"/>
  <c r="H33" i="14638" s="1"/>
  <c r="C31" i="14637"/>
  <c r="C33" i="14638" s="1"/>
  <c r="C33" i="14632"/>
  <c r="F31" i="14637"/>
  <c r="F33" i="14638" s="1"/>
  <c r="M23" i="14709"/>
  <c r="I32" i="14637"/>
  <c r="I34" i="14638" s="1"/>
  <c r="I18" i="14637"/>
  <c r="I6" i="14669"/>
  <c r="I6" i="14668"/>
  <c r="O30" i="14629"/>
  <c r="C29" i="14682" s="1"/>
  <c r="F42" i="14667"/>
  <c r="G69" i="14689" s="1"/>
  <c r="P30" i="14709"/>
  <c r="M26" i="14655"/>
  <c r="M27" i="14655" s="1"/>
  <c r="E17" i="14663"/>
  <c r="E14" i="14624" s="1"/>
  <c r="C10" i="14661"/>
  <c r="G7" i="14685"/>
  <c r="G10" i="14685" s="1"/>
  <c r="B17" i="14622" s="1"/>
  <c r="D15" i="14624"/>
  <c r="D18" i="14624" s="1"/>
  <c r="D22" i="14624"/>
  <c r="D16" i="14624"/>
  <c r="D21" i="14624"/>
  <c r="D12" i="14624"/>
  <c r="D11" i="14624"/>
  <c r="E16" i="14663"/>
  <c r="F16" i="14663" s="1"/>
  <c r="O8" i="14625"/>
  <c r="C10" i="14684" s="1"/>
  <c r="D16" i="14667"/>
  <c r="B16" i="14701"/>
  <c r="E47" i="14688"/>
  <c r="C21" i="14693"/>
  <c r="D14" i="14648" s="1"/>
  <c r="B21" i="14693"/>
  <c r="C14" i="14648" s="1"/>
  <c r="V16" i="14709"/>
  <c r="AB14" i="14709" s="1"/>
  <c r="M20" i="14709"/>
  <c r="N20" i="14709"/>
  <c r="M18" i="14709"/>
  <c r="N18" i="14709"/>
  <c r="M21" i="14709"/>
  <c r="N21" i="14709"/>
  <c r="C14" i="14626"/>
  <c r="B11" i="14667"/>
  <c r="F22" i="14688"/>
  <c r="A92" i="14643"/>
  <c r="A33" i="14669"/>
  <c r="A53" i="14669" s="1"/>
  <c r="K12" i="14638"/>
  <c r="L36" i="14639"/>
  <c r="L25" i="7"/>
  <c r="L9" i="14681" s="1"/>
  <c r="B8" i="14661"/>
  <c r="B8" i="14667" s="1"/>
  <c r="F20" i="14694"/>
  <c r="G52" i="14694"/>
  <c r="F36" i="14694"/>
  <c r="M19" i="14628"/>
  <c r="N22" i="7"/>
  <c r="I56" i="7" s="1"/>
  <c r="E39" i="14628"/>
  <c r="F5" i="4128"/>
  <c r="G5" i="4128" s="1"/>
  <c r="G13" i="4128" s="1"/>
  <c r="G18" i="4128" s="1"/>
  <c r="F39" i="14628"/>
  <c r="J40" i="14628"/>
  <c r="F40" i="14628"/>
  <c r="C80" i="14692"/>
  <c r="F52" i="14694"/>
  <c r="F69" i="14689"/>
  <c r="A37" i="14675"/>
  <c r="G28" i="14688"/>
  <c r="M13" i="14638"/>
  <c r="N37" i="14639"/>
  <c r="C44" i="14694"/>
  <c r="C28" i="14694"/>
  <c r="E19" i="14683"/>
  <c r="G39" i="14628"/>
  <c r="B28" i="14694"/>
  <c r="I5" i="14669"/>
  <c r="I5" i="14668"/>
  <c r="B36" i="14682"/>
  <c r="AB15" i="14709" s="1"/>
  <c r="L17" i="14637"/>
  <c r="B17" i="14637"/>
  <c r="D17" i="14637"/>
  <c r="I17" i="14637"/>
  <c r="F17" i="14637"/>
  <c r="H17" i="14637"/>
  <c r="K17" i="14637"/>
  <c r="J17" i="14637"/>
  <c r="C17" i="14637"/>
  <c r="E17" i="14637"/>
  <c r="G17" i="14637"/>
  <c r="K30" i="14672"/>
  <c r="L29" i="14672"/>
  <c r="G32" i="14672"/>
  <c r="D35" i="14672"/>
  <c r="F37" i="14672"/>
  <c r="J38" i="14672"/>
  <c r="N39" i="14672"/>
  <c r="F41" i="14672"/>
  <c r="J42" i="14672"/>
  <c r="N43" i="14672"/>
  <c r="B40" i="14672"/>
  <c r="C34" i="14672"/>
  <c r="K36" i="14672"/>
  <c r="C38" i="14672"/>
  <c r="H39" i="14672"/>
  <c r="L40" i="14672"/>
  <c r="C42" i="14672"/>
  <c r="H43" i="14672"/>
  <c r="L44" i="14672"/>
  <c r="B44" i="14672"/>
  <c r="D28" i="14672"/>
  <c r="G29" i="14672"/>
  <c r="L30" i="14672"/>
  <c r="D32" i="14672"/>
  <c r="G33" i="14672"/>
  <c r="L34" i="14672"/>
  <c r="D36" i="14672"/>
  <c r="G44" i="14672"/>
  <c r="C43" i="14672"/>
  <c r="K41" i="14672"/>
  <c r="I40" i="14672"/>
  <c r="E39" i="14672"/>
  <c r="M37" i="14672"/>
  <c r="E36" i="14672"/>
  <c r="J33" i="14672"/>
  <c r="I30" i="14672"/>
  <c r="N27" i="14672"/>
  <c r="E27" i="14672"/>
  <c r="J28" i="14672"/>
  <c r="M29" i="14672"/>
  <c r="E31" i="14672"/>
  <c r="J32" i="14672"/>
  <c r="M33" i="14672"/>
  <c r="E35" i="14672"/>
  <c r="J36" i="14672"/>
  <c r="M43" i="14672"/>
  <c r="I42" i="14672"/>
  <c r="E41" i="14672"/>
  <c r="K39" i="14672"/>
  <c r="G38" i="14672"/>
  <c r="C37" i="14672"/>
  <c r="I34" i="14672"/>
  <c r="E32" i="14672"/>
  <c r="J29" i="14672"/>
  <c r="B21" i="14672"/>
  <c r="H29" i="14672"/>
  <c r="D29" i="14672"/>
  <c r="L31" i="14672"/>
  <c r="G34" i="14672"/>
  <c r="N36" i="14672"/>
  <c r="F38" i="14672"/>
  <c r="J39" i="14672"/>
  <c r="N40" i="14672"/>
  <c r="F42" i="14672"/>
  <c r="J43" i="14672"/>
  <c r="N44" i="14672"/>
  <c r="H33" i="14672"/>
  <c r="C36" i="14672"/>
  <c r="L37" i="14672"/>
  <c r="D39" i="14672"/>
  <c r="H40" i="14672"/>
  <c r="L41" i="14672"/>
  <c r="D43" i="14672"/>
  <c r="H44" i="14672"/>
  <c r="B42" i="14672"/>
  <c r="K27" i="14672"/>
  <c r="C29" i="14672"/>
  <c r="H30" i="14672"/>
  <c r="K31" i="14672"/>
  <c r="C33" i="14672"/>
  <c r="H34" i="14672"/>
  <c r="K35" i="14672"/>
  <c r="K44" i="14672"/>
  <c r="G43" i="14672"/>
  <c r="D42" i="14672"/>
  <c r="M40" i="14672"/>
  <c r="I39" i="14672"/>
  <c r="E38" i="14672"/>
  <c r="M36" i="14672"/>
  <c r="E34" i="14672"/>
  <c r="F31" i="14672"/>
  <c r="I28" i="14672"/>
  <c r="F28" i="14672"/>
  <c r="I29" i="14672"/>
  <c r="N30" i="14672"/>
  <c r="F32" i="14672"/>
  <c r="I33" i="14672"/>
  <c r="N34" i="14672"/>
  <c r="F36" i="14672"/>
  <c r="E44" i="14672"/>
  <c r="M42" i="14672"/>
  <c r="I41" i="14672"/>
  <c r="D40" i="14672"/>
  <c r="K38" i="14672"/>
  <c r="G37" i="14672"/>
  <c r="F35" i="14672"/>
  <c r="M32" i="14672"/>
  <c r="E30" i="14672"/>
  <c r="J27" i="14672"/>
  <c r="B33" i="14672"/>
  <c r="C28" i="14672"/>
  <c r="G28" i="14672"/>
  <c r="D31" i="14672"/>
  <c r="L33" i="14672"/>
  <c r="G36" i="14672"/>
  <c r="N37" i="14672"/>
  <c r="F39" i="14672"/>
  <c r="J40" i="14672"/>
  <c r="N41" i="14672"/>
  <c r="F43" i="14672"/>
  <c r="J44" i="14672"/>
  <c r="K32" i="14672"/>
  <c r="H35" i="14672"/>
  <c r="H37" i="14672"/>
  <c r="L38" i="14672"/>
  <c r="C40" i="14672"/>
  <c r="H41" i="14672"/>
  <c r="L42" i="14672"/>
  <c r="C44" i="14672"/>
  <c r="B38" i="14672"/>
  <c r="G27" i="14672"/>
  <c r="L28" i="14672"/>
  <c r="D30" i="14672"/>
  <c r="G31" i="14672"/>
  <c r="L32" i="14672"/>
  <c r="D34" i="14672"/>
  <c r="G35" i="14672"/>
  <c r="L36" i="14672"/>
  <c r="K43" i="14672"/>
  <c r="G42" i="14672"/>
  <c r="C41" i="14672"/>
  <c r="M39" i="14672"/>
  <c r="I38" i="14672"/>
  <c r="E37" i="14672"/>
  <c r="M34" i="14672"/>
  <c r="N31" i="14672"/>
  <c r="F29" i="14672"/>
  <c r="M27" i="14672"/>
  <c r="E29" i="14672"/>
  <c r="J30" i="14672"/>
  <c r="M31" i="14672"/>
  <c r="E33" i="14672"/>
  <c r="J34" i="14672"/>
  <c r="M35" i="14672"/>
  <c r="I44" i="14672"/>
  <c r="E43" i="14672"/>
  <c r="M41" i="14672"/>
  <c r="G40" i="14672"/>
  <c r="C39" i="14672"/>
  <c r="K37" i="14672"/>
  <c r="N35" i="14672"/>
  <c r="F33" i="14672"/>
  <c r="M30" i="14672"/>
  <c r="E28" i="14672"/>
  <c r="B31" i="14672"/>
  <c r="F27" i="14672"/>
  <c r="D27" i="14672"/>
  <c r="G30" i="14672"/>
  <c r="D33" i="14672"/>
  <c r="L35" i="14672"/>
  <c r="J37" i="14672"/>
  <c r="N38" i="14672"/>
  <c r="F40" i="14672"/>
  <c r="J41" i="14672"/>
  <c r="N42" i="14672"/>
  <c r="F44" i="14672"/>
  <c r="C32" i="14672"/>
  <c r="K34" i="14672"/>
  <c r="D37" i="14672"/>
  <c r="H38" i="14672"/>
  <c r="L39" i="14672"/>
  <c r="D41" i="14672"/>
  <c r="H42" i="14672"/>
  <c r="L43" i="14672"/>
  <c r="B28" i="14672"/>
  <c r="C27" i="14672"/>
  <c r="H28" i="14672"/>
  <c r="K29" i="14672"/>
  <c r="C31" i="14672"/>
  <c r="H32" i="14672"/>
  <c r="K33" i="14672"/>
  <c r="C35" i="14672"/>
  <c r="H36" i="14672"/>
  <c r="D44" i="14672"/>
  <c r="K42" i="14672"/>
  <c r="G41" i="14672"/>
  <c r="E40" i="14672"/>
  <c r="M38" i="14672"/>
  <c r="I37" i="14672"/>
  <c r="J35" i="14672"/>
  <c r="I32" i="14672"/>
  <c r="N29" i="14672"/>
  <c r="I27" i="14672"/>
  <c r="N28" i="14672"/>
  <c r="F30" i="14672"/>
  <c r="I31" i="14672"/>
  <c r="N32" i="14672"/>
  <c r="F34" i="14672"/>
  <c r="I35" i="14672"/>
  <c r="M44" i="14672"/>
  <c r="I43" i="14672"/>
  <c r="E42" i="14672"/>
  <c r="K40" i="14672"/>
  <c r="G39" i="14672"/>
  <c r="D38" i="14672"/>
  <c r="I36" i="14672"/>
  <c r="N33" i="14672"/>
  <c r="J31" i="14672"/>
  <c r="M28" i="14672"/>
  <c r="B29" i="14672"/>
  <c r="B42" i="14673"/>
  <c r="M43" i="14673"/>
  <c r="E43" i="14673"/>
  <c r="G42" i="14673"/>
  <c r="I39" i="14673"/>
  <c r="K38" i="14673"/>
  <c r="M35" i="14673"/>
  <c r="E35" i="14673"/>
  <c r="G34" i="14673"/>
  <c r="I31" i="14673"/>
  <c r="K30" i="14673"/>
  <c r="M27" i="14673"/>
  <c r="E27" i="14673"/>
  <c r="H43" i="14673"/>
  <c r="J42" i="14673"/>
  <c r="L39" i="14673"/>
  <c r="N38" i="14673"/>
  <c r="F38" i="14673"/>
  <c r="H35" i="14673"/>
  <c r="J34" i="14673"/>
  <c r="L31" i="14673"/>
  <c r="N30" i="14673"/>
  <c r="F30" i="14673"/>
  <c r="H27" i="14673"/>
  <c r="J44" i="14673"/>
  <c r="C36" i="14673"/>
  <c r="C41" i="14673"/>
  <c r="D27" i="14673"/>
  <c r="K29" i="14673"/>
  <c r="H33" i="14673"/>
  <c r="M36" i="14673"/>
  <c r="J40" i="14673"/>
  <c r="C43" i="14673"/>
  <c r="J28" i="14673"/>
  <c r="L29" i="14673"/>
  <c r="G32" i="14673"/>
  <c r="M33" i="14673"/>
  <c r="D37" i="14673"/>
  <c r="C39" i="14673"/>
  <c r="M40" i="14673"/>
  <c r="B21" i="14673"/>
  <c r="D44" i="14673"/>
  <c r="K44" i="14673"/>
  <c r="D32" i="14673"/>
  <c r="E29" i="14673"/>
  <c r="L32" i="14673"/>
  <c r="G36" i="14673"/>
  <c r="M37" i="14673"/>
  <c r="J41" i="14673"/>
  <c r="H28" i="14673"/>
  <c r="J29" i="14673"/>
  <c r="E32" i="14673"/>
  <c r="K33" i="14673"/>
  <c r="C37" i="14673"/>
  <c r="D38" i="14673"/>
  <c r="E41" i="14673"/>
  <c r="B27" i="14673"/>
  <c r="B28" i="14673"/>
  <c r="B40" i="14673"/>
  <c r="G43" i="14673"/>
  <c r="I42" i="14673"/>
  <c r="K39" i="14673"/>
  <c r="M38" i="14673"/>
  <c r="E38" i="14673"/>
  <c r="G35" i="14673"/>
  <c r="I34" i="14673"/>
  <c r="K31" i="14673"/>
  <c r="M30" i="14673"/>
  <c r="E30" i="14673"/>
  <c r="G27" i="14673"/>
  <c r="J43" i="14673"/>
  <c r="L42" i="14673"/>
  <c r="N39" i="14673"/>
  <c r="F39" i="14673"/>
  <c r="H38" i="14673"/>
  <c r="J35" i="14673"/>
  <c r="L34" i="14673"/>
  <c r="N31" i="14673"/>
  <c r="F31" i="14673"/>
  <c r="H30" i="14673"/>
  <c r="J27" i="14673"/>
  <c r="B33" i="14673"/>
  <c r="C42" i="14673"/>
  <c r="D43" i="14673"/>
  <c r="E28" i="14673"/>
  <c r="G29" i="14673"/>
  <c r="N32" i="14673"/>
  <c r="I36" i="14673"/>
  <c r="F40" i="14673"/>
  <c r="L41" i="14673"/>
  <c r="F28" i="14673"/>
  <c r="H29" i="14673"/>
  <c r="C32" i="14673"/>
  <c r="I33" i="14673"/>
  <c r="N36" i="14673"/>
  <c r="C38" i="14673"/>
  <c r="I40" i="14673"/>
  <c r="F44" i="14673"/>
  <c r="L44" i="14673"/>
  <c r="D33" i="14673"/>
  <c r="D34" i="14673"/>
  <c r="K28" i="14673"/>
  <c r="H32" i="14673"/>
  <c r="N33" i="14673"/>
  <c r="I37" i="14673"/>
  <c r="F41" i="14673"/>
  <c r="C28" i="14673"/>
  <c r="F29" i="14673"/>
  <c r="D31" i="14673"/>
  <c r="G33" i="14673"/>
  <c r="L36" i="14673"/>
  <c r="N37" i="14673"/>
  <c r="K40" i="14673"/>
  <c r="H44" i="14673"/>
  <c r="B44" i="14673"/>
  <c r="I43" i="14673"/>
  <c r="K42" i="14673"/>
  <c r="M39" i="14673"/>
  <c r="E39" i="14673"/>
  <c r="G38" i="14673"/>
  <c r="I35" i="14673"/>
  <c r="K34" i="14673"/>
  <c r="M31" i="14673"/>
  <c r="E31" i="14673"/>
  <c r="G30" i="14673"/>
  <c r="I27" i="14673"/>
  <c r="L43" i="14673"/>
  <c r="N42" i="14673"/>
  <c r="F42" i="14673"/>
  <c r="H39" i="14673"/>
  <c r="J38" i="14673"/>
  <c r="L35" i="14673"/>
  <c r="N34" i="14673"/>
  <c r="F34" i="14673"/>
  <c r="H31" i="14673"/>
  <c r="J30" i="14673"/>
  <c r="L27" i="14673"/>
  <c r="B29" i="14673"/>
  <c r="M44" i="14673"/>
  <c r="D28" i="14673"/>
  <c r="C33" i="14673"/>
  <c r="M28" i="14673"/>
  <c r="J32" i="14673"/>
  <c r="E36" i="14673"/>
  <c r="K37" i="14673"/>
  <c r="H41" i="14673"/>
  <c r="G44" i="14673"/>
  <c r="D29" i="14673"/>
  <c r="C31" i="14673"/>
  <c r="E33" i="14673"/>
  <c r="J36" i="14673"/>
  <c r="L37" i="14673"/>
  <c r="E40" i="14673"/>
  <c r="K41" i="14673"/>
  <c r="N44" i="14673"/>
  <c r="C35" i="14673"/>
  <c r="D40" i="14673"/>
  <c r="G28" i="14673"/>
  <c r="M29" i="14673"/>
  <c r="J33" i="14673"/>
  <c r="E37" i="14673"/>
  <c r="L40" i="14673"/>
  <c r="E44" i="14673"/>
  <c r="C29" i="14673"/>
  <c r="D30" i="14673"/>
  <c r="M32" i="14673"/>
  <c r="H36" i="14673"/>
  <c r="J37" i="14673"/>
  <c r="G40" i="14673"/>
  <c r="M41" i="14673"/>
  <c r="B38" i="14673"/>
  <c r="K43" i="14673"/>
  <c r="M42" i="14673"/>
  <c r="E42" i="14673"/>
  <c r="G39" i="14673"/>
  <c r="I38" i="14673"/>
  <c r="K35" i="14673"/>
  <c r="M34" i="14673"/>
  <c r="E34" i="14673"/>
  <c r="G31" i="14673"/>
  <c r="I30" i="14673"/>
  <c r="K27" i="14673"/>
  <c r="N43" i="14673"/>
  <c r="F43" i="14673"/>
  <c r="H42" i="14673"/>
  <c r="J39" i="14673"/>
  <c r="L38" i="14673"/>
  <c r="N35" i="14673"/>
  <c r="F35" i="14673"/>
  <c r="H34" i="14673"/>
  <c r="J31" i="14673"/>
  <c r="L30" i="14673"/>
  <c r="N27" i="14673"/>
  <c r="F27" i="14673"/>
  <c r="I44" i="14673"/>
  <c r="C34" i="14673"/>
  <c r="D35" i="14673"/>
  <c r="I28" i="14673"/>
  <c r="F32" i="14673"/>
  <c r="L33" i="14673"/>
  <c r="G37" i="14673"/>
  <c r="N40" i="14673"/>
  <c r="C44" i="14673"/>
  <c r="N28" i="14673"/>
  <c r="C30" i="14673"/>
  <c r="K32" i="14673"/>
  <c r="F36" i="14673"/>
  <c r="H37" i="14673"/>
  <c r="D39" i="14673"/>
  <c r="G41" i="14673"/>
  <c r="B31" i="14673"/>
  <c r="D41" i="14673"/>
  <c r="D42" i="14673"/>
  <c r="C27" i="14673"/>
  <c r="I29" i="14673"/>
  <c r="F33" i="14673"/>
  <c r="K36" i="14673"/>
  <c r="H40" i="14673"/>
  <c r="N41" i="14673"/>
  <c r="L28" i="14673"/>
  <c r="N29" i="14673"/>
  <c r="I32" i="14673"/>
  <c r="D36" i="14673"/>
  <c r="F37" i="14673"/>
  <c r="C40" i="14673"/>
  <c r="I41" i="14673"/>
  <c r="G10" i="14686"/>
  <c r="E21" i="14693"/>
  <c r="F14" i="14648" s="1"/>
  <c r="D42" i="14643"/>
  <c r="B28" i="14682"/>
  <c r="AB19" i="14709"/>
  <c r="C88" i="14647"/>
  <c r="B88" i="14647" s="1"/>
  <c r="I88" i="14647" s="1"/>
  <c r="J88" i="14647" s="1"/>
  <c r="B73" i="14647"/>
  <c r="I73" i="14647" s="1"/>
  <c r="J73" i="14647" s="1"/>
  <c r="A37" i="14634"/>
  <c r="A31" i="14653"/>
  <c r="A44" i="14653" s="1"/>
  <c r="A57" i="14653" s="1"/>
  <c r="A70" i="14653" s="1"/>
  <c r="A37" i="14628"/>
  <c r="A33" i="14630"/>
  <c r="A53" i="14630" s="1"/>
  <c r="A53" i="14643"/>
  <c r="J21" i="14636"/>
  <c r="C21" i="14636"/>
  <c r="D21" i="14636"/>
  <c r="O42" i="14629"/>
  <c r="C41" i="14682" s="1"/>
  <c r="O38" i="14629"/>
  <c r="C37" i="14682" s="1"/>
  <c r="O36" i="14629"/>
  <c r="C35" i="14682" s="1"/>
  <c r="O32" i="14629"/>
  <c r="C31" i="14682" s="1"/>
  <c r="O28" i="14629"/>
  <c r="C27" i="14682" s="1"/>
  <c r="D61" i="14712" s="1"/>
  <c r="D73" i="14712" s="1"/>
  <c r="A7" i="14623"/>
  <c r="A33" i="14623" s="1"/>
  <c r="A56" i="14647"/>
  <c r="A73" i="14647" s="1"/>
  <c r="A88" i="14647" s="1"/>
  <c r="A37" i="7"/>
  <c r="A57" i="7" s="1"/>
  <c r="A44" i="14643"/>
  <c r="A35" i="7"/>
  <c r="A55" i="7" s="1"/>
  <c r="A42" i="14643"/>
  <c r="A33" i="7"/>
  <c r="A53" i="7" s="1"/>
  <c r="A40" i="14643"/>
  <c r="A33" i="14668"/>
  <c r="A53" i="14668" s="1"/>
  <c r="A79" i="14643"/>
  <c r="O8" i="14676"/>
  <c r="F10" i="14684" s="1"/>
  <c r="B11" i="14672"/>
  <c r="F15" i="14695"/>
  <c r="B32" i="14636"/>
  <c r="B32" i="14673"/>
  <c r="B32" i="14672"/>
  <c r="B35" i="14636"/>
  <c r="B35" i="14672"/>
  <c r="B35" i="14673"/>
  <c r="B37" i="14636"/>
  <c r="B37" i="14673"/>
  <c r="B37" i="14672"/>
  <c r="B41" i="14636"/>
  <c r="B41" i="14672"/>
  <c r="B41" i="14673"/>
  <c r="C19" i="14628"/>
  <c r="N18" i="7"/>
  <c r="C32" i="14628"/>
  <c r="B25" i="7"/>
  <c r="C34" i="14628"/>
  <c r="B10" i="14623"/>
  <c r="N10" i="14623" s="1"/>
  <c r="N20" i="7"/>
  <c r="B14" i="14623"/>
  <c r="N14" i="14623" s="1"/>
  <c r="N24" i="7"/>
  <c r="C38" i="14628"/>
  <c r="O38" i="14628" s="1"/>
  <c r="I19" i="14628"/>
  <c r="I32" i="14628"/>
  <c r="H25" i="7"/>
  <c r="J44" i="14694"/>
  <c r="K44" i="14694"/>
  <c r="M44" i="14694"/>
  <c r="E52" i="14694"/>
  <c r="E20" i="14694"/>
  <c r="B52" i="14694"/>
  <c r="C20" i="14694"/>
  <c r="F44" i="14694"/>
  <c r="J20" i="14694"/>
  <c r="G36" i="14694"/>
  <c r="I28" i="14694"/>
  <c r="K28" i="14694"/>
  <c r="M36" i="14694"/>
  <c r="D28" i="14694"/>
  <c r="F28" i="14694"/>
  <c r="I20" i="14694"/>
  <c r="K20" i="14694"/>
  <c r="J36" i="14694"/>
  <c r="L28" i="14694"/>
  <c r="M20" i="14694"/>
  <c r="G44" i="14694"/>
  <c r="H44" i="14694"/>
  <c r="I44" i="14694"/>
  <c r="D52" i="14694"/>
  <c r="D20" i="14694"/>
  <c r="B36" i="14694"/>
  <c r="C36" i="14694"/>
  <c r="C52" i="14694"/>
  <c r="B20" i="14694"/>
  <c r="G20" i="14694"/>
  <c r="H28" i="14694"/>
  <c r="H36" i="14694"/>
  <c r="J28" i="14694"/>
  <c r="M28" i="14694"/>
  <c r="L20" i="14694"/>
  <c r="E28" i="14694"/>
  <c r="H20" i="14694"/>
  <c r="G28" i="14694"/>
  <c r="I36" i="14694"/>
  <c r="K36" i="14694"/>
  <c r="L36" i="14694"/>
  <c r="A39" i="14643"/>
  <c r="A32" i="7"/>
  <c r="A52" i="7" s="1"/>
  <c r="A26" i="14653"/>
  <c r="A39" i="14653" s="1"/>
  <c r="A52" i="14653" s="1"/>
  <c r="A65" i="14653" s="1"/>
  <c r="A32" i="14675"/>
  <c r="A32" i="14639"/>
  <c r="A32" i="14628"/>
  <c r="A32" i="14634"/>
  <c r="A32" i="14674"/>
  <c r="A34" i="14637"/>
  <c r="A54" i="14637" s="1"/>
  <c r="A67" i="14643"/>
  <c r="A36" i="7"/>
  <c r="A56" i="7" s="1"/>
  <c r="A43" i="14643"/>
  <c r="A30" i="14653"/>
  <c r="A43" i="14653" s="1"/>
  <c r="A56" i="14653" s="1"/>
  <c r="A69" i="14653" s="1"/>
  <c r="A36" i="14674"/>
  <c r="A36" i="14634"/>
  <c r="A36" i="14675"/>
  <c r="A36" i="14628"/>
  <c r="A36" i="14639"/>
  <c r="A58" i="14643"/>
  <c r="A38" i="14630"/>
  <c r="A58" i="14630" s="1"/>
  <c r="A45" i="14643"/>
  <c r="A38" i="7"/>
  <c r="A58" i="7" s="1"/>
  <c r="L34" i="14634"/>
  <c r="L36" i="14634"/>
  <c r="N24" i="14630"/>
  <c r="L38" i="14634"/>
  <c r="O38" i="14634" s="1"/>
  <c r="M32" i="14634"/>
  <c r="G47" i="14689"/>
  <c r="F68" i="14688"/>
  <c r="E70" i="14688"/>
  <c r="E41" i="14623"/>
  <c r="F16" i="14661"/>
  <c r="E80" i="14692"/>
  <c r="B30" i="14636"/>
  <c r="B30" i="14672"/>
  <c r="B30" i="14673"/>
  <c r="B34" i="14636"/>
  <c r="B34" i="14673"/>
  <c r="B34" i="14672"/>
  <c r="B36" i="14636"/>
  <c r="B36" i="14672"/>
  <c r="B36" i="14673"/>
  <c r="B39" i="14636"/>
  <c r="B39" i="14672"/>
  <c r="B39" i="14673"/>
  <c r="B43" i="14636"/>
  <c r="B43" i="14672"/>
  <c r="B43" i="14673"/>
  <c r="A32" i="14669"/>
  <c r="A52" i="14669" s="1"/>
  <c r="A91" i="14643"/>
  <c r="A8" i="14623"/>
  <c r="A34" i="14623" s="1"/>
  <c r="A57" i="14647"/>
  <c r="A74" i="14647" s="1"/>
  <c r="A89" i="14647" s="1"/>
  <c r="A10" i="14623"/>
  <c r="A36" i="14623" s="1"/>
  <c r="A59" i="14647"/>
  <c r="A76" i="14647" s="1"/>
  <c r="A91" i="14647" s="1"/>
  <c r="A95" i="14643"/>
  <c r="A36" i="14669"/>
  <c r="A56" i="14669" s="1"/>
  <c r="A12" i="14623"/>
  <c r="A38" i="14623" s="1"/>
  <c r="A61" i="14647"/>
  <c r="A78" i="14647" s="1"/>
  <c r="A93" i="14647" s="1"/>
  <c r="A82" i="14643"/>
  <c r="A36" i="14668"/>
  <c r="A56" i="14668" s="1"/>
  <c r="A38" i="14669"/>
  <c r="A58" i="14669" s="1"/>
  <c r="A97" i="14643"/>
  <c r="F15" i="14667"/>
  <c r="M32" i="14709" s="1"/>
  <c r="C15" i="14701"/>
  <c r="O43" i="14629"/>
  <c r="C42" i="14682" s="1"/>
  <c r="O41" i="14629"/>
  <c r="C40" i="14682" s="1"/>
  <c r="D20" i="14712" s="1"/>
  <c r="O39" i="14629"/>
  <c r="C38" i="14682" s="1"/>
  <c r="D23" i="14712" s="1"/>
  <c r="O37" i="14629"/>
  <c r="C36" i="14682" s="1"/>
  <c r="O35" i="14629"/>
  <c r="C34" i="14682" s="1"/>
  <c r="O33" i="14629"/>
  <c r="C32" i="14682" s="1"/>
  <c r="O31" i="14629"/>
  <c r="C30" i="14682" s="1"/>
  <c r="O29" i="14629"/>
  <c r="O27" i="14629"/>
  <c r="C26" i="14682" s="1"/>
  <c r="Q44" i="14632"/>
  <c r="R55" i="14632" s="1"/>
  <c r="G58" i="14647"/>
  <c r="B39" i="14652"/>
  <c r="I39" i="14652" s="1"/>
  <c r="J39" i="14652" s="1"/>
  <c r="G40" i="14652"/>
  <c r="A84" i="14643"/>
  <c r="A38" i="14668"/>
  <c r="A58" i="14668" s="1"/>
  <c r="J21" i="14669"/>
  <c r="M21" i="14669"/>
  <c r="C21" i="14637"/>
  <c r="C35" i="14637"/>
  <c r="C37" i="14638" s="1"/>
  <c r="E9" i="14668"/>
  <c r="E68" i="14653"/>
  <c r="E9" i="14669" s="1"/>
  <c r="H9" i="14668"/>
  <c r="H68" i="14653"/>
  <c r="H9" i="14669" s="1"/>
  <c r="J10" i="14668"/>
  <c r="J69" i="14653"/>
  <c r="J10" i="14669" s="1"/>
  <c r="L6" i="14668"/>
  <c r="L6" i="14669"/>
  <c r="M67" i="14653"/>
  <c r="M8" i="14669" s="1"/>
  <c r="M8" i="14668"/>
  <c r="H43" i="14702"/>
  <c r="H46" i="14702"/>
  <c r="I32" i="14702" s="1"/>
  <c r="H44" i="14702"/>
  <c r="C34" i="14637"/>
  <c r="C20" i="14637"/>
  <c r="D21" i="14637"/>
  <c r="D35" i="14637"/>
  <c r="D37" i="14638" s="1"/>
  <c r="D9" i="14668"/>
  <c r="D68" i="14653"/>
  <c r="D9" i="14669" s="1"/>
  <c r="K9" i="14668"/>
  <c r="K68" i="14653"/>
  <c r="K9" i="14669" s="1"/>
  <c r="M5" i="14668"/>
  <c r="N51" i="14653"/>
  <c r="B15" i="14672"/>
  <c r="F16" i="14695"/>
  <c r="L21" i="14669"/>
  <c r="D19" i="14637"/>
  <c r="E19" i="14637"/>
  <c r="K19" i="14637"/>
  <c r="J19" i="14637"/>
  <c r="F19" i="14637"/>
  <c r="G19" i="14637"/>
  <c r="L19" i="14637"/>
  <c r="C19" i="14637"/>
  <c r="F32" i="14668"/>
  <c r="F34" i="14678" s="1"/>
  <c r="H58" i="14647"/>
  <c r="H40" i="14652"/>
  <c r="D12" i="14647"/>
  <c r="C9" i="14668"/>
  <c r="C68" i="14653"/>
  <c r="C9" i="14669" s="1"/>
  <c r="E21" i="14637"/>
  <c r="E35" i="14637"/>
  <c r="E37" i="14638" s="1"/>
  <c r="G21" i="14637"/>
  <c r="G35" i="14637"/>
  <c r="H21" i="14637"/>
  <c r="H35" i="14637"/>
  <c r="H37" i="14638" s="1"/>
  <c r="J36" i="14637"/>
  <c r="J38" i="14638" s="1"/>
  <c r="J22" i="14637"/>
  <c r="M34" i="14637"/>
  <c r="M36" i="14638" s="1"/>
  <c r="M20" i="14637"/>
  <c r="C67" i="14653"/>
  <c r="K21" i="14637"/>
  <c r="K35" i="14637"/>
  <c r="K37" i="14638" s="1"/>
  <c r="M17" i="14637"/>
  <c r="M31" i="14637"/>
  <c r="N5" i="14637"/>
  <c r="E8" i="14683" s="1"/>
  <c r="O36" i="14628"/>
  <c r="O57" i="14663"/>
  <c r="O46" i="14663"/>
  <c r="O56" i="14663"/>
  <c r="O45" i="14663"/>
  <c r="M23" i="14702"/>
  <c r="K20" i="14702"/>
  <c r="K16" i="14702"/>
  <c r="K10" i="14702"/>
  <c r="K21" i="14702"/>
  <c r="K17" i="14702"/>
  <c r="K11" i="14702"/>
  <c r="K14" i="14702"/>
  <c r="J50" i="14702"/>
  <c r="K7" i="14702"/>
  <c r="K18" i="14702"/>
  <c r="K12" i="14702"/>
  <c r="K8" i="14702"/>
  <c r="K19" i="14702"/>
  <c r="K15" i="14702"/>
  <c r="K9" i="14702"/>
  <c r="G18" i="14702"/>
  <c r="G12" i="14702"/>
  <c r="G8" i="14702"/>
  <c r="G7" i="14702"/>
  <c r="G19" i="14702"/>
  <c r="G15" i="14702"/>
  <c r="G9" i="14702"/>
  <c r="G14" i="14702"/>
  <c r="G20" i="14702"/>
  <c r="G16" i="14702"/>
  <c r="G10" i="14702"/>
  <c r="G21" i="14702"/>
  <c r="G17" i="14702"/>
  <c r="G11" i="14702"/>
  <c r="F50" i="14702"/>
  <c r="E66" i="14692"/>
  <c r="F38" i="14688"/>
  <c r="E41" i="14688"/>
  <c r="F26" i="14688"/>
  <c r="C11" i="14661"/>
  <c r="E30" i="14688"/>
  <c r="E31" i="14688" s="1"/>
  <c r="C66" i="14692"/>
  <c r="F1" i="14678"/>
  <c r="A43" i="14684"/>
  <c r="B48" i="14649"/>
  <c r="D28" i="14649"/>
  <c r="E28" i="14649" s="1"/>
  <c r="F28" i="14649" s="1"/>
  <c r="C24" i="14682"/>
  <c r="D6" i="14682"/>
  <c r="D12" i="14665"/>
  <c r="C39" i="14665"/>
  <c r="D28" i="4128"/>
  <c r="E28" i="4128" s="1"/>
  <c r="F28" i="4128" s="1"/>
  <c r="G28" i="4128" s="1"/>
  <c r="D13" i="4128"/>
  <c r="D18" i="4128" s="1"/>
  <c r="B43" i="14683"/>
  <c r="D43" i="14683" s="1"/>
  <c r="D45" i="14643"/>
  <c r="N36" i="14623"/>
  <c r="N39" i="14623"/>
  <c r="N37" i="14623"/>
  <c r="F7" i="14682"/>
  <c r="F25" i="14682" s="1"/>
  <c r="E25" i="14682"/>
  <c r="D44" i="14643"/>
  <c r="B42" i="14683"/>
  <c r="D42" i="14683" s="1"/>
  <c r="L56" i="7"/>
  <c r="D41" i="14623"/>
  <c r="O8" i="14677"/>
  <c r="G10" i="14684" s="1"/>
  <c r="N24" i="14653"/>
  <c r="F35" i="14653"/>
  <c r="N37" i="14653" s="1"/>
  <c r="J6" i="14659"/>
  <c r="G29" i="14659"/>
  <c r="H10" i="14686"/>
  <c r="E44" i="14692"/>
  <c r="E46" i="14692" s="1"/>
  <c r="C46" i="14692"/>
  <c r="E49" i="14692"/>
  <c r="E53" i="14692" s="1"/>
  <c r="C53" i="14692"/>
  <c r="J33" i="14639"/>
  <c r="I9" i="14638"/>
  <c r="B7" i="14668"/>
  <c r="B66" i="14653"/>
  <c r="N53" i="14653"/>
  <c r="D67" i="14653"/>
  <c r="D8" i="14668"/>
  <c r="E67" i="14653"/>
  <c r="E8" i="14669" s="1"/>
  <c r="E8" i="14668"/>
  <c r="F9" i="14668"/>
  <c r="F68" i="14653"/>
  <c r="F59" i="14653"/>
  <c r="H59" i="14653"/>
  <c r="H66" i="14653"/>
  <c r="H7" i="14668"/>
  <c r="J34" i="14637"/>
  <c r="J20" i="14637"/>
  <c r="J38" i="14637"/>
  <c r="J40" i="14638" s="1"/>
  <c r="J24" i="14637"/>
  <c r="K37" i="14637"/>
  <c r="K23" i="14637"/>
  <c r="L69" i="14653"/>
  <c r="L10" i="14668"/>
  <c r="L59" i="14653"/>
  <c r="M33" i="14637"/>
  <c r="M19" i="14637"/>
  <c r="M36" i="14637"/>
  <c r="M38" i="14638" s="1"/>
  <c r="M22" i="14637"/>
  <c r="H13" i="14647"/>
  <c r="C34" i="14668"/>
  <c r="C20" i="14668"/>
  <c r="F18" i="14668"/>
  <c r="C18" i="14668"/>
  <c r="J18" i="14668"/>
  <c r="H18" i="14668"/>
  <c r="G18" i="14668"/>
  <c r="D18" i="14637"/>
  <c r="D32" i="14637"/>
  <c r="N6" i="14637"/>
  <c r="E9" i="14683" s="1"/>
  <c r="D36" i="14637"/>
  <c r="D22" i="14637"/>
  <c r="N10" i="14637"/>
  <c r="E13" i="14683" s="1"/>
  <c r="H13" i="14683" s="1"/>
  <c r="F32" i="14639"/>
  <c r="E36" i="14637"/>
  <c r="E38" i="14638" s="1"/>
  <c r="E22" i="14637"/>
  <c r="H71" i="14653"/>
  <c r="H12" i="14668"/>
  <c r="N58" i="14653"/>
  <c r="I68" i="14653"/>
  <c r="I9" i="14668"/>
  <c r="I59" i="14653"/>
  <c r="C89" i="14647"/>
  <c r="B74" i="14647"/>
  <c r="I74" i="14647" s="1"/>
  <c r="J74" i="14647" s="1"/>
  <c r="H52" i="14694"/>
  <c r="I50" i="14694"/>
  <c r="H51" i="14694"/>
  <c r="D41" i="14647"/>
  <c r="B26" i="14647"/>
  <c r="I26" i="14647" s="1"/>
  <c r="J26" i="14647" s="1"/>
  <c r="L22" i="14693"/>
  <c r="I22" i="14693"/>
  <c r="E35" i="14693"/>
  <c r="L35" i="14693"/>
  <c r="K42" i="14693"/>
  <c r="H56" i="14693"/>
  <c r="G21" i="14693"/>
  <c r="F21" i="14693"/>
  <c r="H28" i="14693"/>
  <c r="F35" i="14693"/>
  <c r="B42" i="14693"/>
  <c r="H49" i="14693"/>
  <c r="J49" i="14693"/>
  <c r="M49" i="14693"/>
  <c r="I56" i="14693"/>
  <c r="K21" i="14693"/>
  <c r="J21" i="14693"/>
  <c r="L57" i="14693"/>
  <c r="D43" i="14693"/>
  <c r="J36" i="14693"/>
  <c r="C57" i="14693"/>
  <c r="E50" i="14693"/>
  <c r="I43" i="14693"/>
  <c r="M36" i="14693"/>
  <c r="G28" i="14693"/>
  <c r="D42" i="14693"/>
  <c r="F57" i="14693"/>
  <c r="H50" i="14693"/>
  <c r="B36" i="14693"/>
  <c r="F29" i="14693"/>
  <c r="I57" i="14693"/>
  <c r="C43" i="14693"/>
  <c r="G36" i="14693"/>
  <c r="K29" i="14693"/>
  <c r="G35" i="14693"/>
  <c r="B22" i="14693"/>
  <c r="J22" i="14693"/>
  <c r="G22" i="14693"/>
  <c r="E28" i="14693"/>
  <c r="L28" i="14693"/>
  <c r="E49" i="14693"/>
  <c r="J56" i="14693"/>
  <c r="B56" i="14693"/>
  <c r="C35" i="14693"/>
  <c r="E42" i="14693"/>
  <c r="M42" i="14693"/>
  <c r="B49" i="14693"/>
  <c r="F49" i="14693"/>
  <c r="K56" i="14693"/>
  <c r="G56" i="14693"/>
  <c r="D50" i="14693"/>
  <c r="H43" i="14693"/>
  <c r="L36" i="14693"/>
  <c r="E57" i="14693"/>
  <c r="K50" i="14693"/>
  <c r="M43" i="14693"/>
  <c r="E29" i="14693"/>
  <c r="C28" i="14693"/>
  <c r="I35" i="14693"/>
  <c r="B57" i="14693"/>
  <c r="F50" i="14693"/>
  <c r="J43" i="14693"/>
  <c r="B29" i="14693"/>
  <c r="G57" i="14693"/>
  <c r="I50" i="14693"/>
  <c r="C36" i="14693"/>
  <c r="G29" i="14693"/>
  <c r="F28" i="14693"/>
  <c r="F42" i="14693"/>
  <c r="D22" i="14693"/>
  <c r="H22" i="14693"/>
  <c r="E22" i="14693"/>
  <c r="M22" i="14693"/>
  <c r="H35" i="14693"/>
  <c r="C42" i="14693"/>
  <c r="L56" i="14693"/>
  <c r="D56" i="14693"/>
  <c r="L21" i="14693"/>
  <c r="I21" i="14693"/>
  <c r="J28" i="14693"/>
  <c r="M35" i="14693"/>
  <c r="C49" i="14693"/>
  <c r="I49" i="14693"/>
  <c r="L49" i="14693"/>
  <c r="M56" i="14693"/>
  <c r="E56" i="14693"/>
  <c r="E55" i="14693" s="1"/>
  <c r="E58" i="14693" s="1"/>
  <c r="H21" i="14693"/>
  <c r="D57" i="14693"/>
  <c r="J50" i="14693"/>
  <c r="L43" i="14693"/>
  <c r="D29" i="14693"/>
  <c r="K57" i="14693"/>
  <c r="M50" i="14693"/>
  <c r="E36" i="14693"/>
  <c r="M29" i="14693"/>
  <c r="D35" i="14693"/>
  <c r="L42" i="14693"/>
  <c r="B50" i="14693"/>
  <c r="F43" i="14693"/>
  <c r="H36" i="14693"/>
  <c r="L29" i="14693"/>
  <c r="G50" i="14693"/>
  <c r="K43" i="14693"/>
  <c r="C29" i="14693"/>
  <c r="K28" i="14693"/>
  <c r="K35" i="14693"/>
  <c r="F22" i="14693"/>
  <c r="C22" i="14693"/>
  <c r="K22" i="14693"/>
  <c r="I28" i="14693"/>
  <c r="G42" i="14693"/>
  <c r="G49" i="14693"/>
  <c r="F56" i="14693"/>
  <c r="D28" i="14693"/>
  <c r="J35" i="14693"/>
  <c r="I42" i="14693"/>
  <c r="M21" i="14693"/>
  <c r="D49" i="14693"/>
  <c r="K49" i="14693"/>
  <c r="C56" i="14693"/>
  <c r="J57" i="14693"/>
  <c r="L50" i="14693"/>
  <c r="D36" i="14693"/>
  <c r="H29" i="14693"/>
  <c r="M57" i="14693"/>
  <c r="E43" i="14693"/>
  <c r="I36" i="14693"/>
  <c r="I29" i="14693"/>
  <c r="M28" i="14693"/>
  <c r="H42" i="14693"/>
  <c r="H57" i="14693"/>
  <c r="B43" i="14693"/>
  <c r="F36" i="14693"/>
  <c r="J29" i="14693"/>
  <c r="C50" i="14693"/>
  <c r="G43" i="14693"/>
  <c r="K36" i="14693"/>
  <c r="B28" i="14693"/>
  <c r="B35" i="14693"/>
  <c r="J42" i="14693"/>
  <c r="G51" i="14694"/>
  <c r="E27" i="14694"/>
  <c r="G27" i="14694"/>
  <c r="H35" i="14694"/>
  <c r="K35" i="14694"/>
  <c r="L35" i="14694"/>
  <c r="H43" i="14694"/>
  <c r="H19" i="14694"/>
  <c r="J19" i="14694"/>
  <c r="I27" i="14694"/>
  <c r="K27" i="14694"/>
  <c r="M27" i="14694"/>
  <c r="L19" i="14694"/>
  <c r="L43" i="14694"/>
  <c r="L45" i="14694" s="1"/>
  <c r="M43" i="14694"/>
  <c r="B35" i="14694"/>
  <c r="B51" i="14694"/>
  <c r="E19" i="14694"/>
  <c r="C27" i="14694"/>
  <c r="B27" i="14694"/>
  <c r="C43" i="14694"/>
  <c r="D43" i="14694"/>
  <c r="G35" i="14694"/>
  <c r="B43" i="14694"/>
  <c r="F35" i="14694"/>
  <c r="F37" i="14694" s="1"/>
  <c r="D51" i="14694"/>
  <c r="G43" i="14694"/>
  <c r="D27" i="14694"/>
  <c r="B19" i="14694"/>
  <c r="I19" i="14694"/>
  <c r="I21" i="14694" s="1"/>
  <c r="F27" i="14694"/>
  <c r="J27" i="14694"/>
  <c r="L27" i="14694"/>
  <c r="M19" i="14694"/>
  <c r="I43" i="14694"/>
  <c r="H27" i="14694"/>
  <c r="I35" i="14694"/>
  <c r="J35" i="14694"/>
  <c r="M35" i="14694"/>
  <c r="J43" i="14694"/>
  <c r="K19" i="14694"/>
  <c r="K43" i="14694"/>
  <c r="D35" i="14694"/>
  <c r="D37" i="14694" s="1"/>
  <c r="F43" i="14694"/>
  <c r="F45" i="14694" s="1"/>
  <c r="E51" i="14694"/>
  <c r="F51" i="14694"/>
  <c r="F53" i="14694" s="1"/>
  <c r="D19" i="14694"/>
  <c r="F19" i="14694"/>
  <c r="C35" i="14694"/>
  <c r="C51" i="14694"/>
  <c r="C53" i="14694" s="1"/>
  <c r="E43" i="14694"/>
  <c r="G19" i="14694"/>
  <c r="E35" i="14694"/>
  <c r="C19" i="14694"/>
  <c r="C21" i="14694" s="1"/>
  <c r="E56" i="14692"/>
  <c r="E58" i="14692" s="1"/>
  <c r="C58" i="14692"/>
  <c r="B22" i="14636"/>
  <c r="D22" i="14629"/>
  <c r="F22" i="14629"/>
  <c r="H22" i="14629"/>
  <c r="J22" i="14629"/>
  <c r="L22" i="14629"/>
  <c r="N22" i="14629"/>
  <c r="C22" i="14629"/>
  <c r="E22" i="14629"/>
  <c r="G22" i="14629"/>
  <c r="I22" i="14629"/>
  <c r="K22" i="14629"/>
  <c r="M22" i="14629"/>
  <c r="B22" i="14673"/>
  <c r="B22" i="14672"/>
  <c r="B33" i="14637"/>
  <c r="B19" i="14637"/>
  <c r="N7" i="14637"/>
  <c r="E10" i="14683" s="1"/>
  <c r="D34" i="14637"/>
  <c r="D20" i="14637"/>
  <c r="E34" i="14637"/>
  <c r="E36" i="14638" s="1"/>
  <c r="E20" i="14637"/>
  <c r="F21" i="14637"/>
  <c r="F35" i="14637"/>
  <c r="H33" i="14637"/>
  <c r="H19" i="14637"/>
  <c r="J67" i="14653"/>
  <c r="J59" i="14653"/>
  <c r="J8" i="14668"/>
  <c r="J71" i="14653"/>
  <c r="J12" i="14669" s="1"/>
  <c r="J12" i="14668"/>
  <c r="K70" i="14653"/>
  <c r="K11" i="14668"/>
  <c r="K59" i="14653"/>
  <c r="L36" i="14637"/>
  <c r="L22" i="14637"/>
  <c r="M66" i="14653"/>
  <c r="M59" i="14653"/>
  <c r="M7" i="14668"/>
  <c r="M69" i="14653"/>
  <c r="M10" i="14669" s="1"/>
  <c r="M10" i="14668"/>
  <c r="C32" i="14639"/>
  <c r="B8" i="14638"/>
  <c r="D6" i="14668"/>
  <c r="D59" i="14653"/>
  <c r="N52" i="14653"/>
  <c r="D69" i="14653"/>
  <c r="D10" i="14668"/>
  <c r="E6" i="14668"/>
  <c r="H38" i="14637"/>
  <c r="H24" i="14637"/>
  <c r="N12" i="14637"/>
  <c r="E15" i="14683" s="1"/>
  <c r="H15" i="14683" s="1"/>
  <c r="I21" i="14637"/>
  <c r="I35" i="14637"/>
  <c r="I37" i="14638" s="1"/>
  <c r="I57" i="14647"/>
  <c r="J57" i="14647" s="1"/>
  <c r="G24" i="14668"/>
  <c r="I10" i="14647"/>
  <c r="J10" i="14647" s="1"/>
  <c r="B18" i="14668"/>
  <c r="I34" i="14623"/>
  <c r="I39" i="7"/>
  <c r="I9" i="8" s="1"/>
  <c r="J5" i="14628"/>
  <c r="N32" i="7"/>
  <c r="A31" i="14637"/>
  <c r="A51" i="14637" s="1"/>
  <c r="A64" i="14643"/>
  <c r="A94" i="14643"/>
  <c r="A35" i="14669"/>
  <c r="A55" i="14669" s="1"/>
  <c r="D38" i="14645"/>
  <c r="D84" i="14645"/>
  <c r="N29" i="14645"/>
  <c r="N86" i="14645" s="1"/>
  <c r="A29" i="14645"/>
  <c r="A36" i="14630"/>
  <c r="A56" i="14630" s="1"/>
  <c r="A56" i="14643"/>
  <c r="A90" i="14643"/>
  <c r="A31" i="14669"/>
  <c r="A51" i="14669" s="1"/>
  <c r="A96" i="14643"/>
  <c r="A37" i="14669"/>
  <c r="A57" i="14669" s="1"/>
  <c r="F10" i="14667"/>
  <c r="C10" i="14701"/>
  <c r="E13" i="14688"/>
  <c r="B27" i="14667"/>
  <c r="B10" i="11"/>
  <c r="B7" i="11" s="1"/>
  <c r="G11" i="14626"/>
  <c r="D15" i="14623"/>
  <c r="H24" i="14623"/>
  <c r="C70" i="14692"/>
  <c r="B73" i="14692"/>
  <c r="I24" i="14623"/>
  <c r="E15" i="14623"/>
  <c r="N39" i="14632" l="1"/>
  <c r="D58" i="14712"/>
  <c r="D70" i="14712" s="1"/>
  <c r="D16" i="14712"/>
  <c r="G46" i="14702"/>
  <c r="N9" i="14637"/>
  <c r="E12" i="14683" s="1"/>
  <c r="I14" i="14661"/>
  <c r="J14" i="14661" s="1"/>
  <c r="G9" i="14668"/>
  <c r="C25" i="14630"/>
  <c r="L13" i="14678"/>
  <c r="N22" i="14630"/>
  <c r="E56" i="14630" s="1"/>
  <c r="I37" i="14668"/>
  <c r="I39" i="14678" s="1"/>
  <c r="M11" i="14632"/>
  <c r="B41" i="14683"/>
  <c r="D41" i="14683" s="1"/>
  <c r="B41" i="14623"/>
  <c r="C24" i="14712"/>
  <c r="C12" i="14701"/>
  <c r="W15" i="14709"/>
  <c r="AC18" i="14709" s="1"/>
  <c r="D17" i="14712"/>
  <c r="AC16" i="14709"/>
  <c r="D21" i="14712"/>
  <c r="D24" i="14712"/>
  <c r="D22" i="14712"/>
  <c r="C56" i="14712"/>
  <c r="C68" i="14712" s="1"/>
  <c r="C18" i="14712"/>
  <c r="G13" i="14706"/>
  <c r="D5" i="14706"/>
  <c r="D13" i="14706"/>
  <c r="G5" i="14706"/>
  <c r="A13" i="14706"/>
  <c r="F6" i="14704"/>
  <c r="A5" i="14706"/>
  <c r="D23" i="14669"/>
  <c r="E37" i="14675" s="1"/>
  <c r="B57" i="7"/>
  <c r="I37" i="14675"/>
  <c r="F36" i="14668"/>
  <c r="F38" i="14678" s="1"/>
  <c r="M57" i="7"/>
  <c r="E55" i="7"/>
  <c r="G12" i="14632"/>
  <c r="E69" i="14653"/>
  <c r="E10" i="14669" s="1"/>
  <c r="F7" i="14643"/>
  <c r="K57" i="14630"/>
  <c r="H13" i="14661"/>
  <c r="I13" i="14661" s="1"/>
  <c r="J13" i="14661" s="1"/>
  <c r="B44" i="14643"/>
  <c r="G44" i="14643" s="1"/>
  <c r="F23" i="14669"/>
  <c r="F1" i="14674"/>
  <c r="G1" i="14672"/>
  <c r="J23" i="14669"/>
  <c r="J13" i="14679" s="1"/>
  <c r="G11" i="14632"/>
  <c r="L57" i="7"/>
  <c r="E37" i="14694"/>
  <c r="E38" i="14694" s="1"/>
  <c r="G23" i="14669"/>
  <c r="I10" i="14632"/>
  <c r="E57" i="14630"/>
  <c r="J31" i="14652"/>
  <c r="K31" i="14652" s="1"/>
  <c r="M23" i="14669"/>
  <c r="E59" i="14653"/>
  <c r="H29" i="14694"/>
  <c r="I21" i="14648" s="1"/>
  <c r="J37" i="14674"/>
  <c r="F57" i="14630"/>
  <c r="G57" i="14630"/>
  <c r="D12" i="14706"/>
  <c r="J57" i="7"/>
  <c r="I23" i="14669"/>
  <c r="J37" i="14675" s="1"/>
  <c r="F5" i="14707"/>
  <c r="H57" i="7"/>
  <c r="E19" i="14695"/>
  <c r="E26" i="14695" s="1"/>
  <c r="E37" i="14695" s="1"/>
  <c r="E23" i="14669"/>
  <c r="E10" i="14668"/>
  <c r="N10" i="14668" s="1"/>
  <c r="G13" i="14683" s="1"/>
  <c r="J13" i="14683" s="1"/>
  <c r="B57" i="14643"/>
  <c r="G57" i="14643" s="1"/>
  <c r="K40" i="14634"/>
  <c r="H9" i="14632"/>
  <c r="H40" i="14634"/>
  <c r="G12" i="14706"/>
  <c r="D39" i="14630"/>
  <c r="D9" i="14631" s="1"/>
  <c r="N38" i="14632"/>
  <c r="J13" i="14678"/>
  <c r="L23" i="14669"/>
  <c r="R29" i="14679"/>
  <c r="G57" i="7"/>
  <c r="G55" i="7"/>
  <c r="I36" i="14668"/>
  <c r="I38" i="14678" s="1"/>
  <c r="G38" i="14668"/>
  <c r="G40" i="14678" s="1"/>
  <c r="I29" i="14694"/>
  <c r="I30" i="14694" s="1"/>
  <c r="D47" i="14669"/>
  <c r="K32" i="14668"/>
  <c r="K34" i="14678" s="1"/>
  <c r="C57" i="7"/>
  <c r="F7" i="14657"/>
  <c r="O29" i="14636"/>
  <c r="AD19" i="14709" s="1"/>
  <c r="N46" i="14653"/>
  <c r="N36" i="14634"/>
  <c r="M12" i="14632"/>
  <c r="K56" i="7"/>
  <c r="G23" i="14702"/>
  <c r="H37" i="14694"/>
  <c r="I30" i="14648" s="1"/>
  <c r="D56" i="7"/>
  <c r="D53" i="14694"/>
  <c r="D54" i="14694" s="1"/>
  <c r="E29" i="14694"/>
  <c r="F59" i="14647"/>
  <c r="F76" i="14647" s="1"/>
  <c r="F91" i="14647" s="1"/>
  <c r="F41" i="14652"/>
  <c r="N37" i="14630"/>
  <c r="E5" i="14634"/>
  <c r="D35" i="14634"/>
  <c r="C11" i="14632"/>
  <c r="N38" i="14630"/>
  <c r="M21" i="14694"/>
  <c r="N12" i="14648" s="1"/>
  <c r="C5" i="14634"/>
  <c r="E46" i="14702"/>
  <c r="E37" i="14668"/>
  <c r="E39" i="14678" s="1"/>
  <c r="L12" i="14632"/>
  <c r="N36" i="14630"/>
  <c r="C41" i="14683" s="1"/>
  <c r="F41" i="14683" s="1"/>
  <c r="N11" i="14637"/>
  <c r="E14" i="14683" s="1"/>
  <c r="H14" i="14683" s="1"/>
  <c r="A12" i="14706"/>
  <c r="D4" i="14706"/>
  <c r="K55" i="7"/>
  <c r="B27" i="14683"/>
  <c r="D27" i="14683" s="1"/>
  <c r="A34" i="14617"/>
  <c r="A34" i="14703"/>
  <c r="A34" i="14704"/>
  <c r="E57" i="7"/>
  <c r="F49" i="14686"/>
  <c r="D26" i="14701"/>
  <c r="F14" i="14695"/>
  <c r="B15" i="14673"/>
  <c r="D31" i="14695"/>
  <c r="D19" i="14695"/>
  <c r="C26" i="14695"/>
  <c r="C37" i="14695" s="1"/>
  <c r="L27" i="14695"/>
  <c r="L55" i="7"/>
  <c r="H12" i="14667"/>
  <c r="N13" i="14632"/>
  <c r="H32" i="14668"/>
  <c r="H34" i="14678" s="1"/>
  <c r="L32" i="14668"/>
  <c r="L34" i="14678" s="1"/>
  <c r="C32" i="14668"/>
  <c r="C34" i="14678" s="1"/>
  <c r="M32" i="14668"/>
  <c r="M34" i="14678" s="1"/>
  <c r="G32" i="14668"/>
  <c r="G34" i="14678" s="1"/>
  <c r="I32" i="14668"/>
  <c r="I34" i="14678" s="1"/>
  <c r="J12" i="14652"/>
  <c r="K32" i="14669" s="1"/>
  <c r="K34" i="14679" s="1"/>
  <c r="H26" i="14652"/>
  <c r="I26" i="14652" s="1"/>
  <c r="J32" i="14668"/>
  <c r="J34" i="14678" s="1"/>
  <c r="F17" i="14663"/>
  <c r="G17" i="14663" s="1"/>
  <c r="G32" i="14669"/>
  <c r="G34" i="14679" s="1"/>
  <c r="J5" i="8"/>
  <c r="L24" i="14623"/>
  <c r="D19" i="14634"/>
  <c r="D9" i="14681"/>
  <c r="G8" i="14632"/>
  <c r="F41" i="14632"/>
  <c r="M24" i="14623"/>
  <c r="B51" i="7"/>
  <c r="O38" i="14636"/>
  <c r="D37" i="14682" s="1"/>
  <c r="O42" i="14636"/>
  <c r="D41" i="14682" s="1"/>
  <c r="X15" i="14709" s="1"/>
  <c r="AD18" i="14709" s="1"/>
  <c r="O39" i="14636"/>
  <c r="D38" i="14682" s="1"/>
  <c r="O34" i="14636"/>
  <c r="D33" i="14682" s="1"/>
  <c r="O35" i="14636"/>
  <c r="D34" i="14682" s="1"/>
  <c r="O43" i="14636"/>
  <c r="D42" i="14682" s="1"/>
  <c r="AD16" i="14709" s="1"/>
  <c r="D42" i="14701"/>
  <c r="B11" i="14673"/>
  <c r="F21" i="14636"/>
  <c r="G21" i="14636"/>
  <c r="I21" i="14636"/>
  <c r="O21" i="14629"/>
  <c r="C19" i="14682" s="1"/>
  <c r="L21" i="14636"/>
  <c r="N21" i="14636"/>
  <c r="M21" i="14636"/>
  <c r="K21" i="14636"/>
  <c r="E21" i="14636"/>
  <c r="D10" i="8"/>
  <c r="B39" i="14683"/>
  <c r="D39" i="14683" s="1"/>
  <c r="G34" i="14674"/>
  <c r="I9" i="14681"/>
  <c r="N20" i="14630"/>
  <c r="B54" i="14630" s="1"/>
  <c r="O36" i="14636"/>
  <c r="D35" i="14682" s="1"/>
  <c r="F17" i="4129"/>
  <c r="A37" i="14647" s="1"/>
  <c r="G6" i="14683"/>
  <c r="D47" i="14668"/>
  <c r="F28" i="14668"/>
  <c r="J25" i="14623"/>
  <c r="E40" i="14634"/>
  <c r="B59" i="14653"/>
  <c r="O33" i="14636"/>
  <c r="D32" i="14682" s="1"/>
  <c r="O40" i="14636"/>
  <c r="D39" i="14682" s="1"/>
  <c r="O30" i="14636"/>
  <c r="D29" i="14682" s="1"/>
  <c r="O37" i="14636"/>
  <c r="D36" i="14682" s="1"/>
  <c r="O28" i="14636"/>
  <c r="O44" i="14636"/>
  <c r="D43" i="14682" s="1"/>
  <c r="N37" i="14674"/>
  <c r="M13" i="14678"/>
  <c r="G5" i="14634"/>
  <c r="F39" i="14630"/>
  <c r="F9" i="14631" s="1"/>
  <c r="K33" i="14634"/>
  <c r="J9" i="14632"/>
  <c r="P24" i="14623"/>
  <c r="D24" i="14632" s="1"/>
  <c r="N41" i="14628"/>
  <c r="O32" i="14636"/>
  <c r="D31" i="14682" s="1"/>
  <c r="I33" i="14668"/>
  <c r="I35" i="14678" s="1"/>
  <c r="N9" i="14623"/>
  <c r="N24" i="14623"/>
  <c r="B24" i="14632" s="1"/>
  <c r="O41" i="14636"/>
  <c r="D40" i="14682" s="1"/>
  <c r="O31" i="14636"/>
  <c r="D30" i="14682" s="1"/>
  <c r="D38" i="14643"/>
  <c r="K10" i="14678"/>
  <c r="F33" i="14634"/>
  <c r="E9" i="14632"/>
  <c r="I53" i="7"/>
  <c r="J5" i="14634"/>
  <c r="N7" i="14623"/>
  <c r="J51" i="7"/>
  <c r="K51" i="7"/>
  <c r="H51" i="7"/>
  <c r="C51" i="7"/>
  <c r="M51" i="7"/>
  <c r="D51" i="7"/>
  <c r="L41" i="14628"/>
  <c r="G51" i="7"/>
  <c r="E13" i="14678"/>
  <c r="F37" i="14674"/>
  <c r="B38" i="14686"/>
  <c r="C19" i="14676" s="1"/>
  <c r="B42" i="14643"/>
  <c r="F42" i="14643" s="1"/>
  <c r="G42" i="14643" s="1"/>
  <c r="M55" i="7"/>
  <c r="F55" i="7"/>
  <c r="B55" i="7"/>
  <c r="E53" i="14694"/>
  <c r="E54" i="14694" s="1"/>
  <c r="C45" i="14694"/>
  <c r="C46" i="14694" s="1"/>
  <c r="K37" i="14694"/>
  <c r="L30" i="14648" s="1"/>
  <c r="N55" i="14653"/>
  <c r="N54" i="14653"/>
  <c r="G59" i="14653"/>
  <c r="L57" i="14630"/>
  <c r="L15" i="14709"/>
  <c r="D5" i="14634"/>
  <c r="B21" i="14683"/>
  <c r="L51" i="7"/>
  <c r="B25" i="14683"/>
  <c r="N14" i="14632"/>
  <c r="H57" i="14630"/>
  <c r="I57" i="14630"/>
  <c r="N11" i="14623"/>
  <c r="F13" i="14678"/>
  <c r="C55" i="7"/>
  <c r="B30" i="14703"/>
  <c r="F26" i="14703"/>
  <c r="C26" i="14703"/>
  <c r="E45" i="14694"/>
  <c r="K29" i="14694"/>
  <c r="K30" i="14694" s="1"/>
  <c r="G44" i="14686"/>
  <c r="H19" i="14677" s="1"/>
  <c r="J57" i="14630"/>
  <c r="F51" i="7"/>
  <c r="I51" i="7"/>
  <c r="B38" i="14643"/>
  <c r="B57" i="14630"/>
  <c r="D41" i="14632"/>
  <c r="M57" i="14630"/>
  <c r="O35" i="14628"/>
  <c r="H55" i="7"/>
  <c r="J55" i="7"/>
  <c r="I55" i="7"/>
  <c r="G5" i="14708"/>
  <c r="G13" i="14708" s="1"/>
  <c r="G18" i="14708" s="1"/>
  <c r="F13" i="14708"/>
  <c r="F18" i="14708" s="1"/>
  <c r="H20" i="14686"/>
  <c r="I19" i="14625" s="1"/>
  <c r="L37" i="14686"/>
  <c r="M40" i="14648" s="1"/>
  <c r="I49" i="14686"/>
  <c r="H19" i="14686"/>
  <c r="I13" i="14648" s="1"/>
  <c r="F31" i="14686"/>
  <c r="G31" i="14648" s="1"/>
  <c r="B5" i="14701"/>
  <c r="B5" i="14667"/>
  <c r="D4" i="14626"/>
  <c r="E6" i="14663"/>
  <c r="B5" i="14702"/>
  <c r="B70" i="14653"/>
  <c r="B11" i="14669" s="1"/>
  <c r="B23" i="14669" s="1"/>
  <c r="C37" i="14675" s="1"/>
  <c r="B11" i="14668"/>
  <c r="F33" i="14668"/>
  <c r="F35" i="14678" s="1"/>
  <c r="H56" i="7"/>
  <c r="B56" i="7"/>
  <c r="G56" i="7"/>
  <c r="B26" i="14683"/>
  <c r="G7" i="14657"/>
  <c r="B11" i="14678"/>
  <c r="K36" i="14668"/>
  <c r="K38" i="14678" s="1"/>
  <c r="G25" i="14630"/>
  <c r="G5" i="14631" s="1"/>
  <c r="A48" i="14665"/>
  <c r="B47" i="14665"/>
  <c r="E57" i="14665" s="1"/>
  <c r="C40" i="14645" s="1"/>
  <c r="C23" i="14637"/>
  <c r="C25" i="14637" s="1"/>
  <c r="C37" i="14637"/>
  <c r="C39" i="14638" s="1"/>
  <c r="I23" i="14702"/>
  <c r="F36" i="14634"/>
  <c r="F40" i="14634" s="1"/>
  <c r="E12" i="14632"/>
  <c r="I25" i="14623"/>
  <c r="L33" i="14668"/>
  <c r="L35" i="14678" s="1"/>
  <c r="J56" i="7"/>
  <c r="M56" i="7"/>
  <c r="E56" i="7"/>
  <c r="F1" i="14679"/>
  <c r="C36" i="14668"/>
  <c r="C38" i="14678" s="1"/>
  <c r="J16" i="14652"/>
  <c r="H36" i="14669" s="1"/>
  <c r="H38" i="14679" s="1"/>
  <c r="M15" i="14623"/>
  <c r="K25" i="14623"/>
  <c r="I39" i="14634"/>
  <c r="C19" i="14634"/>
  <c r="D25" i="14630"/>
  <c r="B23" i="14637"/>
  <c r="B37" i="14637"/>
  <c r="B39" i="14638" s="1"/>
  <c r="G13" i="14678"/>
  <c r="H37" i="14674"/>
  <c r="B67" i="14653"/>
  <c r="B8" i="14669" s="1"/>
  <c r="B34" i="14669" s="1"/>
  <c r="B36" i="14679" s="1"/>
  <c r="B8" i="14668"/>
  <c r="N8" i="14668" s="1"/>
  <c r="G11" i="14683" s="1"/>
  <c r="C34" i="14634"/>
  <c r="B10" i="14632"/>
  <c r="N57" i="14653"/>
  <c r="G53" i="14694"/>
  <c r="H48" i="14648" s="1"/>
  <c r="J13" i="14652"/>
  <c r="D33" i="14669" s="1"/>
  <c r="D35" i="14679" s="1"/>
  <c r="C56" i="7"/>
  <c r="B43" i="14643"/>
  <c r="G43" i="14643" s="1"/>
  <c r="F56" i="7"/>
  <c r="D33" i="14668"/>
  <c r="D35" i="14678" s="1"/>
  <c r="J39" i="14634"/>
  <c r="B7" i="14645"/>
  <c r="B64" i="14645" s="1"/>
  <c r="D7" i="14655"/>
  <c r="B18" i="14645"/>
  <c r="B75" i="14645" s="1"/>
  <c r="K20" i="14703"/>
  <c r="O20" i="14703"/>
  <c r="J26" i="14703"/>
  <c r="B20" i="14637"/>
  <c r="N20" i="14637" s="1"/>
  <c r="B34" i="14637"/>
  <c r="B36" i="14638" s="1"/>
  <c r="C70" i="14653"/>
  <c r="C11" i="14669" s="1"/>
  <c r="C23" i="14669" s="1"/>
  <c r="C13" i="14679" s="1"/>
  <c r="C11" i="14668"/>
  <c r="J34" i="14667"/>
  <c r="L34" i="14667" s="1"/>
  <c r="F27" i="14695"/>
  <c r="B18" i="14673" s="1"/>
  <c r="B18" i="14672"/>
  <c r="M39" i="14630"/>
  <c r="M9" i="14631" s="1"/>
  <c r="N36" i="14632"/>
  <c r="H19" i="14634"/>
  <c r="D34" i="14634"/>
  <c r="C10" i="14632"/>
  <c r="M19" i="14634"/>
  <c r="N5" i="14634"/>
  <c r="N34" i="14630"/>
  <c r="E34" i="14634"/>
  <c r="E39" i="14634" s="1"/>
  <c r="D10" i="14632"/>
  <c r="D15" i="14632" s="1"/>
  <c r="F53" i="7"/>
  <c r="M53" i="7"/>
  <c r="L45" i="14673"/>
  <c r="L46" i="14673" s="1"/>
  <c r="C33" i="14668"/>
  <c r="C35" i="14678" s="1"/>
  <c r="K33" i="14668"/>
  <c r="K35" i="14678" s="1"/>
  <c r="J33" i="14668"/>
  <c r="J35" i="14678" s="1"/>
  <c r="G33" i="14668"/>
  <c r="G35" i="14678" s="1"/>
  <c r="E33" i="14668"/>
  <c r="E35" i="14678" s="1"/>
  <c r="I13" i="14679"/>
  <c r="D57" i="14630"/>
  <c r="C57" i="14630"/>
  <c r="L19" i="14634"/>
  <c r="H39" i="14630"/>
  <c r="H9" i="14631" s="1"/>
  <c r="G36" i="14668"/>
  <c r="G38" i="14678" s="1"/>
  <c r="B36" i="14668"/>
  <c r="B38" i="14678" s="1"/>
  <c r="H34" i="14632"/>
  <c r="H41" i="14632" s="1"/>
  <c r="B40" i="14643"/>
  <c r="F40" i="14643" s="1"/>
  <c r="G40" i="14643" s="1"/>
  <c r="W19" i="14709"/>
  <c r="C39" i="14630"/>
  <c r="C9" i="14631" s="1"/>
  <c r="N31" i="14630"/>
  <c r="C36" i="14683" s="1"/>
  <c r="D36" i="14683" s="1"/>
  <c r="K25" i="14630"/>
  <c r="K5" i="14631" s="1"/>
  <c r="H15" i="14623"/>
  <c r="K39" i="14630"/>
  <c r="K9" i="14631" s="1"/>
  <c r="B38" i="14683"/>
  <c r="D53" i="7"/>
  <c r="K53" i="7"/>
  <c r="G53" i="7"/>
  <c r="P25" i="14623"/>
  <c r="D25" i="14632" s="1"/>
  <c r="B23" i="14683"/>
  <c r="E53" i="7"/>
  <c r="B53" i="7"/>
  <c r="H53" i="7"/>
  <c r="J53" i="7"/>
  <c r="L53" i="7"/>
  <c r="O25" i="14623"/>
  <c r="C25" i="14632" s="1"/>
  <c r="K15" i="14623"/>
  <c r="G19" i="14661"/>
  <c r="L39" i="14630"/>
  <c r="L9" i="14631" s="1"/>
  <c r="I31" i="14668"/>
  <c r="I33" i="14678" s="1"/>
  <c r="I5" i="14634"/>
  <c r="I18" i="14668"/>
  <c r="I8" i="14678" s="1"/>
  <c r="K41" i="14632"/>
  <c r="M25" i="14630"/>
  <c r="M18" i="14681" s="1"/>
  <c r="O24" i="14623"/>
  <c r="C24" i="14632" s="1"/>
  <c r="J19" i="14634"/>
  <c r="H41" i="14628"/>
  <c r="Q24" i="14632"/>
  <c r="E24" i="14638" s="1"/>
  <c r="I8" i="14632"/>
  <c r="G41" i="14628"/>
  <c r="M15" i="14632"/>
  <c r="C11" i="14626"/>
  <c r="H26" i="14667"/>
  <c r="R9" i="14709" s="1"/>
  <c r="B21" i="14661"/>
  <c r="D23" i="14661" s="1"/>
  <c r="C39" i="4128" s="1"/>
  <c r="C39" i="14708" s="1"/>
  <c r="C40" i="14708" s="1"/>
  <c r="M41" i="14632"/>
  <c r="C5" i="14631"/>
  <c r="C18" i="14681"/>
  <c r="I15" i="14623"/>
  <c r="M25" i="14623"/>
  <c r="L18" i="14668"/>
  <c r="M32" i="14674" s="1"/>
  <c r="N32" i="14634"/>
  <c r="N40" i="14634" s="1"/>
  <c r="N25" i="14623"/>
  <c r="B25" i="14632" s="1"/>
  <c r="N32" i="14637"/>
  <c r="E37" i="14683" s="1"/>
  <c r="N18" i="14630"/>
  <c r="K52" i="14630" s="1"/>
  <c r="H25" i="14630"/>
  <c r="H5" i="14631" s="1"/>
  <c r="N19" i="14634"/>
  <c r="I19" i="14634"/>
  <c r="H8" i="14632"/>
  <c r="F19" i="14634"/>
  <c r="K41" i="14628"/>
  <c r="N19" i="14630"/>
  <c r="J53" i="14630" s="1"/>
  <c r="M5" i="8"/>
  <c r="I25" i="14630"/>
  <c r="N8" i="14623"/>
  <c r="G37" i="14694"/>
  <c r="H30" i="14648" s="1"/>
  <c r="H45" i="14694"/>
  <c r="H46" i="14694" s="1"/>
  <c r="G29" i="14694"/>
  <c r="H21" i="14648" s="1"/>
  <c r="N20" i="14694"/>
  <c r="Q25" i="14623"/>
  <c r="E25" i="14632" s="1"/>
  <c r="D45" i="14694"/>
  <c r="E39" i="14648" s="1"/>
  <c r="E21" i="14694"/>
  <c r="F12" i="14648" s="1"/>
  <c r="L37" i="14694"/>
  <c r="M30" i="14648" s="1"/>
  <c r="D20" i="14693"/>
  <c r="D23" i="14693" s="1"/>
  <c r="B15" i="14623"/>
  <c r="L15" i="14623"/>
  <c r="J24" i="14623"/>
  <c r="J45" i="14694"/>
  <c r="K39" i="14648" s="1"/>
  <c r="J29" i="14694"/>
  <c r="J30" i="14694" s="1"/>
  <c r="H21" i="14694"/>
  <c r="H22" i="14694" s="1"/>
  <c r="C55" i="14693"/>
  <c r="C58" i="14693" s="1"/>
  <c r="E20" i="14693"/>
  <c r="E23" i="14693" s="1"/>
  <c r="N35" i="14623"/>
  <c r="C29" i="14694"/>
  <c r="D21" i="14648" s="1"/>
  <c r="I39" i="14630"/>
  <c r="I9" i="14631" s="1"/>
  <c r="I33" i="14632"/>
  <c r="I41" i="14632" s="1"/>
  <c r="K35" i="14634"/>
  <c r="J11" i="14632"/>
  <c r="J36" i="14634"/>
  <c r="J40" i="14634" s="1"/>
  <c r="I12" i="14632"/>
  <c r="I36" i="14634"/>
  <c r="I40" i="14634" s="1"/>
  <c r="H12" i="14632"/>
  <c r="C33" i="14634"/>
  <c r="B9" i="14632"/>
  <c r="B25" i="14630"/>
  <c r="D37" i="14668"/>
  <c r="D39" i="14678" s="1"/>
  <c r="D23" i="14668"/>
  <c r="L35" i="14634"/>
  <c r="K11" i="14632"/>
  <c r="A44" i="14684"/>
  <c r="I6" i="14683"/>
  <c r="F1" i="14675"/>
  <c r="B35" i="14632"/>
  <c r="B41" i="14632" s="1"/>
  <c r="B39" i="14630"/>
  <c r="B9" i="14631" s="1"/>
  <c r="D28" i="14701"/>
  <c r="H28" i="14667"/>
  <c r="G24" i="14689"/>
  <c r="L25" i="14623"/>
  <c r="B31" i="14686"/>
  <c r="C41" i="14632"/>
  <c r="G15" i="14623"/>
  <c r="R25" i="14623"/>
  <c r="F25" i="14632" s="1"/>
  <c r="E39" i="14637"/>
  <c r="E9" i="14640" s="1"/>
  <c r="N9" i="8"/>
  <c r="B11" i="14617" s="1"/>
  <c r="G21" i="14694"/>
  <c r="H12" i="14648" s="1"/>
  <c r="F21" i="14694"/>
  <c r="G12" i="14648" s="1"/>
  <c r="D29" i="14694"/>
  <c r="E21" i="14648" s="1"/>
  <c r="M29" i="14694"/>
  <c r="C20" i="14693"/>
  <c r="C23" i="14693" s="1"/>
  <c r="B26" i="14686"/>
  <c r="C19" i="14633" s="1"/>
  <c r="K50" i="14686"/>
  <c r="L44" i="14686"/>
  <c r="M19" i="14677" s="1"/>
  <c r="E38" i="14686"/>
  <c r="F19" i="14676" s="1"/>
  <c r="M25" i="14686"/>
  <c r="N22" i="14648" s="1"/>
  <c r="K49" i="14686"/>
  <c r="K48" i="14686" s="1"/>
  <c r="M32" i="14686"/>
  <c r="N19" i="14641" s="1"/>
  <c r="D20" i="14686"/>
  <c r="E19" i="14625" s="1"/>
  <c r="G41" i="14623"/>
  <c r="F41" i="14623"/>
  <c r="F13" i="4128"/>
  <c r="F18" i="4128" s="1"/>
  <c r="Q24" i="14623"/>
  <c r="E24" i="14632" s="1"/>
  <c r="J15" i="14623"/>
  <c r="K18" i="14668"/>
  <c r="K8" i="14678" s="1"/>
  <c r="B49" i="14686"/>
  <c r="L32" i="14686"/>
  <c r="M19" i="14641" s="1"/>
  <c r="I20" i="14686"/>
  <c r="J19" i="14625" s="1"/>
  <c r="I32" i="14686"/>
  <c r="J19" i="14641" s="1"/>
  <c r="H43" i="14686"/>
  <c r="I49" i="14648" s="1"/>
  <c r="F50" i="14686"/>
  <c r="K32" i="14686"/>
  <c r="L19" i="14641" s="1"/>
  <c r="L25" i="14686"/>
  <c r="M22" i="14648" s="1"/>
  <c r="O27" i="14672"/>
  <c r="E26" i="14682" s="1"/>
  <c r="K45" i="14694"/>
  <c r="L39" i="14648" s="1"/>
  <c r="J37" i="14694"/>
  <c r="K30" i="14648" s="1"/>
  <c r="M20" i="14686"/>
  <c r="B32" i="14686"/>
  <c r="C19" i="14641" s="1"/>
  <c r="M49" i="14686"/>
  <c r="M37" i="14686"/>
  <c r="N40" i="14648" s="1"/>
  <c r="E32" i="14686"/>
  <c r="M19" i="14686"/>
  <c r="N13" i="14648" s="1"/>
  <c r="J26" i="14686"/>
  <c r="K19" i="14633" s="1"/>
  <c r="F55" i="14693"/>
  <c r="F58" i="14693" s="1"/>
  <c r="B43" i="14686"/>
  <c r="M50" i="14686"/>
  <c r="M26" i="14686"/>
  <c r="N19" i="14633" s="1"/>
  <c r="I37" i="14686"/>
  <c r="J40" i="14648" s="1"/>
  <c r="D43" i="14686"/>
  <c r="E49" i="14648" s="1"/>
  <c r="F38" i="14686"/>
  <c r="K43" i="14686"/>
  <c r="L49" i="14648" s="1"/>
  <c r="E20" i="14686"/>
  <c r="F19" i="14625" s="1"/>
  <c r="F44" i="14686"/>
  <c r="H49" i="14686"/>
  <c r="E50" i="14686"/>
  <c r="E43" i="14686"/>
  <c r="F49" i="14648" s="1"/>
  <c r="C43" i="14686"/>
  <c r="D49" i="14648" s="1"/>
  <c r="L19" i="14686"/>
  <c r="M13" i="14648" s="1"/>
  <c r="E49" i="14686"/>
  <c r="G49" i="14686"/>
  <c r="E25" i="14686"/>
  <c r="F22" i="14648" s="1"/>
  <c r="H44" i="14686"/>
  <c r="G25" i="14686"/>
  <c r="H22" i="14648" s="1"/>
  <c r="H32" i="14686"/>
  <c r="I19" i="14641" s="1"/>
  <c r="L43" i="14686"/>
  <c r="M49" i="14648" s="1"/>
  <c r="B50" i="14686"/>
  <c r="F25" i="14686"/>
  <c r="G38" i="14686"/>
  <c r="H19" i="14676" s="1"/>
  <c r="E26" i="14686"/>
  <c r="F19" i="14633" s="1"/>
  <c r="E31" i="14686"/>
  <c r="F31" i="14648" s="1"/>
  <c r="J32" i="14686"/>
  <c r="K19" i="14641" s="1"/>
  <c r="K44" i="14686"/>
  <c r="L19" i="14677" s="1"/>
  <c r="D31" i="14686"/>
  <c r="E31" i="14648" s="1"/>
  <c r="G20" i="14686"/>
  <c r="H19" i="14625" s="1"/>
  <c r="G43" i="14686"/>
  <c r="I50" i="14686"/>
  <c r="K20" i="14686"/>
  <c r="L19" i="14625" s="1"/>
  <c r="K38" i="14686"/>
  <c r="L19" i="14676" s="1"/>
  <c r="G37" i="14686"/>
  <c r="B44" i="14686"/>
  <c r="C19" i="14677" s="1"/>
  <c r="K37" i="14686"/>
  <c r="L40" i="14648" s="1"/>
  <c r="C20" i="14686"/>
  <c r="L38" i="14686"/>
  <c r="M19" i="14676" s="1"/>
  <c r="I26" i="14686"/>
  <c r="J19" i="14633" s="1"/>
  <c r="C25" i="14686"/>
  <c r="D22" i="14648" s="1"/>
  <c r="L20" i="14686"/>
  <c r="M19" i="14625" s="1"/>
  <c r="J44" i="14686"/>
  <c r="K19" i="14677" s="1"/>
  <c r="F20" i="14686"/>
  <c r="D25" i="14686"/>
  <c r="E22" i="14648" s="1"/>
  <c r="J50" i="14686"/>
  <c r="M44" i="14686"/>
  <c r="H31" i="14686"/>
  <c r="I31" i="14648" s="1"/>
  <c r="I31" i="14686"/>
  <c r="J31" i="14648" s="1"/>
  <c r="J37" i="14686"/>
  <c r="M31" i="14686"/>
  <c r="I19" i="14686"/>
  <c r="J13" i="14648" s="1"/>
  <c r="J20" i="14686"/>
  <c r="K19" i="14625" s="1"/>
  <c r="H26" i="14686"/>
  <c r="I19" i="14633" s="1"/>
  <c r="J43" i="14686"/>
  <c r="C26" i="14686"/>
  <c r="D19" i="14633" s="1"/>
  <c r="J25" i="14686"/>
  <c r="K22" i="14648" s="1"/>
  <c r="K19" i="14686"/>
  <c r="L13" i="14648" s="1"/>
  <c r="F19" i="14686"/>
  <c r="G13" i="14648" s="1"/>
  <c r="G39" i="14630"/>
  <c r="G9" i="14631" s="1"/>
  <c r="G33" i="14632"/>
  <c r="H5" i="14634"/>
  <c r="L55" i="14693"/>
  <c r="L58" i="14693" s="1"/>
  <c r="M13" i="14679"/>
  <c r="N37" i="14675"/>
  <c r="J18" i="14652"/>
  <c r="J38" i="14669" s="1"/>
  <c r="J40" i="14679" s="1"/>
  <c r="M38" i="14668"/>
  <c r="M40" i="14678" s="1"/>
  <c r="L38" i="14668"/>
  <c r="L40" i="14678" s="1"/>
  <c r="K38" i="14668"/>
  <c r="K40" i="14678" s="1"/>
  <c r="C38" i="14668"/>
  <c r="C40" i="14678" s="1"/>
  <c r="D38" i="14668"/>
  <c r="D40" i="14678" s="1"/>
  <c r="F38" i="14668"/>
  <c r="F40" i="14678" s="1"/>
  <c r="I38" i="14668"/>
  <c r="I40" i="14678" s="1"/>
  <c r="E38" i="14668"/>
  <c r="E40" i="14678" s="1"/>
  <c r="K23" i="14702"/>
  <c r="F37" i="14675"/>
  <c r="E13" i="14679"/>
  <c r="L26" i="14703"/>
  <c r="G30" i="14703"/>
  <c r="H26" i="14703"/>
  <c r="G13" i="14679"/>
  <c r="H37" i="14675"/>
  <c r="O42" i="14673"/>
  <c r="F41" i="14682" s="1"/>
  <c r="C49" i="14686"/>
  <c r="F32" i="14686"/>
  <c r="L5" i="8"/>
  <c r="J41" i="14628"/>
  <c r="K5" i="8"/>
  <c r="J29" i="14652"/>
  <c r="K29" i="14652" s="1"/>
  <c r="N25" i="7"/>
  <c r="C10" i="14657" s="1"/>
  <c r="E37" i="14632"/>
  <c r="N37" i="14632" s="1"/>
  <c r="N35" i="14630"/>
  <c r="F35" i="14634"/>
  <c r="E11" i="14632"/>
  <c r="N21" i="14630"/>
  <c r="L35" i="14632"/>
  <c r="N33" i="14630"/>
  <c r="M33" i="14634"/>
  <c r="M40" i="14634" s="1"/>
  <c r="L9" i="14632"/>
  <c r="M41" i="14628"/>
  <c r="F32" i="14634"/>
  <c r="E25" i="14630"/>
  <c r="F5" i="14634"/>
  <c r="E34" i="14632"/>
  <c r="E39" i="14630"/>
  <c r="E9" i="14631" s="1"/>
  <c r="G25" i="14623"/>
  <c r="H39" i="14634"/>
  <c r="C15" i="14623"/>
  <c r="G24" i="14623"/>
  <c r="AC15" i="14709"/>
  <c r="I38" i="14686"/>
  <c r="J19" i="14676" s="1"/>
  <c r="L5" i="14634"/>
  <c r="F12" i="14683"/>
  <c r="K35" i="14674"/>
  <c r="J11" i="14678"/>
  <c r="M35" i="14674"/>
  <c r="L11" i="14678"/>
  <c r="F11" i="14683"/>
  <c r="J27" i="14652"/>
  <c r="K27" i="14652" s="1"/>
  <c r="F10" i="14683"/>
  <c r="N18" i="14637"/>
  <c r="K52" i="14637" s="1"/>
  <c r="N32" i="14630"/>
  <c r="D52" i="14643" s="1"/>
  <c r="M32" i="14639"/>
  <c r="M18" i="14668"/>
  <c r="M8" i="14678" s="1"/>
  <c r="E41" i="14628"/>
  <c r="L34" i="14632"/>
  <c r="M5" i="14634"/>
  <c r="K5" i="14634"/>
  <c r="J34" i="14632"/>
  <c r="J39" i="14630"/>
  <c r="J9" i="14631" s="1"/>
  <c r="K32" i="14634"/>
  <c r="K19" i="14634"/>
  <c r="J25" i="14630"/>
  <c r="J8" i="14632"/>
  <c r="L32" i="14634"/>
  <c r="L39" i="14634" s="1"/>
  <c r="K8" i="14632"/>
  <c r="G31" i="14634"/>
  <c r="G40" i="14634" s="1"/>
  <c r="F7" i="14632"/>
  <c r="F25" i="14630"/>
  <c r="N17" i="14630"/>
  <c r="G19" i="14634"/>
  <c r="H34" i="14674"/>
  <c r="G10" i="14678"/>
  <c r="M34" i="14674"/>
  <c r="L10" i="14678"/>
  <c r="I10" i="14678"/>
  <c r="J34" i="14674"/>
  <c r="I34" i="14674"/>
  <c r="H10" i="14678"/>
  <c r="J28" i="14652"/>
  <c r="K28" i="14652" s="1"/>
  <c r="I20" i="14669"/>
  <c r="G20" i="14669"/>
  <c r="L20" i="14669"/>
  <c r="F20" i="14669"/>
  <c r="H20" i="14669"/>
  <c r="K20" i="14669"/>
  <c r="L40" i="14634"/>
  <c r="D41" i="14628"/>
  <c r="D49" i="14686"/>
  <c r="K7" i="14686"/>
  <c r="AC20" i="14709" s="1"/>
  <c r="K8" i="14686"/>
  <c r="AD20" i="14709" s="1"/>
  <c r="K6" i="14686"/>
  <c r="AB20" i="14709" s="1"/>
  <c r="C29" i="14647"/>
  <c r="C32" i="14710"/>
  <c r="B31" i="14710"/>
  <c r="I31" i="14710" s="1"/>
  <c r="J31" i="14710" s="1"/>
  <c r="C14" i="14647"/>
  <c r="D75" i="14647"/>
  <c r="D41" i="14652"/>
  <c r="D59" i="14647"/>
  <c r="E44" i="14652"/>
  <c r="E63" i="14647" s="1"/>
  <c r="E80" i="14647" s="1"/>
  <c r="E95" i="14647" s="1"/>
  <c r="E62" i="14647"/>
  <c r="E78" i="14647"/>
  <c r="G31" i="14647"/>
  <c r="H25" i="14623"/>
  <c r="C44" i="14652"/>
  <c r="C63" i="14647" s="1"/>
  <c r="C80" i="14647" s="1"/>
  <c r="C95" i="14647" s="1"/>
  <c r="C62" i="14647"/>
  <c r="C78" i="14647"/>
  <c r="M35" i="14669"/>
  <c r="M37" i="14679" s="1"/>
  <c r="B35" i="14669"/>
  <c r="B37" i="14679" s="1"/>
  <c r="L35" i="14669"/>
  <c r="L37" i="14679" s="1"/>
  <c r="J35" i="14669"/>
  <c r="J37" i="14679" s="1"/>
  <c r="E27" i="14647"/>
  <c r="B11" i="14647"/>
  <c r="I11" i="14647" s="1"/>
  <c r="J11" i="14647" s="1"/>
  <c r="C37" i="14669"/>
  <c r="C39" i="14679" s="1"/>
  <c r="F37" i="14669"/>
  <c r="F39" i="14679" s="1"/>
  <c r="G37" i="14669"/>
  <c r="G39" i="14679" s="1"/>
  <c r="J37" i="14669"/>
  <c r="J39" i="14679" s="1"/>
  <c r="L37" i="14669"/>
  <c r="L39" i="14679" s="1"/>
  <c r="I37" i="14669"/>
  <c r="I39" i="14679" s="1"/>
  <c r="D37" i="14669"/>
  <c r="D39" i="14679" s="1"/>
  <c r="E37" i="14669"/>
  <c r="E39" i="14679" s="1"/>
  <c r="M37" i="14669"/>
  <c r="M39" i="14679" s="1"/>
  <c r="H37" i="14669"/>
  <c r="H39" i="14679" s="1"/>
  <c r="I36" i="14669"/>
  <c r="I38" i="14679" s="1"/>
  <c r="F36" i="14669"/>
  <c r="F38" i="14679" s="1"/>
  <c r="B36" i="14669"/>
  <c r="B38" i="14679" s="1"/>
  <c r="E12" i="14647"/>
  <c r="F37" i="14686"/>
  <c r="G40" i="14648" s="1"/>
  <c r="K25" i="14686"/>
  <c r="L22" i="14648" s="1"/>
  <c r="J38" i="14686"/>
  <c r="K19" i="14676" s="1"/>
  <c r="D44" i="14686"/>
  <c r="E19" i="14677" s="1"/>
  <c r="L49" i="14686"/>
  <c r="B14" i="14638"/>
  <c r="C38" i="14639"/>
  <c r="N38" i="14639"/>
  <c r="M14" i="14638"/>
  <c r="L14" i="14638"/>
  <c r="M38" i="14639"/>
  <c r="C14" i="14638"/>
  <c r="D38" i="14639"/>
  <c r="G14" i="14638"/>
  <c r="H38" i="14639"/>
  <c r="L38" i="14639"/>
  <c r="K14" i="14638"/>
  <c r="K24" i="14668"/>
  <c r="L24" i="14668"/>
  <c r="C24" i="14668"/>
  <c r="M24" i="14668"/>
  <c r="D24" i="14668"/>
  <c r="I24" i="14668"/>
  <c r="B24" i="14668"/>
  <c r="E24" i="14668"/>
  <c r="F24" i="14668"/>
  <c r="F14" i="14638"/>
  <c r="G38" i="14639"/>
  <c r="F38" i="14639"/>
  <c r="E14" i="14638"/>
  <c r="H36" i="14639"/>
  <c r="G12" i="14638"/>
  <c r="I36" i="14639"/>
  <c r="H12" i="14638"/>
  <c r="D36" i="14639"/>
  <c r="C12" i="14638"/>
  <c r="G36" i="14639"/>
  <c r="F12" i="14638"/>
  <c r="I12" i="14638"/>
  <c r="J36" i="14639"/>
  <c r="G26" i="14686"/>
  <c r="H19" i="14633" s="1"/>
  <c r="E44" i="14686"/>
  <c r="F19" i="14677" s="1"/>
  <c r="C38" i="14686"/>
  <c r="D19" i="14676" s="1"/>
  <c r="H25" i="14686"/>
  <c r="J49" i="14686"/>
  <c r="J19" i="14686"/>
  <c r="K13" i="14648" s="1"/>
  <c r="M38" i="14686"/>
  <c r="N19" i="14676" s="1"/>
  <c r="C19" i="14686"/>
  <c r="D13" i="14648" s="1"/>
  <c r="J31" i="14668"/>
  <c r="J33" i="14678" s="1"/>
  <c r="B31" i="14668"/>
  <c r="B33" i="14678" s="1"/>
  <c r="D31" i="14668"/>
  <c r="D33" i="14678" s="1"/>
  <c r="J11" i="14652"/>
  <c r="J25" i="14652" s="1"/>
  <c r="K25" i="14652" s="1"/>
  <c r="L31" i="14668"/>
  <c r="L33" i="14678" s="1"/>
  <c r="F31" i="14668"/>
  <c r="F33" i="14678" s="1"/>
  <c r="E31" i="14668"/>
  <c r="E33" i="14678" s="1"/>
  <c r="C31" i="14668"/>
  <c r="C33" i="14678" s="1"/>
  <c r="K31" i="14668"/>
  <c r="K33" i="14678" s="1"/>
  <c r="G31" i="14668"/>
  <c r="G33" i="14678" s="1"/>
  <c r="H31" i="14668"/>
  <c r="H33" i="14678" s="1"/>
  <c r="K26" i="14655"/>
  <c r="J45" i="14672" s="1"/>
  <c r="I8" i="14638"/>
  <c r="J32" i="14639"/>
  <c r="O30" i="14672"/>
  <c r="E29" i="14682" s="1"/>
  <c r="L45" i="14672"/>
  <c r="L46" i="14672" s="1"/>
  <c r="F26" i="14655"/>
  <c r="E45" i="14624" s="1"/>
  <c r="L45" i="14629"/>
  <c r="L50" i="14629" s="1"/>
  <c r="L6" i="14634" s="1"/>
  <c r="G26" i="14655"/>
  <c r="G27" i="14655" s="1"/>
  <c r="L26" i="14655"/>
  <c r="K45" i="14629" s="1"/>
  <c r="O26" i="14655"/>
  <c r="N45" i="14624" s="1"/>
  <c r="E26" i="14655"/>
  <c r="E27" i="14655" s="1"/>
  <c r="L45" i="14636"/>
  <c r="L46" i="14636" s="1"/>
  <c r="N26" i="14655"/>
  <c r="B45" i="14624"/>
  <c r="B45" i="14629" s="1"/>
  <c r="L45" i="14624"/>
  <c r="L50" i="14624" s="1"/>
  <c r="L6" i="14628" s="1"/>
  <c r="H26" i="14655"/>
  <c r="G45" i="14624" s="1"/>
  <c r="D26" i="14655"/>
  <c r="C45" i="14624" s="1"/>
  <c r="H42" i="14667"/>
  <c r="Q30" i="14709"/>
  <c r="I26" i="14655"/>
  <c r="H45" i="14624" s="1"/>
  <c r="J26" i="14655"/>
  <c r="O30" i="14673"/>
  <c r="F29" i="14682" s="1"/>
  <c r="E9" i="14624"/>
  <c r="F10" i="14661"/>
  <c r="W16" i="14709"/>
  <c r="AC14" i="14709" s="1"/>
  <c r="L28" i="14709"/>
  <c r="C16" i="14701"/>
  <c r="F16" i="14667"/>
  <c r="E53" i="14688"/>
  <c r="F47" i="14688"/>
  <c r="B16" i="14622"/>
  <c r="C22" i="14628"/>
  <c r="C24" i="14628" s="1"/>
  <c r="C21" i="14625" s="1"/>
  <c r="F9" i="14624"/>
  <c r="G16" i="14663"/>
  <c r="B20" i="14686"/>
  <c r="C19" i="14625" s="1"/>
  <c r="G32" i="14686"/>
  <c r="G19" i="14686"/>
  <c r="H13" i="14648" s="1"/>
  <c r="F43" i="14686"/>
  <c r="G49" i="14648" s="1"/>
  <c r="B19" i="14686"/>
  <c r="C13" i="14648" s="1"/>
  <c r="D19" i="14686"/>
  <c r="E13" i="14648" s="1"/>
  <c r="E16" i="14624"/>
  <c r="E22" i="14624"/>
  <c r="E15" i="14624"/>
  <c r="E18" i="14624" s="1"/>
  <c r="F41" i="14628"/>
  <c r="O44" i="14673"/>
  <c r="F43" i="14682" s="1"/>
  <c r="B11" i="14701"/>
  <c r="D11" i="14667"/>
  <c r="F23" i="14688"/>
  <c r="P11" i="14709"/>
  <c r="S9" i="14709" s="1"/>
  <c r="M43" i="14686"/>
  <c r="N49" i="14648" s="1"/>
  <c r="L26" i="14686"/>
  <c r="M19" i="14633" s="1"/>
  <c r="I44" i="14686"/>
  <c r="J19" i="14677" s="1"/>
  <c r="C37" i="14686"/>
  <c r="H38" i="14686"/>
  <c r="I19" i="14676" s="1"/>
  <c r="G50" i="14686"/>
  <c r="C50" i="14686"/>
  <c r="D32" i="14686"/>
  <c r="E19" i="14641" s="1"/>
  <c r="H50" i="14686"/>
  <c r="J31" i="14686"/>
  <c r="K31" i="14648" s="1"/>
  <c r="F26" i="14686"/>
  <c r="G19" i="14633" s="1"/>
  <c r="O40" i="14673"/>
  <c r="F39" i="14682" s="1"/>
  <c r="N33" i="14637"/>
  <c r="E38" i="14683" s="1"/>
  <c r="N36" i="14694"/>
  <c r="N28" i="14694"/>
  <c r="N44" i="14694"/>
  <c r="F9" i="14683"/>
  <c r="F8" i="14683"/>
  <c r="I40" i="14628"/>
  <c r="I39" i="14628"/>
  <c r="F31" i="14639"/>
  <c r="E7" i="14638"/>
  <c r="I31" i="14639"/>
  <c r="H7" i="14638"/>
  <c r="B7" i="14638"/>
  <c r="C31" i="14639"/>
  <c r="G7" i="14638"/>
  <c r="H31" i="14639"/>
  <c r="L31" i="14639"/>
  <c r="K7" i="14638"/>
  <c r="E31" i="14639"/>
  <c r="D7" i="14638"/>
  <c r="J7" i="14638"/>
  <c r="K31" i="14639"/>
  <c r="J31" i="14639"/>
  <c r="I7" i="14638"/>
  <c r="D31" i="14639"/>
  <c r="C7" i="14638"/>
  <c r="G31" i="14639"/>
  <c r="F7" i="14638"/>
  <c r="L7" i="14638"/>
  <c r="M31" i="14639"/>
  <c r="O32" i="14673"/>
  <c r="F31" i="14682" s="1"/>
  <c r="O35" i="14672"/>
  <c r="E34" i="14682" s="1"/>
  <c r="O28" i="14672"/>
  <c r="O44" i="14672"/>
  <c r="E43" i="14682" s="1"/>
  <c r="O43" i="14672"/>
  <c r="E42" i="14682" s="1"/>
  <c r="O42" i="14672"/>
  <c r="E41" i="14682" s="1"/>
  <c r="D21" i="14673"/>
  <c r="E21" i="14673"/>
  <c r="I21" i="14673"/>
  <c r="M21" i="14673"/>
  <c r="C21" i="14673"/>
  <c r="N21" i="14673"/>
  <c r="H21" i="14673"/>
  <c r="L21" i="14673"/>
  <c r="G21" i="14673"/>
  <c r="K21" i="14673"/>
  <c r="F21" i="14673"/>
  <c r="J21" i="14673"/>
  <c r="K21" i="14672"/>
  <c r="L21" i="14672"/>
  <c r="F21" i="14672"/>
  <c r="E21" i="14672"/>
  <c r="I21" i="14672"/>
  <c r="G21" i="14672"/>
  <c r="C21" i="14672"/>
  <c r="J21" i="14672"/>
  <c r="H21" i="14672"/>
  <c r="M21" i="14672"/>
  <c r="N21" i="14672"/>
  <c r="D21" i="14672"/>
  <c r="O34" i="14673"/>
  <c r="F33" i="14682" s="1"/>
  <c r="O43" i="14673"/>
  <c r="F42" i="14682" s="1"/>
  <c r="O31" i="14672"/>
  <c r="E30" i="14682" s="1"/>
  <c r="O32" i="14672"/>
  <c r="E31" i="14682" s="1"/>
  <c r="O38" i="14672"/>
  <c r="E37" i="14682" s="1"/>
  <c r="C28" i="14682"/>
  <c r="AC19" i="14709"/>
  <c r="O29" i="14673"/>
  <c r="F28" i="14682" s="1"/>
  <c r="O35" i="14673"/>
  <c r="F34" i="14682" s="1"/>
  <c r="O28" i="14673"/>
  <c r="F27" i="14682" s="1"/>
  <c r="O37" i="14673"/>
  <c r="F36" i="14682" s="1"/>
  <c r="O36" i="14673"/>
  <c r="F35" i="14682" s="1"/>
  <c r="O39" i="14672"/>
  <c r="E38" i="14682" s="1"/>
  <c r="O41" i="14672"/>
  <c r="E40" i="14682" s="1"/>
  <c r="O33" i="14672"/>
  <c r="E32" i="14682" s="1"/>
  <c r="O36" i="14672"/>
  <c r="E35" i="14682" s="1"/>
  <c r="O27" i="14673"/>
  <c r="O31" i="14673"/>
  <c r="F30" i="14682" s="1"/>
  <c r="O33" i="14673"/>
  <c r="F32" i="14682" s="1"/>
  <c r="O38" i="14673"/>
  <c r="F37" i="14682" s="1"/>
  <c r="O39" i="14673"/>
  <c r="F38" i="14682" s="1"/>
  <c r="O41" i="14673"/>
  <c r="F40" i="14682" s="1"/>
  <c r="O40" i="14672"/>
  <c r="E39" i="14682" s="1"/>
  <c r="O29" i="14672"/>
  <c r="E28" i="14682" s="1"/>
  <c r="O37" i="14672"/>
  <c r="E36" i="14682" s="1"/>
  <c r="O34" i="14672"/>
  <c r="E33" i="14682" s="1"/>
  <c r="E19" i="14686"/>
  <c r="F13" i="14648" s="1"/>
  <c r="H53" i="14694"/>
  <c r="H54" i="14694" s="1"/>
  <c r="H17" i="14661"/>
  <c r="I17" i="14661" s="1"/>
  <c r="J17" i="14661" s="1"/>
  <c r="G26" i="14688"/>
  <c r="F24" i="14623"/>
  <c r="F5" i="14639"/>
  <c r="M19" i="14639"/>
  <c r="N12" i="14668"/>
  <c r="G15" i="14683" s="1"/>
  <c r="J15" i="14683" s="1"/>
  <c r="F19" i="14639"/>
  <c r="C37" i="14694"/>
  <c r="D30" i="14648" s="1"/>
  <c r="D21" i="14694"/>
  <c r="E12" i="14648" s="1"/>
  <c r="K21" i="14694"/>
  <c r="K22" i="14694" s="1"/>
  <c r="M37" i="14694"/>
  <c r="N30" i="14648" s="1"/>
  <c r="I37" i="14694"/>
  <c r="J30" i="14648" s="1"/>
  <c r="I45" i="14694"/>
  <c r="J39" i="14648" s="1"/>
  <c r="L29" i="14694"/>
  <c r="L30" i="14694" s="1"/>
  <c r="F29" i="14694"/>
  <c r="F30" i="14694" s="1"/>
  <c r="G45" i="14694"/>
  <c r="G46" i="14694" s="1"/>
  <c r="M45" i="14694"/>
  <c r="N39" i="14648" s="1"/>
  <c r="L21" i="14694"/>
  <c r="L22" i="14694" s="1"/>
  <c r="J21" i="14694"/>
  <c r="K12" i="14648" s="1"/>
  <c r="G16" i="14661"/>
  <c r="G68" i="14688"/>
  <c r="G70" i="14688" s="1"/>
  <c r="F70" i="14688"/>
  <c r="H47" i="14689"/>
  <c r="E34" i="14701"/>
  <c r="L5" i="14631"/>
  <c r="L18" i="14681"/>
  <c r="B56" i="14643"/>
  <c r="G56" i="14643" s="1"/>
  <c r="I56" i="14630"/>
  <c r="G56" i="14630"/>
  <c r="H5" i="8"/>
  <c r="H9" i="14681"/>
  <c r="J58" i="7"/>
  <c r="B28" i="14683"/>
  <c r="D28" i="14683" s="1"/>
  <c r="E58" i="7"/>
  <c r="F58" i="7"/>
  <c r="B45" i="14643"/>
  <c r="G45" i="14643" s="1"/>
  <c r="C58" i="7"/>
  <c r="L58" i="7"/>
  <c r="B58" i="7"/>
  <c r="K58" i="7"/>
  <c r="H58" i="7"/>
  <c r="G58" i="7"/>
  <c r="D58" i="7"/>
  <c r="I58" i="7"/>
  <c r="M58" i="7"/>
  <c r="B24" i="14683"/>
  <c r="K54" i="7"/>
  <c r="L54" i="7"/>
  <c r="C54" i="7"/>
  <c r="M54" i="7"/>
  <c r="D54" i="7"/>
  <c r="J54" i="7"/>
  <c r="B54" i="7"/>
  <c r="I54" i="7"/>
  <c r="E54" i="7"/>
  <c r="G54" i="7"/>
  <c r="F54" i="7"/>
  <c r="H54" i="7"/>
  <c r="B41" i="14643"/>
  <c r="O34" i="14628"/>
  <c r="C39" i="14628"/>
  <c r="C40" i="14628"/>
  <c r="O32" i="14628"/>
  <c r="F45" i="14643"/>
  <c r="O19" i="14628"/>
  <c r="H15" i="14667"/>
  <c r="D15" i="14701"/>
  <c r="B58" i="14630"/>
  <c r="J58" i="14630"/>
  <c r="G58" i="14630"/>
  <c r="B58" i="14643"/>
  <c r="G58" i="14643" s="1"/>
  <c r="H58" i="14630"/>
  <c r="E58" i="14630"/>
  <c r="M58" i="14630"/>
  <c r="C28" i="14683"/>
  <c r="F28" i="14683" s="1"/>
  <c r="F58" i="14630"/>
  <c r="C58" i="14630"/>
  <c r="K58" i="14630"/>
  <c r="D58" i="14630"/>
  <c r="L58" i="14630"/>
  <c r="I58" i="14630"/>
  <c r="M54" i="14630"/>
  <c r="B5" i="8"/>
  <c r="B7" i="8" s="1"/>
  <c r="B10" i="8" s="1"/>
  <c r="B9" i="14681"/>
  <c r="E52" i="7"/>
  <c r="M52" i="7"/>
  <c r="B52" i="7"/>
  <c r="L52" i="7"/>
  <c r="B22" i="14683"/>
  <c r="B39" i="14643"/>
  <c r="I52" i="7"/>
  <c r="K52" i="7"/>
  <c r="F52" i="7"/>
  <c r="D52" i="7"/>
  <c r="G52" i="7"/>
  <c r="C52" i="7"/>
  <c r="J52" i="7"/>
  <c r="H52" i="7"/>
  <c r="I43" i="14686"/>
  <c r="J49" i="14648" s="1"/>
  <c r="D38" i="14686"/>
  <c r="E19" i="14676" s="1"/>
  <c r="L50" i="14686"/>
  <c r="D26" i="14686"/>
  <c r="E19" i="14633" s="1"/>
  <c r="H37" i="14686"/>
  <c r="B25" i="14686"/>
  <c r="D37" i="14686"/>
  <c r="E40" i="14648" s="1"/>
  <c r="G31" i="14686"/>
  <c r="H31" i="14648" s="1"/>
  <c r="C32" i="14686"/>
  <c r="D19" i="14641" s="1"/>
  <c r="K31" i="14686"/>
  <c r="L31" i="14648" s="1"/>
  <c r="L31" i="14686"/>
  <c r="I17" i="14668"/>
  <c r="H17" i="14668"/>
  <c r="F17" i="14668"/>
  <c r="E17" i="14668"/>
  <c r="D17" i="14668"/>
  <c r="K17" i="14668"/>
  <c r="J17" i="14668"/>
  <c r="L17" i="14668"/>
  <c r="G17" i="14668"/>
  <c r="B17" i="14668"/>
  <c r="C17" i="14668"/>
  <c r="N31" i="14639"/>
  <c r="N17" i="14637"/>
  <c r="M7" i="14638"/>
  <c r="L35" i="14639"/>
  <c r="K11" i="14638"/>
  <c r="C8" i="14669"/>
  <c r="I35" i="14639"/>
  <c r="H11" i="14638"/>
  <c r="H35" i="14639"/>
  <c r="G11" i="14638"/>
  <c r="F35" i="14639"/>
  <c r="E11" i="14638"/>
  <c r="C21" i="14668"/>
  <c r="C35" i="14668"/>
  <c r="C37" i="14678" s="1"/>
  <c r="H59" i="14647"/>
  <c r="H41" i="14652"/>
  <c r="D19" i="14668"/>
  <c r="K19" i="14668"/>
  <c r="G19" i="14668"/>
  <c r="F19" i="14668"/>
  <c r="J19" i="14668"/>
  <c r="L19" i="14668"/>
  <c r="C19" i="14668"/>
  <c r="E19" i="14668"/>
  <c r="I19" i="14668"/>
  <c r="M33" i="14639"/>
  <c r="L9" i="14638"/>
  <c r="F9" i="14638"/>
  <c r="G33" i="14639"/>
  <c r="L33" i="14639"/>
  <c r="K9" i="14638"/>
  <c r="E33" i="14639"/>
  <c r="D9" i="14638"/>
  <c r="M35" i="14675"/>
  <c r="L11" i="14679"/>
  <c r="M5" i="14669"/>
  <c r="N64" i="14653"/>
  <c r="K35" i="14669"/>
  <c r="K37" i="14679" s="1"/>
  <c r="K21" i="14669"/>
  <c r="D35" i="14669"/>
  <c r="D37" i="14679" s="1"/>
  <c r="D21" i="14669"/>
  <c r="D34" i="14639"/>
  <c r="C10" i="14638"/>
  <c r="M20" i="14668"/>
  <c r="M34" i="14668"/>
  <c r="M36" i="14678" s="1"/>
  <c r="H35" i="14669"/>
  <c r="H37" i="14679" s="1"/>
  <c r="H21" i="14669"/>
  <c r="G9" i="14669"/>
  <c r="G72" i="14653"/>
  <c r="E21" i="14668"/>
  <c r="E35" i="14668"/>
  <c r="E37" i="14678" s="1"/>
  <c r="D35" i="14639"/>
  <c r="C11" i="14638"/>
  <c r="C35" i="14675"/>
  <c r="B11" i="14679"/>
  <c r="G41" i="14652"/>
  <c r="G59" i="14647"/>
  <c r="B40" i="14652"/>
  <c r="I40" i="14652" s="1"/>
  <c r="J40" i="14652" s="1"/>
  <c r="B58" i="14647"/>
  <c r="I58" i="14647" s="1"/>
  <c r="J58" i="14647" s="1"/>
  <c r="G75" i="14647"/>
  <c r="I44" i="14702"/>
  <c r="M33" i="14638"/>
  <c r="N33" i="14638" s="1"/>
  <c r="N31" i="14637"/>
  <c r="N34" i="14639"/>
  <c r="M10" i="14638"/>
  <c r="K36" i="14639"/>
  <c r="J12" i="14638"/>
  <c r="G37" i="14638"/>
  <c r="G39" i="14637"/>
  <c r="G9" i="14640" s="1"/>
  <c r="H5" i="14639"/>
  <c r="C35" i="14669"/>
  <c r="C37" i="14679" s="1"/>
  <c r="C21" i="14669"/>
  <c r="D28" i="14647"/>
  <c r="B12" i="14647"/>
  <c r="I12" i="14647" s="1"/>
  <c r="J12" i="14647" s="1"/>
  <c r="D13" i="14647"/>
  <c r="H75" i="14647"/>
  <c r="D33" i="14639"/>
  <c r="C9" i="14638"/>
  <c r="H33" i="14639"/>
  <c r="G25" i="14637"/>
  <c r="G9" i="14638"/>
  <c r="H19" i="14639"/>
  <c r="J9" i="14638"/>
  <c r="K33" i="14639"/>
  <c r="F33" i="14639"/>
  <c r="E9" i="14638"/>
  <c r="M31" i="14668"/>
  <c r="N5" i="14668"/>
  <c r="G8" i="14683" s="1"/>
  <c r="H8" i="14683" s="1"/>
  <c r="M17" i="14668"/>
  <c r="K21" i="14668"/>
  <c r="K35" i="14668"/>
  <c r="K37" i="14678" s="1"/>
  <c r="D21" i="14668"/>
  <c r="D35" i="14668"/>
  <c r="D37" i="14678" s="1"/>
  <c r="E35" i="14639"/>
  <c r="D11" i="14638"/>
  <c r="C36" i="14638"/>
  <c r="D5" i="14639"/>
  <c r="I42" i="14702"/>
  <c r="I40" i="14702"/>
  <c r="I28" i="14702"/>
  <c r="I37" i="14702"/>
  <c r="I41" i="14702"/>
  <c r="I27" i="14702"/>
  <c r="I26" i="14702"/>
  <c r="I30" i="14702"/>
  <c r="I39" i="14702"/>
  <c r="I36" i="14702"/>
  <c r="H50" i="14702"/>
  <c r="I38" i="14702"/>
  <c r="I33" i="14702"/>
  <c r="I29" i="14702"/>
  <c r="I25" i="14702"/>
  <c r="I34" i="14702"/>
  <c r="H48" i="14702"/>
  <c r="I48" i="14702" s="1"/>
  <c r="I43" i="14702"/>
  <c r="M20" i="14669"/>
  <c r="M34" i="14669"/>
  <c r="M36" i="14679" s="1"/>
  <c r="J36" i="14668"/>
  <c r="J38" i="14678" s="1"/>
  <c r="J22" i="14668"/>
  <c r="H21" i="14668"/>
  <c r="H35" i="14668"/>
  <c r="H37" i="14678" s="1"/>
  <c r="G35" i="14668"/>
  <c r="G37" i="14678" s="1"/>
  <c r="G21" i="14668"/>
  <c r="E35" i="14669"/>
  <c r="E37" i="14679" s="1"/>
  <c r="E21" i="14669"/>
  <c r="M11" i="14679"/>
  <c r="N35" i="14675"/>
  <c r="K35" i="14675"/>
  <c r="J11" i="14679"/>
  <c r="F22" i="14668"/>
  <c r="C22" i="14668"/>
  <c r="K22" i="14668"/>
  <c r="I22" i="14668"/>
  <c r="H22" i="14668"/>
  <c r="G22" i="14668"/>
  <c r="B22" i="14668"/>
  <c r="L25" i="14637"/>
  <c r="L5" i="14640" s="1"/>
  <c r="F30" i="14648"/>
  <c r="J5" i="14639"/>
  <c r="F41" i="14688"/>
  <c r="G38" i="14688"/>
  <c r="I39" i="14637"/>
  <c r="I9" i="14640" s="1"/>
  <c r="C8" i="14661"/>
  <c r="F11" i="14661"/>
  <c r="H12" i="14661"/>
  <c r="D39" i="14665"/>
  <c r="E12" i="14665"/>
  <c r="B66" i="14649"/>
  <c r="B49" i="14649"/>
  <c r="B57" i="14649"/>
  <c r="D24" i="14682"/>
  <c r="E6" i="14682"/>
  <c r="G6" i="14706"/>
  <c r="A14" i="14706"/>
  <c r="D6" i="14706"/>
  <c r="A6" i="14706"/>
  <c r="G14" i="14706"/>
  <c r="D14" i="14706"/>
  <c r="D26" i="14683"/>
  <c r="B20" i="14667"/>
  <c r="B20" i="14701" s="1"/>
  <c r="M6" i="14659"/>
  <c r="M29" i="14659" s="1"/>
  <c r="J29" i="14659"/>
  <c r="C25" i="14626"/>
  <c r="F48" i="14653"/>
  <c r="D46" i="14694"/>
  <c r="H38" i="14674"/>
  <c r="G14" i="14678"/>
  <c r="I11" i="14638"/>
  <c r="J35" i="14639"/>
  <c r="I38" i="14639"/>
  <c r="N24" i="14637"/>
  <c r="H14" i="14638"/>
  <c r="E18" i="14668"/>
  <c r="E32" i="14668"/>
  <c r="E6" i="14669"/>
  <c r="E72" i="14653"/>
  <c r="D36" i="14668"/>
  <c r="D22" i="14668"/>
  <c r="D32" i="14668"/>
  <c r="D18" i="14668"/>
  <c r="N6" i="14668"/>
  <c r="G9" i="14683" s="1"/>
  <c r="H9" i="14683" s="1"/>
  <c r="M36" i="14668"/>
  <c r="M38" i="14678" s="1"/>
  <c r="M22" i="14668"/>
  <c r="M19" i="14668"/>
  <c r="M33" i="14668"/>
  <c r="M7" i="14669"/>
  <c r="M72" i="14653"/>
  <c r="L38" i="14638"/>
  <c r="L39" i="14637"/>
  <c r="L9" i="14640" s="1"/>
  <c r="M5" i="14639"/>
  <c r="K11" i="14669"/>
  <c r="K72" i="14653"/>
  <c r="J24" i="14669"/>
  <c r="I33" i="14639"/>
  <c r="H25" i="14637"/>
  <c r="I19" i="14639"/>
  <c r="H9" i="14638"/>
  <c r="F11" i="14638"/>
  <c r="G35" i="14639"/>
  <c r="F25" i="14637"/>
  <c r="N21" i="14637"/>
  <c r="G19" i="14639"/>
  <c r="E34" i="14639"/>
  <c r="D10" i="14638"/>
  <c r="B35" i="14638"/>
  <c r="J22" i="14673"/>
  <c r="N22" i="14673"/>
  <c r="F22" i="14673"/>
  <c r="I22" i="14673"/>
  <c r="K22" i="14673"/>
  <c r="D22" i="14673"/>
  <c r="H22" i="14673"/>
  <c r="M22" i="14673"/>
  <c r="C22" i="14673"/>
  <c r="G22" i="14673"/>
  <c r="L22" i="14673"/>
  <c r="E22" i="14673"/>
  <c r="D12" i="14648"/>
  <c r="C22" i="14694"/>
  <c r="D48" i="14648"/>
  <c r="C54" i="14694"/>
  <c r="F54" i="14694"/>
  <c r="G48" i="14648"/>
  <c r="F46" i="14694"/>
  <c r="G39" i="14648"/>
  <c r="J12" i="14648"/>
  <c r="I22" i="14694"/>
  <c r="N43" i="14694"/>
  <c r="B45" i="14694"/>
  <c r="B29" i="14694"/>
  <c r="N27" i="14694"/>
  <c r="B37" i="14694"/>
  <c r="N35" i="14694"/>
  <c r="M39" i="14648"/>
  <c r="L46" i="14694"/>
  <c r="M30" i="14694"/>
  <c r="N21" i="14648"/>
  <c r="H38" i="14694"/>
  <c r="E30" i="14694"/>
  <c r="F21" i="14648"/>
  <c r="J41" i="14693"/>
  <c r="J44" i="14693" s="1"/>
  <c r="K41" i="14648"/>
  <c r="N28" i="14693"/>
  <c r="C23" i="14648"/>
  <c r="B27" i="14693"/>
  <c r="H41" i="14693"/>
  <c r="H44" i="14693" s="1"/>
  <c r="I41" i="14648"/>
  <c r="D48" i="14693"/>
  <c r="D51" i="14693" s="1"/>
  <c r="E50" i="14648"/>
  <c r="J41" i="14648"/>
  <c r="I41" i="14693"/>
  <c r="I44" i="14693" s="1"/>
  <c r="D27" i="14693"/>
  <c r="D30" i="14693" s="1"/>
  <c r="E23" i="14648"/>
  <c r="G48" i="14693"/>
  <c r="G51" i="14693" s="1"/>
  <c r="H50" i="14648"/>
  <c r="I27" i="14693"/>
  <c r="I30" i="14693" s="1"/>
  <c r="J23" i="14648"/>
  <c r="K34" i="14693"/>
  <c r="K37" i="14693" s="1"/>
  <c r="L32" i="14648"/>
  <c r="D34" i="14693"/>
  <c r="D37" i="14693" s="1"/>
  <c r="E32" i="14648"/>
  <c r="M50" i="14648"/>
  <c r="L48" i="14693"/>
  <c r="L51" i="14693" s="1"/>
  <c r="C48" i="14693"/>
  <c r="C51" i="14693" s="1"/>
  <c r="D50" i="14648"/>
  <c r="K23" i="14648"/>
  <c r="J27" i="14693"/>
  <c r="J30" i="14693" s="1"/>
  <c r="L20" i="14693"/>
  <c r="L23" i="14693" s="1"/>
  <c r="M14" i="14648"/>
  <c r="H34" i="14693"/>
  <c r="H37" i="14693" s="1"/>
  <c r="I32" i="14648"/>
  <c r="F27" i="14693"/>
  <c r="F30" i="14693" s="1"/>
  <c r="G23" i="14648"/>
  <c r="C27" i="14693"/>
  <c r="C30" i="14693" s="1"/>
  <c r="D23" i="14648"/>
  <c r="G50" i="14648"/>
  <c r="F48" i="14693"/>
  <c r="F51" i="14693" s="1"/>
  <c r="M41" i="14693"/>
  <c r="M44" i="14693" s="1"/>
  <c r="N41" i="14648"/>
  <c r="C34" i="14693"/>
  <c r="C37" i="14693" s="1"/>
  <c r="D32" i="14648"/>
  <c r="M23" i="14648"/>
  <c r="L27" i="14693"/>
  <c r="L30" i="14693" s="1"/>
  <c r="N22" i="14693"/>
  <c r="B24" i="11" s="1"/>
  <c r="B19" i="11" s="1"/>
  <c r="B20" i="14693"/>
  <c r="D41" i="14693"/>
  <c r="D44" i="14693" s="1"/>
  <c r="E41" i="14648"/>
  <c r="L14" i="14648"/>
  <c r="K20" i="14693"/>
  <c r="K23" i="14693" s="1"/>
  <c r="M48" i="14693"/>
  <c r="M51" i="14693" s="1"/>
  <c r="N50" i="14648"/>
  <c r="H48" i="14693"/>
  <c r="H51" i="14693" s="1"/>
  <c r="I50" i="14648"/>
  <c r="G32" i="14648"/>
  <c r="F34" i="14693"/>
  <c r="F37" i="14693" s="1"/>
  <c r="F20" i="14693"/>
  <c r="F23" i="14693" s="1"/>
  <c r="G14" i="14648"/>
  <c r="N21" i="14693"/>
  <c r="M32" i="14648"/>
  <c r="L34" i="14693"/>
  <c r="L37" i="14693" s="1"/>
  <c r="J50" i="14694"/>
  <c r="I52" i="14694"/>
  <c r="I51" i="14694"/>
  <c r="B89" i="14647"/>
  <c r="I89" i="14647" s="1"/>
  <c r="J89" i="14647" s="1"/>
  <c r="I33" i="14669"/>
  <c r="I35" i="14679" s="1"/>
  <c r="G33" i="14669"/>
  <c r="G35" i="14679" s="1"/>
  <c r="I35" i="14668"/>
  <c r="I37" i="14678" s="1"/>
  <c r="I21" i="14668"/>
  <c r="H12" i="14669"/>
  <c r="N71" i="14653"/>
  <c r="D38" i="14638"/>
  <c r="N36" i="14637"/>
  <c r="D34" i="14638"/>
  <c r="N34" i="14638" s="1"/>
  <c r="E5" i="14639"/>
  <c r="D39" i="14637"/>
  <c r="D9" i="14640" s="1"/>
  <c r="H32" i="14674"/>
  <c r="G8" i="14678"/>
  <c r="J8" i="14678"/>
  <c r="K32" i="14674"/>
  <c r="G32" i="14674"/>
  <c r="F8" i="14678"/>
  <c r="K18" i="14669"/>
  <c r="L18" i="14669"/>
  <c r="B18" i="14669"/>
  <c r="G18" i="14669"/>
  <c r="F18" i="14669"/>
  <c r="M18" i="14669"/>
  <c r="J18" i="14669"/>
  <c r="I18" i="14669"/>
  <c r="H18" i="14669"/>
  <c r="C18" i="14669"/>
  <c r="D34" i="14674"/>
  <c r="C10" i="14678"/>
  <c r="H29" i="14647"/>
  <c r="M35" i="14638"/>
  <c r="N5" i="14639"/>
  <c r="M39" i="14637"/>
  <c r="M9" i="14640" s="1"/>
  <c r="L22" i="14668"/>
  <c r="L36" i="14668"/>
  <c r="L38" i="14678" s="1"/>
  <c r="K39" i="14638"/>
  <c r="K39" i="14637"/>
  <c r="K9" i="14640" s="1"/>
  <c r="L5" i="14639"/>
  <c r="J36" i="14638"/>
  <c r="K5" i="14639"/>
  <c r="J39" i="14637"/>
  <c r="J9" i="14640" s="1"/>
  <c r="H7" i="14669"/>
  <c r="H72" i="14653"/>
  <c r="E20" i="14668"/>
  <c r="E34" i="14668"/>
  <c r="E36" i="14678" s="1"/>
  <c r="D8" i="14669"/>
  <c r="B33" i="14668"/>
  <c r="B19" i="14668"/>
  <c r="N7" i="14668"/>
  <c r="G10" i="14683" s="1"/>
  <c r="O22" i="14629"/>
  <c r="C20" i="14682" s="1"/>
  <c r="N43" i="14693"/>
  <c r="N50" i="14693"/>
  <c r="N57" i="14693"/>
  <c r="G55" i="14693"/>
  <c r="G58" i="14693" s="1"/>
  <c r="J55" i="14693"/>
  <c r="J58" i="14693" s="1"/>
  <c r="H55" i="14693"/>
  <c r="H58" i="14693" s="1"/>
  <c r="I25" i="14637"/>
  <c r="C31" i="14686"/>
  <c r="B37" i="14686"/>
  <c r="C44" i="14686"/>
  <c r="D19" i="14677" s="1"/>
  <c r="E37" i="14686"/>
  <c r="C32" i="14674"/>
  <c r="B8" i="14678"/>
  <c r="H40" i="14638"/>
  <c r="N40" i="14638" s="1"/>
  <c r="N38" i="14637"/>
  <c r="E22" i="14669"/>
  <c r="D10" i="14669"/>
  <c r="N69" i="14653"/>
  <c r="D72" i="14653"/>
  <c r="D6" i="14669"/>
  <c r="N65" i="14653"/>
  <c r="M22" i="14669"/>
  <c r="M36" i="14639"/>
  <c r="L12" i="14638"/>
  <c r="K23" i="14668"/>
  <c r="K37" i="14668"/>
  <c r="J38" i="14668"/>
  <c r="J40" i="14678" s="1"/>
  <c r="J24" i="14668"/>
  <c r="J34" i="14668"/>
  <c r="J36" i="14678" s="1"/>
  <c r="J20" i="14668"/>
  <c r="J8" i="14669"/>
  <c r="J72" i="14653"/>
  <c r="H35" i="14638"/>
  <c r="H39" i="14637"/>
  <c r="H9" i="14640" s="1"/>
  <c r="I5" i="14639"/>
  <c r="F37" i="14638"/>
  <c r="F39" i="14637"/>
  <c r="F9" i="14640" s="1"/>
  <c r="G5" i="14639"/>
  <c r="N35" i="14637"/>
  <c r="F34" i="14639"/>
  <c r="E10" i="14638"/>
  <c r="D36" i="14638"/>
  <c r="C33" i="14639"/>
  <c r="N19" i="14637"/>
  <c r="B9" i="14638"/>
  <c r="J22" i="14672"/>
  <c r="E22" i="14672"/>
  <c r="M22" i="14672"/>
  <c r="H22" i="14672"/>
  <c r="C22" i="14672"/>
  <c r="K22" i="14672"/>
  <c r="F22" i="14672"/>
  <c r="N22" i="14672"/>
  <c r="I22" i="14672"/>
  <c r="D22" i="14672"/>
  <c r="L22" i="14672"/>
  <c r="G22" i="14672"/>
  <c r="C22" i="14636"/>
  <c r="F22" i="14636"/>
  <c r="J22" i="14636"/>
  <c r="N22" i="14636"/>
  <c r="K22" i="14636"/>
  <c r="G22" i="14636"/>
  <c r="D22" i="14636"/>
  <c r="H22" i="14636"/>
  <c r="L22" i="14636"/>
  <c r="M22" i="14636"/>
  <c r="I22" i="14636"/>
  <c r="E22" i="14636"/>
  <c r="E46" i="14694"/>
  <c r="F39" i="14648"/>
  <c r="D38" i="14694"/>
  <c r="E30" i="14648"/>
  <c r="N19" i="14694"/>
  <c r="B21" i="14694"/>
  <c r="H39" i="14648"/>
  <c r="G30" i="14648"/>
  <c r="F38" i="14694"/>
  <c r="B53" i="14694"/>
  <c r="I39" i="14648"/>
  <c r="G30" i="14694"/>
  <c r="N35" i="14693"/>
  <c r="B34" i="14693"/>
  <c r="C32" i="14648"/>
  <c r="M27" i="14693"/>
  <c r="M30" i="14693" s="1"/>
  <c r="N23" i="14648"/>
  <c r="L50" i="14648"/>
  <c r="K48" i="14693"/>
  <c r="K51" i="14693" s="1"/>
  <c r="M20" i="14693"/>
  <c r="M23" i="14693" s="1"/>
  <c r="N14" i="14648"/>
  <c r="K32" i="14648"/>
  <c r="J34" i="14693"/>
  <c r="J37" i="14693" s="1"/>
  <c r="G41" i="14693"/>
  <c r="G44" i="14693" s="1"/>
  <c r="H41" i="14648"/>
  <c r="K27" i="14693"/>
  <c r="K30" i="14693" s="1"/>
  <c r="L23" i="14648"/>
  <c r="M41" i="14648"/>
  <c r="L41" i="14693"/>
  <c r="L44" i="14693" s="1"/>
  <c r="H20" i="14693"/>
  <c r="H23" i="14693" s="1"/>
  <c r="I14" i="14648"/>
  <c r="I48" i="14693"/>
  <c r="I51" i="14693" s="1"/>
  <c r="J50" i="14648"/>
  <c r="M34" i="14693"/>
  <c r="M37" i="14693" s="1"/>
  <c r="N32" i="14648"/>
  <c r="I20" i="14693"/>
  <c r="I23" i="14693" s="1"/>
  <c r="J14" i="14648"/>
  <c r="D41" i="14648"/>
  <c r="C41" i="14693"/>
  <c r="C44" i="14693" s="1"/>
  <c r="G41" i="14648"/>
  <c r="F41" i="14693"/>
  <c r="F44" i="14693" s="1"/>
  <c r="J32" i="14648"/>
  <c r="I34" i="14693"/>
  <c r="I37" i="14693" s="1"/>
  <c r="B48" i="14693"/>
  <c r="C50" i="14648"/>
  <c r="N49" i="14693"/>
  <c r="E41" i="14693"/>
  <c r="E44" i="14693" s="1"/>
  <c r="F41" i="14648"/>
  <c r="B55" i="14693"/>
  <c r="N56" i="14693"/>
  <c r="F50" i="14648"/>
  <c r="E48" i="14693"/>
  <c r="E51" i="14693" s="1"/>
  <c r="E27" i="14693"/>
  <c r="E30" i="14693" s="1"/>
  <c r="F23" i="14648"/>
  <c r="H32" i="14648"/>
  <c r="G34" i="14693"/>
  <c r="G37" i="14693" s="1"/>
  <c r="G27" i="14693"/>
  <c r="G30" i="14693" s="1"/>
  <c r="H23" i="14648"/>
  <c r="J20" i="14693"/>
  <c r="J23" i="14693" s="1"/>
  <c r="K14" i="14648"/>
  <c r="K50" i="14648"/>
  <c r="J48" i="14693"/>
  <c r="J51" i="14693" s="1"/>
  <c r="B41" i="14693"/>
  <c r="C41" i="14648"/>
  <c r="N42" i="14693"/>
  <c r="H27" i="14693"/>
  <c r="H30" i="14693" s="1"/>
  <c r="I23" i="14648"/>
  <c r="H14" i="14648"/>
  <c r="G20" i="14693"/>
  <c r="G23" i="14693" s="1"/>
  <c r="K41" i="14693"/>
  <c r="K44" i="14693" s="1"/>
  <c r="L41" i="14648"/>
  <c r="E34" i="14693"/>
  <c r="E37" i="14693" s="1"/>
  <c r="F8" i="14639" s="1"/>
  <c r="F32" i="14648"/>
  <c r="B41" i="14647"/>
  <c r="I9" i="14669"/>
  <c r="I72" i="14653"/>
  <c r="H38" i="14668"/>
  <c r="H40" i="14678" s="1"/>
  <c r="H24" i="14668"/>
  <c r="F36" i="14639"/>
  <c r="E12" i="14638"/>
  <c r="E36" i="14639"/>
  <c r="N22" i="14637"/>
  <c r="D12" i="14638"/>
  <c r="E32" i="14639"/>
  <c r="E19" i="14639"/>
  <c r="D25" i="14637"/>
  <c r="D8" i="14638"/>
  <c r="H8" i="14678"/>
  <c r="I32" i="14674"/>
  <c r="C8" i="14678"/>
  <c r="D32" i="14674"/>
  <c r="C36" i="14678"/>
  <c r="H14" i="14647"/>
  <c r="N36" i="14639"/>
  <c r="M12" i="14638"/>
  <c r="N33" i="14639"/>
  <c r="M25" i="14637"/>
  <c r="N19" i="14639"/>
  <c r="M9" i="14638"/>
  <c r="L10" i="14669"/>
  <c r="L72" i="14653"/>
  <c r="L37" i="14639"/>
  <c r="L19" i="14639"/>
  <c r="K25" i="14637"/>
  <c r="K13" i="14638"/>
  <c r="K38" i="14639"/>
  <c r="J14" i="14638"/>
  <c r="K34" i="14639"/>
  <c r="K19" i="14639"/>
  <c r="J25" i="14637"/>
  <c r="J10" i="14638"/>
  <c r="H33" i="14668"/>
  <c r="H19" i="14668"/>
  <c r="F9" i="14669"/>
  <c r="F72" i="14653"/>
  <c r="N68" i="14653"/>
  <c r="F21" i="14668"/>
  <c r="N9" i="14668"/>
  <c r="G12" i="14683" s="1"/>
  <c r="F35" i="14668"/>
  <c r="E20" i="14669"/>
  <c r="E34" i="14669"/>
  <c r="E36" i="14679" s="1"/>
  <c r="D34" i="14668"/>
  <c r="D36" i="14678" s="1"/>
  <c r="D20" i="14668"/>
  <c r="B7" i="14669"/>
  <c r="N66" i="14653"/>
  <c r="M55" i="14693"/>
  <c r="M58" i="14693" s="1"/>
  <c r="D55" i="14693"/>
  <c r="D58" i="14693" s="1"/>
  <c r="N29" i="14693"/>
  <c r="K55" i="14693"/>
  <c r="K58" i="14693" s="1"/>
  <c r="N36" i="14693"/>
  <c r="I55" i="14693"/>
  <c r="I58" i="14693" s="1"/>
  <c r="E25" i="14637"/>
  <c r="J19" i="14639"/>
  <c r="I25" i="14686"/>
  <c r="D50" i="14686"/>
  <c r="K26" i="14686"/>
  <c r="L19" i="14633" s="1"/>
  <c r="D95" i="14645"/>
  <c r="A86" i="14645"/>
  <c r="D39" i="14643"/>
  <c r="N39" i="7"/>
  <c r="C14" i="14657" s="1"/>
  <c r="B37" i="14683"/>
  <c r="H10" i="14667"/>
  <c r="D10" i="14701"/>
  <c r="D27" i="14682"/>
  <c r="D26" i="14682"/>
  <c r="E41" i="14638"/>
  <c r="N40" i="14645"/>
  <c r="A40" i="14645"/>
  <c r="D49" i="14645"/>
  <c r="B40" i="14645"/>
  <c r="D8" i="14667"/>
  <c r="B8" i="14701"/>
  <c r="I41" i="14638"/>
  <c r="O5" i="14628"/>
  <c r="I41" i="14623"/>
  <c r="N34" i="14623"/>
  <c r="E70" i="14692"/>
  <c r="E73" i="14692" s="1"/>
  <c r="C73" i="14692"/>
  <c r="C11" i="14692" s="1"/>
  <c r="L43" i="4128"/>
  <c r="E21" i="14689"/>
  <c r="E28" i="14689" s="1"/>
  <c r="F13" i="14688"/>
  <c r="B84" i="14692"/>
  <c r="D73" i="14692"/>
  <c r="B27" i="14701"/>
  <c r="D27" i="14667"/>
  <c r="C26" i="14683" l="1"/>
  <c r="F26" i="14683" s="1"/>
  <c r="L56" i="14630"/>
  <c r="B56" i="14630"/>
  <c r="F56" i="14630"/>
  <c r="J56" i="14630"/>
  <c r="K56" i="14630"/>
  <c r="M56" i="14630"/>
  <c r="D56" i="14630"/>
  <c r="N56" i="14630" s="1"/>
  <c r="H56" i="14630"/>
  <c r="C56" i="14630"/>
  <c r="F44" i="14643"/>
  <c r="N57" i="7"/>
  <c r="D28" i="14682"/>
  <c r="H41" i="14634"/>
  <c r="D18" i="14712"/>
  <c r="D56" i="14712"/>
  <c r="D68" i="14712" s="1"/>
  <c r="B11" i="14704"/>
  <c r="C52" i="14712"/>
  <c r="C64" i="14712" s="1"/>
  <c r="F32" i="14669"/>
  <c r="F34" i="14679" s="1"/>
  <c r="K37" i="14675"/>
  <c r="I46" i="14694"/>
  <c r="M22" i="14694"/>
  <c r="J36" i="14669"/>
  <c r="J38" i="14679" s="1"/>
  <c r="E36" i="14669"/>
  <c r="E38" i="14679" s="1"/>
  <c r="F14" i="14624"/>
  <c r="F22" i="14624" s="1"/>
  <c r="N27" i="14695"/>
  <c r="G5" i="14707"/>
  <c r="G13" i="14707" s="1"/>
  <c r="G18" i="14707" s="1"/>
  <c r="F13" i="14707"/>
  <c r="F18" i="14707" s="1"/>
  <c r="G21" i="14648"/>
  <c r="J21" i="14648"/>
  <c r="K36" i="14669"/>
  <c r="K38" i="14679" s="1"/>
  <c r="G37" i="14675"/>
  <c r="F13" i="14679"/>
  <c r="K24" i="14632"/>
  <c r="C30" i="14694"/>
  <c r="J38" i="14694"/>
  <c r="K8" i="14639" s="1"/>
  <c r="L50" i="14673"/>
  <c r="L6" i="14675" s="1"/>
  <c r="D39" i="14648"/>
  <c r="I38" i="14694"/>
  <c r="J16" i="14641" s="1"/>
  <c r="J26" i="14652"/>
  <c r="K26" i="14652" s="1"/>
  <c r="G38" i="14694"/>
  <c r="H16" i="14641" s="1"/>
  <c r="F48" i="14648"/>
  <c r="G24" i="14632"/>
  <c r="C39" i="14637"/>
  <c r="C9" i="14640" s="1"/>
  <c r="L21" i="14648"/>
  <c r="D13" i="14679"/>
  <c r="E22" i="14668"/>
  <c r="L13" i="14679"/>
  <c r="M37" i="14675"/>
  <c r="M38" i="14694"/>
  <c r="H30" i="14694"/>
  <c r="I8" i="14634" s="1"/>
  <c r="E36" i="14668"/>
  <c r="E38" i="14678" s="1"/>
  <c r="K46" i="14694"/>
  <c r="L8" i="14674" s="1"/>
  <c r="G7" i="14643"/>
  <c r="D39" i="14634"/>
  <c r="D41" i="14634" s="1"/>
  <c r="D22" i="14694"/>
  <c r="E16" i="14625" s="1"/>
  <c r="L33" i="14669"/>
  <c r="L35" i="14679" s="1"/>
  <c r="E48" i="14648"/>
  <c r="B25" i="14637"/>
  <c r="B5" i="14640" s="1"/>
  <c r="F30" i="14686"/>
  <c r="D57" i="14643"/>
  <c r="F57" i="14643" s="1"/>
  <c r="C42" i="14683"/>
  <c r="F42" i="14683" s="1"/>
  <c r="C33" i="14669"/>
  <c r="C35" i="14679" s="1"/>
  <c r="J46" i="14694"/>
  <c r="K8" i="14674" s="1"/>
  <c r="M15" i="14709"/>
  <c r="F33" i="14669"/>
  <c r="F35" i="14679" s="1"/>
  <c r="D56" i="14643"/>
  <c r="F56" i="14643" s="1"/>
  <c r="M36" i="14669"/>
  <c r="M38" i="14679" s="1"/>
  <c r="M8" i="14674"/>
  <c r="G36" i="14669"/>
  <c r="G38" i="14679" s="1"/>
  <c r="C43" i="14683"/>
  <c r="F43" i="14683" s="1"/>
  <c r="D58" i="14643"/>
  <c r="F58" i="14643" s="1"/>
  <c r="E54" i="14630"/>
  <c r="C38" i="14694"/>
  <c r="D16" i="14641" s="1"/>
  <c r="J33" i="14669"/>
  <c r="J35" i="14679" s="1"/>
  <c r="D37" i="14675"/>
  <c r="M46" i="14694"/>
  <c r="N16" i="14676" s="1"/>
  <c r="K33" i="14669"/>
  <c r="K35" i="14679" s="1"/>
  <c r="E33" i="14669"/>
  <c r="E35" i="14679" s="1"/>
  <c r="F43" i="14643"/>
  <c r="I54" i="14630"/>
  <c r="L50" i="14636"/>
  <c r="L6" i="14639" s="1"/>
  <c r="C36" i="14669"/>
  <c r="C38" i="14679" s="1"/>
  <c r="L36" i="14686"/>
  <c r="E48" i="14686"/>
  <c r="F42" i="14652"/>
  <c r="F60" i="14647"/>
  <c r="F77" i="14647" s="1"/>
  <c r="F92" i="14647" s="1"/>
  <c r="J42" i="14686"/>
  <c r="I12" i="14648"/>
  <c r="H42" i="14686"/>
  <c r="C72" i="14653"/>
  <c r="J54" i="14630"/>
  <c r="J45" i="14629"/>
  <c r="O35" i="14634"/>
  <c r="G42" i="14686"/>
  <c r="F48" i="14686"/>
  <c r="C48" i="14686"/>
  <c r="A45" i="4128"/>
  <c r="A50" i="14682"/>
  <c r="A50" i="14702"/>
  <c r="A17" i="14683"/>
  <c r="A45" i="14707"/>
  <c r="A50" i="14701"/>
  <c r="A26" i="14659"/>
  <c r="A50" i="14667"/>
  <c r="A41" i="14649"/>
  <c r="A45" i="14708"/>
  <c r="I32" i="14669"/>
  <c r="I34" i="14679" s="1"/>
  <c r="D26" i="14695"/>
  <c r="D37" i="14695" s="1"/>
  <c r="M27" i="14695"/>
  <c r="F31" i="14695"/>
  <c r="F19" i="14695"/>
  <c r="E12" i="14701"/>
  <c r="J12" i="14667"/>
  <c r="F24" i="14632"/>
  <c r="L32" i="14669"/>
  <c r="L34" i="14679" s="1"/>
  <c r="B32" i="14669"/>
  <c r="B34" i="14679" s="1"/>
  <c r="C32" i="14669"/>
  <c r="C34" i="14679" s="1"/>
  <c r="J32" i="14669"/>
  <c r="J34" i="14679" s="1"/>
  <c r="H32" i="14669"/>
  <c r="H34" i="14679" s="1"/>
  <c r="M32" i="14669"/>
  <c r="M34" i="14679" s="1"/>
  <c r="G15" i="14632"/>
  <c r="I31" i="14669"/>
  <c r="I33" i="14679" s="1"/>
  <c r="N59" i="14653"/>
  <c r="G36" i="14686"/>
  <c r="H18" i="14686"/>
  <c r="B54" i="14643"/>
  <c r="G54" i="14630"/>
  <c r="C54" i="14630"/>
  <c r="F54" i="14630"/>
  <c r="C24" i="14683"/>
  <c r="H54" i="14630"/>
  <c r="D54" i="14630"/>
  <c r="K54" i="14630"/>
  <c r="L54" i="14630"/>
  <c r="O21" i="14636"/>
  <c r="D19" i="14682" s="1"/>
  <c r="L46" i="14624"/>
  <c r="K39" i="14634"/>
  <c r="K41" i="14634" s="1"/>
  <c r="E41" i="14634"/>
  <c r="N15" i="14623"/>
  <c r="G34" i="14683"/>
  <c r="G19" i="14683"/>
  <c r="A85" i="14647"/>
  <c r="I9" i="14710"/>
  <c r="I9" i="14652" s="1"/>
  <c r="J23" i="14652" s="1"/>
  <c r="C15" i="14632"/>
  <c r="L49" i="14623"/>
  <c r="N11" i="14668"/>
  <c r="G14" i="14683" s="1"/>
  <c r="J14" i="14683" s="1"/>
  <c r="N55" i="7"/>
  <c r="N42" i="14628"/>
  <c r="N11" i="14628" s="1"/>
  <c r="C39" i="14634"/>
  <c r="C40" i="14634"/>
  <c r="O40" i="14634" s="1"/>
  <c r="J41" i="14634"/>
  <c r="F38" i="14643"/>
  <c r="G38" i="14643" s="1"/>
  <c r="D51" i="14643"/>
  <c r="N51" i="7"/>
  <c r="F53" i="14630"/>
  <c r="G5" i="14674"/>
  <c r="G18" i="14681"/>
  <c r="G54" i="14694"/>
  <c r="H16" i="14677" s="1"/>
  <c r="K38" i="14694"/>
  <c r="L16" i="14641" s="1"/>
  <c r="C30" i="14703"/>
  <c r="F30" i="14703"/>
  <c r="E22" i="14694"/>
  <c r="D19" i="14639"/>
  <c r="I41" i="14634"/>
  <c r="N56" i="7"/>
  <c r="I48" i="14686"/>
  <c r="N37" i="14637"/>
  <c r="D70" i="14643" s="1"/>
  <c r="I24" i="14632"/>
  <c r="N57" i="14630"/>
  <c r="I19" i="14677"/>
  <c r="M30" i="14686"/>
  <c r="L30" i="14686"/>
  <c r="H49" i="14648"/>
  <c r="K49" i="14648"/>
  <c r="H36" i="14686"/>
  <c r="G19" i="14641"/>
  <c r="B13" i="14638"/>
  <c r="C37" i="14639"/>
  <c r="C40" i="14639" s="1"/>
  <c r="F22" i="14694"/>
  <c r="G16" i="14625" s="1"/>
  <c r="B18" i="14686"/>
  <c r="L38" i="14694"/>
  <c r="M8" i="14639" s="1"/>
  <c r="B39" i="14637"/>
  <c r="B9" i="14640" s="1"/>
  <c r="L48" i="14686"/>
  <c r="B13" i="14679"/>
  <c r="C23" i="14668"/>
  <c r="C37" i="14668"/>
  <c r="C39" i="14678" s="1"/>
  <c r="O26" i="14703"/>
  <c r="J30" i="14703"/>
  <c r="K26" i="14703"/>
  <c r="C4" i="14634"/>
  <c r="C7" i="14672"/>
  <c r="C26" i="14672" s="1"/>
  <c r="C4" i="14674"/>
  <c r="C4" i="14628"/>
  <c r="B4" i="14653"/>
  <c r="B50" i="14653" s="1"/>
  <c r="B6" i="14632"/>
  <c r="C4" i="14639"/>
  <c r="C4" i="14625"/>
  <c r="C7" i="14629"/>
  <c r="C26" i="14629" s="1"/>
  <c r="B4" i="14668"/>
  <c r="C4" i="14676"/>
  <c r="B6" i="14623"/>
  <c r="B6" i="14679"/>
  <c r="C4" i="14641"/>
  <c r="C4" i="14677"/>
  <c r="B6" i="14638"/>
  <c r="C10" i="14663"/>
  <c r="C7" i="14624"/>
  <c r="C26" i="14624" s="1"/>
  <c r="B6" i="14678"/>
  <c r="C4" i="14675"/>
  <c r="C7" i="14636"/>
  <c r="C26" i="14636" s="1"/>
  <c r="B4" i="14630"/>
  <c r="B4" i="14637"/>
  <c r="B4" i="14631"/>
  <c r="B4" i="7"/>
  <c r="B97" i="14645" s="1"/>
  <c r="C4" i="14633"/>
  <c r="B4" i="14671"/>
  <c r="B4" i="14669"/>
  <c r="B8" i="14681"/>
  <c r="B4" i="14670"/>
  <c r="B4" i="8"/>
  <c r="B4" i="14640"/>
  <c r="C7" i="14673"/>
  <c r="C26" i="14673" s="1"/>
  <c r="J47" i="14623"/>
  <c r="L24" i="14686"/>
  <c r="B72" i="14653"/>
  <c r="N34" i="14637"/>
  <c r="D67" i="14643" s="1"/>
  <c r="N67" i="14653"/>
  <c r="K45" i="14624"/>
  <c r="K50" i="14624" s="1"/>
  <c r="K6" i="14628" s="1"/>
  <c r="B20" i="14669"/>
  <c r="B10" i="14679" s="1"/>
  <c r="H24" i="14632"/>
  <c r="B34" i="14668"/>
  <c r="B36" i="14678" s="1"/>
  <c r="N36" i="14678" s="1"/>
  <c r="B20" i="14668"/>
  <c r="D37" i="14639"/>
  <c r="D40" i="14639" s="1"/>
  <c r="C13" i="14638"/>
  <c r="G24" i="14638" s="1"/>
  <c r="B23" i="14668"/>
  <c r="B37" i="14668"/>
  <c r="B39" i="14678" s="1"/>
  <c r="E7" i="14655"/>
  <c r="C7" i="14645"/>
  <c r="C64" i="14645" s="1"/>
  <c r="C29" i="14645"/>
  <c r="C86" i="14645" s="1"/>
  <c r="C18" i="14645"/>
  <c r="C75" i="14645" s="1"/>
  <c r="D48" i="14686"/>
  <c r="N23" i="14637"/>
  <c r="E27" i="14683" s="1"/>
  <c r="H27" i="14683" s="1"/>
  <c r="J39" i="14668"/>
  <c r="J9" i="14670" s="1"/>
  <c r="C5" i="14639"/>
  <c r="O5" i="14639" s="1"/>
  <c r="N70" i="14653"/>
  <c r="C19" i="14639"/>
  <c r="L50" i="14672"/>
  <c r="L6" i="14674" s="1"/>
  <c r="H24" i="14686"/>
  <c r="B37" i="14669"/>
  <c r="B39" i="14679" s="1"/>
  <c r="J24" i="14686"/>
  <c r="C34" i="14639"/>
  <c r="O34" i="14639" s="1"/>
  <c r="B10" i="14638"/>
  <c r="B15" i="14638" s="1"/>
  <c r="D5" i="14631"/>
  <c r="D18" i="14681"/>
  <c r="A49" i="14665"/>
  <c r="B48" i="14665"/>
  <c r="F57" i="14665" s="1"/>
  <c r="D51" i="14645" s="1"/>
  <c r="D2" i="14705"/>
  <c r="D11" i="14705"/>
  <c r="A11" i="14705"/>
  <c r="G2" i="14705"/>
  <c r="A2" i="14705"/>
  <c r="N10" i="14632"/>
  <c r="J32" i="14674"/>
  <c r="D54" i="14643"/>
  <c r="F54" i="14643" s="1"/>
  <c r="G54" i="14643" s="1"/>
  <c r="C39" i="14683"/>
  <c r="O34" i="14634"/>
  <c r="L5" i="14674"/>
  <c r="C24" i="14686"/>
  <c r="M42" i="14686"/>
  <c r="G22" i="14688"/>
  <c r="G23" i="14688" s="1"/>
  <c r="H19" i="14661"/>
  <c r="H40" i="14639"/>
  <c r="I15" i="14632"/>
  <c r="K18" i="14681"/>
  <c r="H53" i="14630"/>
  <c r="H42" i="14628"/>
  <c r="H11" i="14628" s="1"/>
  <c r="K53" i="14630"/>
  <c r="D66" i="14643"/>
  <c r="G39" i="14668"/>
  <c r="G9" i="14670" s="1"/>
  <c r="F52" i="14630"/>
  <c r="B53" i="14630"/>
  <c r="L32" i="14674"/>
  <c r="G53" i="14630"/>
  <c r="C23" i="14683"/>
  <c r="D23" i="14683" s="1"/>
  <c r="N53" i="7"/>
  <c r="N35" i="14632"/>
  <c r="E15" i="14691"/>
  <c r="E17" i="14691" s="1"/>
  <c r="C52" i="14630"/>
  <c r="C22" i="14683"/>
  <c r="D22" i="14683" s="1"/>
  <c r="L52" i="14630"/>
  <c r="O33" i="14634"/>
  <c r="L8" i="14678"/>
  <c r="N32" i="14674"/>
  <c r="J52" i="14630"/>
  <c r="B52" i="14643"/>
  <c r="F52" i="14643" s="1"/>
  <c r="G52" i="14643" s="1"/>
  <c r="B52" i="14630"/>
  <c r="E52" i="14630"/>
  <c r="M24" i="14632"/>
  <c r="M52" i="14630"/>
  <c r="D52" i="14630"/>
  <c r="H52" i="14630"/>
  <c r="G52" i="14630"/>
  <c r="I52" i="14630"/>
  <c r="M5" i="14631"/>
  <c r="J26" i="14667"/>
  <c r="L26" i="14667" s="1"/>
  <c r="G26" i="14701" s="1"/>
  <c r="E26" i="14701"/>
  <c r="M31" i="14648"/>
  <c r="N31" i="14648"/>
  <c r="N19" i="14677"/>
  <c r="H40" i="14648"/>
  <c r="G48" i="14686"/>
  <c r="D30" i="14686"/>
  <c r="N49" i="14686"/>
  <c r="F36" i="14686"/>
  <c r="M24" i="14686"/>
  <c r="B30" i="14686"/>
  <c r="L41" i="14632"/>
  <c r="N18" i="14668"/>
  <c r="M52" i="14668" s="1"/>
  <c r="H18" i="14681"/>
  <c r="N35" i="14638"/>
  <c r="E52" i="14637"/>
  <c r="L27" i="14681"/>
  <c r="J19" i="14674"/>
  <c r="N39" i="14634"/>
  <c r="N41" i="14634" s="1"/>
  <c r="F52" i="14637"/>
  <c r="D53" i="14630"/>
  <c r="G52" i="14637"/>
  <c r="I52" i="14637"/>
  <c r="V14" i="14709"/>
  <c r="O40" i="14628"/>
  <c r="D24" i="14686"/>
  <c r="I30" i="14686"/>
  <c r="H48" i="14686"/>
  <c r="G19" i="14676"/>
  <c r="O19" i="14676" s="1"/>
  <c r="F20" i="14684" s="1"/>
  <c r="C31" i="14648"/>
  <c r="M36" i="14686"/>
  <c r="J30" i="14686"/>
  <c r="B24" i="14686"/>
  <c r="B21" i="14649"/>
  <c r="C40" i="4128"/>
  <c r="C36" i="14686"/>
  <c r="J36" i="14686"/>
  <c r="J48" i="14686"/>
  <c r="F24" i="14686"/>
  <c r="N9" i="14631"/>
  <c r="D11" i="14617" s="1"/>
  <c r="L52" i="14637"/>
  <c r="H52" i="14637"/>
  <c r="C52" i="14637"/>
  <c r="M52" i="14637"/>
  <c r="D65" i="14643"/>
  <c r="B52" i="14637"/>
  <c r="D52" i="14637"/>
  <c r="B65" i="14643"/>
  <c r="N41" i="14623"/>
  <c r="M39" i="14639"/>
  <c r="J52" i="14637"/>
  <c r="E22" i="14683"/>
  <c r="N25" i="14630"/>
  <c r="W9" i="14709" s="1"/>
  <c r="E53" i="14630"/>
  <c r="M53" i="14630"/>
  <c r="L53" i="14630"/>
  <c r="I53" i="14630"/>
  <c r="M39" i="14634"/>
  <c r="M41" i="14634" s="1"/>
  <c r="B53" i="14643"/>
  <c r="C53" i="14630"/>
  <c r="I5" i="14631"/>
  <c r="I18" i="14681"/>
  <c r="N20" i="14686"/>
  <c r="B23" i="11" s="1"/>
  <c r="B37" i="14667" s="1"/>
  <c r="F16" i="14641"/>
  <c r="C22" i="14648"/>
  <c r="G18" i="14686"/>
  <c r="L18" i="14686"/>
  <c r="D16" i="14676"/>
  <c r="M21" i="14648"/>
  <c r="I42" i="14686"/>
  <c r="M12" i="14648"/>
  <c r="N19" i="14686"/>
  <c r="L12" i="14648"/>
  <c r="K40" i="14648"/>
  <c r="G24" i="14686"/>
  <c r="M48" i="14686"/>
  <c r="B48" i="14686"/>
  <c r="I40" i="14648"/>
  <c r="I22" i="14648"/>
  <c r="N43" i="14686"/>
  <c r="G22" i="14648"/>
  <c r="K18" i="14686"/>
  <c r="C18" i="14686"/>
  <c r="K36" i="14686"/>
  <c r="D30" i="14694"/>
  <c r="E16" i="14633" s="1"/>
  <c r="K21" i="14648"/>
  <c r="N11" i="14632"/>
  <c r="N25" i="14686"/>
  <c r="E18" i="14686"/>
  <c r="D19" i="14625"/>
  <c r="L24" i="14709"/>
  <c r="I34" i="14683"/>
  <c r="I19" i="14683"/>
  <c r="E37" i="14674"/>
  <c r="D13" i="14678"/>
  <c r="F27" i="14655"/>
  <c r="H15" i="14632"/>
  <c r="N12" i="14632"/>
  <c r="L24" i="14632"/>
  <c r="B15" i="14632"/>
  <c r="B5" i="14631"/>
  <c r="B18" i="14681"/>
  <c r="O36" i="14634"/>
  <c r="J28" i="14667"/>
  <c r="E28" i="14701"/>
  <c r="H24" i="14689"/>
  <c r="F39" i="14639"/>
  <c r="M19" i="14674"/>
  <c r="E16" i="14676"/>
  <c r="I8" i="14675"/>
  <c r="G30" i="14686"/>
  <c r="F18" i="14686"/>
  <c r="E24" i="14686"/>
  <c r="C42" i="14686"/>
  <c r="F42" i="14686"/>
  <c r="D42" i="14686"/>
  <c r="B42" i="14686"/>
  <c r="E30" i="14686"/>
  <c r="M18" i="14686"/>
  <c r="D18" i="14686"/>
  <c r="H19" i="14641"/>
  <c r="G19" i="14677"/>
  <c r="K30" i="14686"/>
  <c r="D36" i="14686"/>
  <c r="L42" i="14686"/>
  <c r="N38" i="14686"/>
  <c r="H37" i="14667" s="1"/>
  <c r="E42" i="14686"/>
  <c r="K42" i="14686"/>
  <c r="N32" i="14686"/>
  <c r="F37" i="14667" s="1"/>
  <c r="K39" i="14668"/>
  <c r="K9" i="14670" s="1"/>
  <c r="I48" i="14648"/>
  <c r="J22" i="14694"/>
  <c r="K8" i="14628" s="1"/>
  <c r="N31" i="14686"/>
  <c r="G19" i="14625"/>
  <c r="J18" i="14686"/>
  <c r="D40" i="14648"/>
  <c r="H30" i="14686"/>
  <c r="E8" i="14674"/>
  <c r="F19" i="14641"/>
  <c r="N19" i="14625"/>
  <c r="I36" i="14686"/>
  <c r="C49" i="14648"/>
  <c r="H5" i="14674"/>
  <c r="M16" i="14633"/>
  <c r="I18" i="14686"/>
  <c r="G22" i="14694"/>
  <c r="H16" i="14625" s="1"/>
  <c r="F25" i="14668"/>
  <c r="F5" i="14670" s="1"/>
  <c r="N21" i="14694"/>
  <c r="N38" i="14638"/>
  <c r="N33" i="14632"/>
  <c r="G41" i="14632"/>
  <c r="J59" i="7"/>
  <c r="E59" i="7"/>
  <c r="L59" i="7"/>
  <c r="I59" i="7"/>
  <c r="J8" i="14628"/>
  <c r="X19" i="14709"/>
  <c r="L46" i="14629"/>
  <c r="K5" i="14674"/>
  <c r="N36" i="14638"/>
  <c r="E45" i="14636"/>
  <c r="E46" i="14636" s="1"/>
  <c r="L30" i="14703"/>
  <c r="H30" i="14703"/>
  <c r="F38" i="14669"/>
  <c r="F40" i="14679" s="1"/>
  <c r="B38" i="14669"/>
  <c r="B40" i="14679" s="1"/>
  <c r="E38" i="14669"/>
  <c r="E40" i="14679" s="1"/>
  <c r="M38" i="14669"/>
  <c r="M40" i="14679" s="1"/>
  <c r="I38" i="14669"/>
  <c r="I40" i="14679" s="1"/>
  <c r="D38" i="14669"/>
  <c r="D40" i="14679" s="1"/>
  <c r="K38" i="14669"/>
  <c r="K40" i="14679" s="1"/>
  <c r="C38" i="14669"/>
  <c r="C40" i="14679" s="1"/>
  <c r="L38" i="14669"/>
  <c r="L40" i="14679" s="1"/>
  <c r="G38" i="14669"/>
  <c r="G40" i="14679" s="1"/>
  <c r="E45" i="14629"/>
  <c r="E50" i="14629" s="1"/>
  <c r="E6" i="14634" s="1"/>
  <c r="E11" i="14624"/>
  <c r="E12" i="14624"/>
  <c r="E21" i="14624"/>
  <c r="F39" i="14634"/>
  <c r="F41" i="14634" s="1"/>
  <c r="B46" i="14643"/>
  <c r="C44" i="14643" s="1"/>
  <c r="B59" i="7"/>
  <c r="G59" i="7"/>
  <c r="V9" i="14709"/>
  <c r="K59" i="7"/>
  <c r="C59" i="7"/>
  <c r="H59" i="7"/>
  <c r="M59" i="7"/>
  <c r="D59" i="7"/>
  <c r="F59" i="7"/>
  <c r="C25" i="14683"/>
  <c r="D25" i="14683" s="1"/>
  <c r="J55" i="14630"/>
  <c r="D55" i="14630"/>
  <c r="C55" i="14630"/>
  <c r="G55" i="14630"/>
  <c r="M55" i="14630"/>
  <c r="B55" i="14630"/>
  <c r="B55" i="14643"/>
  <c r="E55" i="14630"/>
  <c r="H55" i="14630"/>
  <c r="I55" i="14630"/>
  <c r="F55" i="14630"/>
  <c r="L55" i="14630"/>
  <c r="K55" i="14630"/>
  <c r="D55" i="14643"/>
  <c r="C40" i="14683"/>
  <c r="D40" i="14683" s="1"/>
  <c r="E15" i="14632"/>
  <c r="E41" i="14632"/>
  <c r="P24" i="14632"/>
  <c r="D24" i="14638" s="1"/>
  <c r="N9" i="14632"/>
  <c r="L15" i="14632"/>
  <c r="C38" i="14683"/>
  <c r="D38" i="14683" s="1"/>
  <c r="D53" i="14643"/>
  <c r="E5" i="14631"/>
  <c r="E18" i="14681"/>
  <c r="AD15" i="14709"/>
  <c r="X16" i="14709"/>
  <c r="AD14" i="14709" s="1"/>
  <c r="L40" i="14639"/>
  <c r="M40" i="14639"/>
  <c r="L25" i="14668"/>
  <c r="L36" i="14681" s="1"/>
  <c r="F61" i="14653"/>
  <c r="N50" i="14653"/>
  <c r="H12" i="14683"/>
  <c r="H11" i="14683"/>
  <c r="D24" i="14683"/>
  <c r="H10" i="14683"/>
  <c r="L41" i="14634"/>
  <c r="O19" i="14634"/>
  <c r="O32" i="14634"/>
  <c r="O5" i="14634"/>
  <c r="L19" i="14674"/>
  <c r="C37" i="14683"/>
  <c r="D37" i="14683" s="1"/>
  <c r="N39" i="14630"/>
  <c r="D14" i="14657" s="1"/>
  <c r="J5" i="14631"/>
  <c r="J18" i="14681"/>
  <c r="J15" i="14632"/>
  <c r="N8" i="14632"/>
  <c r="N24" i="14632"/>
  <c r="B24" i="14638" s="1"/>
  <c r="K15" i="14632"/>
  <c r="O24" i="14632"/>
  <c r="C24" i="14638" s="1"/>
  <c r="N34" i="14632"/>
  <c r="J41" i="14632"/>
  <c r="J39" i="14639"/>
  <c r="B51" i="14630"/>
  <c r="D51" i="14630"/>
  <c r="G51" i="14630"/>
  <c r="M51" i="14630"/>
  <c r="C21" i="14683"/>
  <c r="D21" i="14683" s="1"/>
  <c r="F51" i="14630"/>
  <c r="I51" i="14630"/>
  <c r="E51" i="14630"/>
  <c r="C51" i="14630"/>
  <c r="J51" i="14630"/>
  <c r="L51" i="14630"/>
  <c r="B51" i="14643"/>
  <c r="K51" i="14630"/>
  <c r="H51" i="14630"/>
  <c r="O31" i="14634"/>
  <c r="G39" i="14634"/>
  <c r="G41" i="14634" s="1"/>
  <c r="J24" i="14632"/>
  <c r="N7" i="14632"/>
  <c r="F15" i="14632"/>
  <c r="F5" i="14631"/>
  <c r="F18" i="14681"/>
  <c r="G40" i="14639"/>
  <c r="J40" i="14639"/>
  <c r="I34" i="14675"/>
  <c r="H10" i="14679"/>
  <c r="M34" i="14675"/>
  <c r="L10" i="14679"/>
  <c r="H34" i="14675"/>
  <c r="G10" i="14679"/>
  <c r="F40" i="14639"/>
  <c r="L34" i="14675"/>
  <c r="K10" i="14679"/>
  <c r="G34" i="14675"/>
  <c r="F10" i="14679"/>
  <c r="J34" i="14675"/>
  <c r="I10" i="14679"/>
  <c r="K40" i="14639"/>
  <c r="I39" i="14639"/>
  <c r="I40" i="14639"/>
  <c r="D39" i="14639"/>
  <c r="N16" i="14633"/>
  <c r="P10" i="14709"/>
  <c r="D76" i="14647"/>
  <c r="D91" i="14647" s="1"/>
  <c r="C30" i="14647"/>
  <c r="C45" i="14647" s="1"/>
  <c r="C33" i="14710"/>
  <c r="B32" i="14710"/>
  <c r="I32" i="14710" s="1"/>
  <c r="J32" i="14710" s="1"/>
  <c r="C15" i="14647"/>
  <c r="C44" i="14647"/>
  <c r="P49" i="14623"/>
  <c r="D49" i="14632" s="1"/>
  <c r="E49" i="14623"/>
  <c r="D42" i="14652"/>
  <c r="D60" i="14647"/>
  <c r="D90" i="14647"/>
  <c r="L47" i="14623"/>
  <c r="I47" i="14623"/>
  <c r="N49" i="14623"/>
  <c r="B49" i="14632" s="1"/>
  <c r="H49" i="14623"/>
  <c r="G46" i="14647"/>
  <c r="P25" i="14638" s="1"/>
  <c r="D25" i="14678" s="1"/>
  <c r="R25" i="14632"/>
  <c r="F25" i="14638" s="1"/>
  <c r="G25" i="14632"/>
  <c r="L25" i="14632"/>
  <c r="K25" i="14632"/>
  <c r="I25" i="14632"/>
  <c r="H25" i="14632"/>
  <c r="Q25" i="14632"/>
  <c r="E25" i="14638" s="1"/>
  <c r="N25" i="14632"/>
  <c r="B25" i="14638" s="1"/>
  <c r="J25" i="14632"/>
  <c r="P25" i="14632"/>
  <c r="D25" i="14638" s="1"/>
  <c r="O25" i="14632"/>
  <c r="C25" i="14638" s="1"/>
  <c r="M25" i="14632"/>
  <c r="E93" i="14647"/>
  <c r="E79" i="14647"/>
  <c r="E94" i="14647" s="1"/>
  <c r="F49" i="14623"/>
  <c r="G49" i="14623"/>
  <c r="I49" i="14623"/>
  <c r="J49" i="14623"/>
  <c r="M47" i="14623"/>
  <c r="O49" i="14623"/>
  <c r="C49" i="14632" s="1"/>
  <c r="K49" i="14623"/>
  <c r="M49" i="14623"/>
  <c r="C93" i="14647"/>
  <c r="N47" i="14623"/>
  <c r="B47" i="14632" s="1"/>
  <c r="C79" i="14647"/>
  <c r="I47" i="14632" s="1"/>
  <c r="F47" i="14623"/>
  <c r="C47" i="14623"/>
  <c r="H47" i="14623"/>
  <c r="G47" i="14623"/>
  <c r="K47" i="14623"/>
  <c r="D47" i="14623"/>
  <c r="E47" i="14623"/>
  <c r="E13" i="14647"/>
  <c r="E28" i="14647"/>
  <c r="E43" i="14647" s="1"/>
  <c r="E42" i="14647"/>
  <c r="B42" i="14647" s="1"/>
  <c r="I42" i="14647" s="1"/>
  <c r="J42" i="14647" s="1"/>
  <c r="B27" i="14647"/>
  <c r="I27" i="14647" s="1"/>
  <c r="J27" i="14647" s="1"/>
  <c r="J25" i="14668"/>
  <c r="J5" i="14670" s="1"/>
  <c r="F14" i="14678"/>
  <c r="G38" i="14674"/>
  <c r="C38" i="14674"/>
  <c r="B14" i="14678"/>
  <c r="D14" i="14678"/>
  <c r="E38" i="14674"/>
  <c r="D38" i="14674"/>
  <c r="C14" i="14678"/>
  <c r="M38" i="14674"/>
  <c r="L14" i="14678"/>
  <c r="C24" i="14669"/>
  <c r="L24" i="14669"/>
  <c r="F24" i="14669"/>
  <c r="K24" i="14669"/>
  <c r="I24" i="14669"/>
  <c r="G24" i="14669"/>
  <c r="B24" i="14669"/>
  <c r="D24" i="14669"/>
  <c r="E24" i="14669"/>
  <c r="M24" i="14669"/>
  <c r="E14" i="14678"/>
  <c r="F38" i="14674"/>
  <c r="J38" i="14674"/>
  <c r="I14" i="14678"/>
  <c r="N38" i="14674"/>
  <c r="M14" i="14678"/>
  <c r="K14" i="14678"/>
  <c r="L38" i="14674"/>
  <c r="K39" i="14639"/>
  <c r="H19" i="14674"/>
  <c r="F31" i="14669"/>
  <c r="F33" i="14679" s="1"/>
  <c r="B31" i="14669"/>
  <c r="B33" i="14679" s="1"/>
  <c r="L31" i="14669"/>
  <c r="L33" i="14679" s="1"/>
  <c r="G31" i="14669"/>
  <c r="G33" i="14679" s="1"/>
  <c r="H31" i="14669"/>
  <c r="H33" i="14679" s="1"/>
  <c r="C31" i="14669"/>
  <c r="C33" i="14679" s="1"/>
  <c r="E31" i="14669"/>
  <c r="E33" i="14679" s="1"/>
  <c r="J31" i="14669"/>
  <c r="J33" i="14679" s="1"/>
  <c r="K31" i="14669"/>
  <c r="K33" i="14679" s="1"/>
  <c r="D31" i="14669"/>
  <c r="D33" i="14679" s="1"/>
  <c r="N5" i="8"/>
  <c r="B7" i="14617" s="1"/>
  <c r="C40" i="14712" s="1"/>
  <c r="C46" i="14712" s="1"/>
  <c r="N46" i="14624"/>
  <c r="N50" i="14624"/>
  <c r="N6" i="14628" s="1"/>
  <c r="N45" i="14629"/>
  <c r="J50" i="14672"/>
  <c r="J6" i="14674" s="1"/>
  <c r="J46" i="14672"/>
  <c r="J45" i="14636"/>
  <c r="J46" i="14636" s="1"/>
  <c r="J45" i="14624"/>
  <c r="F45" i="14624"/>
  <c r="F50" i="14624" s="1"/>
  <c r="F6" i="14628" s="1"/>
  <c r="K27" i="14655"/>
  <c r="J45" i="14673"/>
  <c r="K46" i="14629"/>
  <c r="K50" i="14629"/>
  <c r="K6" i="14634" s="1"/>
  <c r="K45" i="14636"/>
  <c r="K46" i="14636" s="1"/>
  <c r="D45" i="14636"/>
  <c r="C45" i="14636"/>
  <c r="C46" i="14636" s="1"/>
  <c r="D45" i="14624"/>
  <c r="D50" i="14624" s="1"/>
  <c r="D6" i="14628" s="1"/>
  <c r="P26" i="14655"/>
  <c r="D45" i="14629"/>
  <c r="D46" i="14629" s="1"/>
  <c r="D27" i="14655"/>
  <c r="E45" i="14672"/>
  <c r="E45" i="14673"/>
  <c r="F45" i="14629"/>
  <c r="F45" i="14636"/>
  <c r="F45" i="14672"/>
  <c r="F45" i="14673"/>
  <c r="L27" i="14655"/>
  <c r="K45" i="14672"/>
  <c r="K45" i="14673"/>
  <c r="N45" i="14636"/>
  <c r="N45" i="14672"/>
  <c r="O27" i="14655"/>
  <c r="N45" i="14673"/>
  <c r="D45" i="14672"/>
  <c r="D45" i="14673"/>
  <c r="G50" i="14624"/>
  <c r="G6" i="14628" s="1"/>
  <c r="G46" i="14624"/>
  <c r="H46" i="14624"/>
  <c r="H50" i="14624"/>
  <c r="H6" i="14628" s="1"/>
  <c r="H27" i="14655"/>
  <c r="G45" i="14636"/>
  <c r="G45" i="14672"/>
  <c r="G45" i="14673"/>
  <c r="G45" i="14629"/>
  <c r="M45" i="14624"/>
  <c r="M45" i="14629"/>
  <c r="M45" i="14673"/>
  <c r="M45" i="14636"/>
  <c r="N27" i="14655"/>
  <c r="M45" i="14672"/>
  <c r="C45" i="14672"/>
  <c r="C45" i="14673"/>
  <c r="C45" i="14629"/>
  <c r="B45" i="14636"/>
  <c r="B45" i="14673"/>
  <c r="B45" i="14672"/>
  <c r="R30" i="14709"/>
  <c r="H69" i="14689"/>
  <c r="J42" i="14667"/>
  <c r="E42" i="14701"/>
  <c r="I27" i="14655"/>
  <c r="H45" i="14636"/>
  <c r="H45" i="14629"/>
  <c r="H45" i="14672"/>
  <c r="H45" i="14673"/>
  <c r="I45" i="14629"/>
  <c r="I45" i="14673"/>
  <c r="I45" i="14624"/>
  <c r="I45" i="14672"/>
  <c r="I45" i="14636"/>
  <c r="J27" i="14655"/>
  <c r="G10" i="14661"/>
  <c r="M25" i="14668"/>
  <c r="M36" i="14681" s="1"/>
  <c r="E50" i="14624"/>
  <c r="E6" i="14628" s="1"/>
  <c r="E46" i="14624"/>
  <c r="C50" i="14624"/>
  <c r="C6" i="14628" s="1"/>
  <c r="C46" i="14624"/>
  <c r="G47" i="14688"/>
  <c r="G53" i="14688" s="1"/>
  <c r="F53" i="14688"/>
  <c r="M28" i="14709"/>
  <c r="H16" i="14667"/>
  <c r="D16" i="14701"/>
  <c r="G14" i="14624"/>
  <c r="H17" i="14663"/>
  <c r="F12" i="14624"/>
  <c r="F21" i="14624"/>
  <c r="F11" i="14624"/>
  <c r="G9" i="14624"/>
  <c r="H16" i="14663"/>
  <c r="C11" i="14701"/>
  <c r="F11" i="14667"/>
  <c r="E59" i="14688"/>
  <c r="E61" i="14688" s="1"/>
  <c r="D8" i="14674"/>
  <c r="I25" i="14668"/>
  <c r="I36" i="14681" s="1"/>
  <c r="G25" i="14668"/>
  <c r="G36" i="14681" s="1"/>
  <c r="N7" i="14638"/>
  <c r="N19" i="14674"/>
  <c r="N39" i="14639"/>
  <c r="B29" i="14683"/>
  <c r="H39" i="14639"/>
  <c r="N9" i="14681"/>
  <c r="C24" i="14657" s="1"/>
  <c r="J46" i="14629"/>
  <c r="J50" i="14629"/>
  <c r="I41" i="14628"/>
  <c r="K42" i="14628" s="1"/>
  <c r="K11" i="14628" s="1"/>
  <c r="O21" i="14673"/>
  <c r="F19" i="14682" s="1"/>
  <c r="F26" i="14682"/>
  <c r="E27" i="14682"/>
  <c r="O21" i="14672"/>
  <c r="E19" i="14682" s="1"/>
  <c r="H16" i="14661"/>
  <c r="I16" i="14661" s="1"/>
  <c r="J16" i="14661" s="1"/>
  <c r="J15" i="14667"/>
  <c r="E15" i="14701"/>
  <c r="C41" i="14628"/>
  <c r="O39" i="14628"/>
  <c r="F41" i="14643"/>
  <c r="G41" i="14643" s="1"/>
  <c r="F34" i="14701"/>
  <c r="G34" i="14701"/>
  <c r="J16" i="14633"/>
  <c r="N58" i="14630"/>
  <c r="N54" i="7"/>
  <c r="N58" i="7"/>
  <c r="N52" i="7"/>
  <c r="C36" i="14674"/>
  <c r="B12" i="14678"/>
  <c r="H12" i="14678"/>
  <c r="I36" i="14674"/>
  <c r="L36" i="14674"/>
  <c r="K12" i="14678"/>
  <c r="C12" i="14678"/>
  <c r="D36" i="14674"/>
  <c r="I35" i="14674"/>
  <c r="H11" i="14678"/>
  <c r="M10" i="14679"/>
  <c r="N34" i="14675"/>
  <c r="M7" i="14678"/>
  <c r="N31" i="14674"/>
  <c r="M33" i="14678"/>
  <c r="N33" i="14678" s="1"/>
  <c r="N31" i="14668"/>
  <c r="G15" i="14638"/>
  <c r="K24" i="14638"/>
  <c r="C5" i="14640"/>
  <c r="C27" i="14681"/>
  <c r="H90" i="14647"/>
  <c r="D14" i="14647"/>
  <c r="D30" i="14647" s="1"/>
  <c r="D45" i="14647" s="1"/>
  <c r="C11" i="14679"/>
  <c r="D35" i="14675"/>
  <c r="G41" i="14638"/>
  <c r="G60" i="14647"/>
  <c r="G42" i="14652"/>
  <c r="B41" i="14652"/>
  <c r="I41" i="14652" s="1"/>
  <c r="J41" i="14652" s="1"/>
  <c r="E11" i="14678"/>
  <c r="F35" i="14674"/>
  <c r="G35" i="14669"/>
  <c r="G21" i="14669"/>
  <c r="N34" i="14674"/>
  <c r="M10" i="14678"/>
  <c r="M17" i="14669"/>
  <c r="N5" i="14669"/>
  <c r="I8" i="14683" s="1"/>
  <c r="J8" i="14683" s="1"/>
  <c r="M31" i="14669"/>
  <c r="F33" i="14674"/>
  <c r="E9" i="14678"/>
  <c r="C9" i="14678"/>
  <c r="D33" i="14674"/>
  <c r="J9" i="14678"/>
  <c r="K33" i="14674"/>
  <c r="G9" i="14678"/>
  <c r="H33" i="14674"/>
  <c r="E33" i="14674"/>
  <c r="D9" i="14678"/>
  <c r="H76" i="14647"/>
  <c r="H91" i="14647" s="1"/>
  <c r="D35" i="14674"/>
  <c r="C11" i="14678"/>
  <c r="C20" i="14669"/>
  <c r="C34" i="14669"/>
  <c r="B64" i="14643"/>
  <c r="E21" i="14683"/>
  <c r="K51" i="14637"/>
  <c r="M51" i="14637"/>
  <c r="G51" i="14637"/>
  <c r="E51" i="14637"/>
  <c r="F51" i="14637"/>
  <c r="D51" i="14637"/>
  <c r="J51" i="14637"/>
  <c r="C51" i="14637"/>
  <c r="H51" i="14637"/>
  <c r="I51" i="14637"/>
  <c r="B51" i="14637"/>
  <c r="L51" i="14637"/>
  <c r="C7" i="14678"/>
  <c r="D31" i="14674"/>
  <c r="G7" i="14678"/>
  <c r="H31" i="14674"/>
  <c r="J7" i="14678"/>
  <c r="K31" i="14674"/>
  <c r="F31" i="14674"/>
  <c r="E7" i="14678"/>
  <c r="H7" i="14678"/>
  <c r="I31" i="14674"/>
  <c r="E17" i="14669"/>
  <c r="D17" i="14669"/>
  <c r="K17" i="14669"/>
  <c r="G17" i="14669"/>
  <c r="F17" i="14669"/>
  <c r="C17" i="14669"/>
  <c r="H17" i="14669"/>
  <c r="L17" i="14669"/>
  <c r="J17" i="14669"/>
  <c r="I17" i="14669"/>
  <c r="B17" i="14669"/>
  <c r="I46" i="14702"/>
  <c r="H36" i="14674"/>
  <c r="G12" i="14678"/>
  <c r="J36" i="14674"/>
  <c r="I12" i="14678"/>
  <c r="H22" i="14669"/>
  <c r="F22" i="14669"/>
  <c r="K22" i="14669"/>
  <c r="I22" i="14669"/>
  <c r="C22" i="14669"/>
  <c r="B22" i="14669"/>
  <c r="G22" i="14669"/>
  <c r="G36" i="14674"/>
  <c r="F12" i="14678"/>
  <c r="F35" i="14675"/>
  <c r="E11" i="14679"/>
  <c r="G11" i="14678"/>
  <c r="H35" i="14674"/>
  <c r="J12" i="14678"/>
  <c r="K36" i="14674"/>
  <c r="C41" i="14638"/>
  <c r="D11" i="14678"/>
  <c r="E35" i="14674"/>
  <c r="K11" i="14678"/>
  <c r="L35" i="14674"/>
  <c r="G27" i="14681"/>
  <c r="G5" i="14640"/>
  <c r="D29" i="14647"/>
  <c r="D44" i="14647" s="1"/>
  <c r="D43" i="14647"/>
  <c r="D64" i="14643"/>
  <c r="E36" i="14683"/>
  <c r="B75" i="14647"/>
  <c r="I75" i="14647" s="1"/>
  <c r="J75" i="14647" s="1"/>
  <c r="G90" i="14647"/>
  <c r="G76" i="14647"/>
  <c r="B59" i="14647"/>
  <c r="I59" i="14647" s="1"/>
  <c r="J59" i="14647" s="1"/>
  <c r="H11" i="14679"/>
  <c r="I35" i="14675"/>
  <c r="D11" i="14679"/>
  <c r="E35" i="14675"/>
  <c r="L35" i="14675"/>
  <c r="K11" i="14679"/>
  <c r="I9" i="14678"/>
  <c r="J33" i="14674"/>
  <c r="K19" i="14669"/>
  <c r="D19" i="14669"/>
  <c r="F19" i="14669"/>
  <c r="J19" i="14669"/>
  <c r="E19" i="14669"/>
  <c r="G19" i="14669"/>
  <c r="C19" i="14669"/>
  <c r="I19" i="14669"/>
  <c r="L19" i="14669"/>
  <c r="L9" i="14678"/>
  <c r="M33" i="14674"/>
  <c r="G33" i="14674"/>
  <c r="F9" i="14678"/>
  <c r="L33" i="14674"/>
  <c r="K9" i="14678"/>
  <c r="H42" i="14652"/>
  <c r="H60" i="14647"/>
  <c r="O31" i="14639"/>
  <c r="N40" i="14639"/>
  <c r="C31" i="14674"/>
  <c r="N17" i="14668"/>
  <c r="B7" i="14678"/>
  <c r="L7" i="14678"/>
  <c r="M31" i="14674"/>
  <c r="L31" i="14674"/>
  <c r="K7" i="14678"/>
  <c r="E31" i="14674"/>
  <c r="D7" i="14678"/>
  <c r="G31" i="14674"/>
  <c r="F7" i="14678"/>
  <c r="J31" i="14674"/>
  <c r="I7" i="14678"/>
  <c r="J22" i="14669"/>
  <c r="G41" i="14688"/>
  <c r="E39" i="14639"/>
  <c r="E40" i="14639"/>
  <c r="I53" i="14694"/>
  <c r="C21" i="14661"/>
  <c r="B9" i="14667"/>
  <c r="C12" i="14626"/>
  <c r="C9" i="14626" s="1"/>
  <c r="G11" i="14661"/>
  <c r="F8" i="14661"/>
  <c r="I12" i="14661"/>
  <c r="F6" i="14682"/>
  <c r="F24" i="14682" s="1"/>
  <c r="E24" i="14682"/>
  <c r="B67" i="14649"/>
  <c r="B50" i="14649"/>
  <c r="B58" i="14649"/>
  <c r="E39" i="14665"/>
  <c r="F12" i="14665"/>
  <c r="F39" i="14665" s="1"/>
  <c r="E5" i="14640"/>
  <c r="E27" i="14681"/>
  <c r="B33" i="14669"/>
  <c r="B19" i="14669"/>
  <c r="N7" i="14669"/>
  <c r="I10" i="14683" s="1"/>
  <c r="J10" i="14683" s="1"/>
  <c r="F34" i="14675"/>
  <c r="E10" i="14679"/>
  <c r="F21" i="14669"/>
  <c r="F35" i="14669"/>
  <c r="N9" i="14669"/>
  <c r="I12" i="14683" s="1"/>
  <c r="J12" i="14683" s="1"/>
  <c r="H35" i="14678"/>
  <c r="H39" i="14668"/>
  <c r="H9" i="14670" s="1"/>
  <c r="I5" i="14674"/>
  <c r="J5" i="14640"/>
  <c r="J27" i="14681"/>
  <c r="K5" i="14640"/>
  <c r="K27" i="14681"/>
  <c r="M15" i="14638"/>
  <c r="Q24" i="14638"/>
  <c r="M5" i="14640"/>
  <c r="M27" i="14681"/>
  <c r="H30" i="14647"/>
  <c r="D5" i="14640"/>
  <c r="D27" i="14681"/>
  <c r="B69" i="14643"/>
  <c r="C56" i="14637"/>
  <c r="G56" i="14637"/>
  <c r="L56" i="14637"/>
  <c r="M56" i="14637"/>
  <c r="B56" i="14637"/>
  <c r="H56" i="14637"/>
  <c r="I56" i="14637"/>
  <c r="J56" i="14637"/>
  <c r="E26" i="14683"/>
  <c r="H26" i="14683" s="1"/>
  <c r="D56" i="14637"/>
  <c r="E56" i="14637"/>
  <c r="F56" i="14637"/>
  <c r="K56" i="14637"/>
  <c r="I38" i="14674"/>
  <c r="H14" i="14678"/>
  <c r="B44" i="14693"/>
  <c r="N41" i="14693"/>
  <c r="H16" i="14633"/>
  <c r="H8" i="14634"/>
  <c r="F16" i="14633"/>
  <c r="F8" i="14634"/>
  <c r="B58" i="14693"/>
  <c r="N58" i="14693" s="1"/>
  <c r="N55" i="14693"/>
  <c r="F8" i="14674"/>
  <c r="F16" i="14676"/>
  <c r="J8" i="14639"/>
  <c r="G8" i="14674"/>
  <c r="G16" i="14676"/>
  <c r="K16" i="14641"/>
  <c r="B54" i="14694"/>
  <c r="C48" i="14648"/>
  <c r="G53" i="14637"/>
  <c r="H53" i="14637"/>
  <c r="M53" i="14637"/>
  <c r="B66" i="14643"/>
  <c r="D53" i="14637"/>
  <c r="B53" i="14637"/>
  <c r="J53" i="14637"/>
  <c r="K53" i="14637"/>
  <c r="L53" i="14637"/>
  <c r="I53" i="14637"/>
  <c r="C53" i="14637"/>
  <c r="E23" i="14683"/>
  <c r="F53" i="14637"/>
  <c r="E53" i="14637"/>
  <c r="E15" i="14638"/>
  <c r="I24" i="14638"/>
  <c r="E40" i="14683"/>
  <c r="D68" i="14643"/>
  <c r="H41" i="14638"/>
  <c r="J34" i="14669"/>
  <c r="J20" i="14669"/>
  <c r="K39" i="14678"/>
  <c r="P24" i="14638"/>
  <c r="D24" i="14678" s="1"/>
  <c r="L15" i="14638"/>
  <c r="N36" i="14675"/>
  <c r="M12" i="14679"/>
  <c r="D36" i="14669"/>
  <c r="D22" i="14669"/>
  <c r="N10" i="14669"/>
  <c r="I13" i="14683" s="1"/>
  <c r="C30" i="14686"/>
  <c r="D31" i="14648"/>
  <c r="B35" i="14678"/>
  <c r="N33" i="14668"/>
  <c r="D34" i="14669"/>
  <c r="D20" i="14669"/>
  <c r="N8" i="14669"/>
  <c r="I11" i="14683" s="1"/>
  <c r="J11" i="14683" s="1"/>
  <c r="E10" i="14678"/>
  <c r="F34" i="14674"/>
  <c r="H19" i="14669"/>
  <c r="H33" i="14669"/>
  <c r="M41" i="14638"/>
  <c r="H44" i="14647"/>
  <c r="H8" i="14679"/>
  <c r="I32" i="14675"/>
  <c r="K32" i="14675"/>
  <c r="J8" i="14679"/>
  <c r="F8" i="14679"/>
  <c r="G32" i="14675"/>
  <c r="B8" i="14679"/>
  <c r="C32" i="14675"/>
  <c r="L32" i="14675"/>
  <c r="K8" i="14679"/>
  <c r="D69" i="14643"/>
  <c r="E41" i="14683"/>
  <c r="H41" i="14683" s="1"/>
  <c r="I11" i="14678"/>
  <c r="J35" i="14674"/>
  <c r="I41" i="14678"/>
  <c r="L41" i="14678"/>
  <c r="G8" i="14639"/>
  <c r="G16" i="14641"/>
  <c r="L8" i="14628"/>
  <c r="L9" i="14628" s="1"/>
  <c r="L16" i="14625"/>
  <c r="B23" i="14693"/>
  <c r="N20" i="14693"/>
  <c r="G8" i="14675"/>
  <c r="G16" i="14677"/>
  <c r="K16" i="14633"/>
  <c r="K8" i="14634"/>
  <c r="J8" i="14674"/>
  <c r="J16" i="14676"/>
  <c r="B30" i="14693"/>
  <c r="N27" i="14693"/>
  <c r="C30" i="14648"/>
  <c r="O30" i="14648" s="1"/>
  <c r="B38" i="14694"/>
  <c r="N37" i="14694"/>
  <c r="C21" i="14648"/>
  <c r="N29" i="14694"/>
  <c r="B30" i="14694"/>
  <c r="C55" i="14637"/>
  <c r="L55" i="14637"/>
  <c r="E25" i="14683"/>
  <c r="K55" i="14637"/>
  <c r="G55" i="14637"/>
  <c r="B55" i="14637"/>
  <c r="J55" i="14637"/>
  <c r="F55" i="14637"/>
  <c r="M55" i="14637"/>
  <c r="I55" i="14637"/>
  <c r="E55" i="14637"/>
  <c r="D55" i="14637"/>
  <c r="H55" i="14637"/>
  <c r="B68" i="14643"/>
  <c r="O35" i="14639"/>
  <c r="G39" i="14639"/>
  <c r="H15" i="14638"/>
  <c r="L24" i="14638"/>
  <c r="H5" i="14640"/>
  <c r="H27" i="14681"/>
  <c r="J14" i="14679"/>
  <c r="K38" i="14675"/>
  <c r="K37" i="14669"/>
  <c r="K23" i="14669"/>
  <c r="N11" i="14669"/>
  <c r="I14" i="14683" s="1"/>
  <c r="M35" i="14678"/>
  <c r="N5" i="14674"/>
  <c r="M39" i="14668"/>
  <c r="M9" i="14670" s="1"/>
  <c r="M12" i="14678"/>
  <c r="N36" i="14674"/>
  <c r="D34" i="14678"/>
  <c r="E5" i="14674"/>
  <c r="D39" i="14668"/>
  <c r="D9" i="14670" s="1"/>
  <c r="N32" i="14668"/>
  <c r="D12" i="14678"/>
  <c r="E36" i="14674"/>
  <c r="N22" i="14668"/>
  <c r="E34" i="14678"/>
  <c r="E12" i="14678"/>
  <c r="F36" i="14674"/>
  <c r="N25" i="14638"/>
  <c r="B25" i="14678" s="1"/>
  <c r="M24" i="14638"/>
  <c r="I15" i="14638"/>
  <c r="N50" i="14686"/>
  <c r="L37" i="14667" s="1"/>
  <c r="G37" i="14701" s="1"/>
  <c r="K24" i="14686"/>
  <c r="N26" i="14686"/>
  <c r="D37" i="14667" s="1"/>
  <c r="O50" i="14648"/>
  <c r="O32" i="14648"/>
  <c r="O22" i="14636"/>
  <c r="D20" i="14682" s="1"/>
  <c r="O22" i="14672"/>
  <c r="E20" i="14682" s="1"/>
  <c r="N40" i="14678"/>
  <c r="N44" i="14686"/>
  <c r="J37" i="14667" s="1"/>
  <c r="F37" i="14701" s="1"/>
  <c r="K19" i="14674"/>
  <c r="J5" i="14674"/>
  <c r="O14" i="14648"/>
  <c r="M8" i="14634"/>
  <c r="E8" i="14628"/>
  <c r="J8" i="14634"/>
  <c r="N8" i="14634"/>
  <c r="O22" i="14673"/>
  <c r="F20" i="14682" s="1"/>
  <c r="N14" i="14638"/>
  <c r="O38" i="14639"/>
  <c r="J22" i="14648"/>
  <c r="I24" i="14686"/>
  <c r="D10" i="14678"/>
  <c r="E34" i="14674"/>
  <c r="F37" i="14678"/>
  <c r="N37" i="14678" s="1"/>
  <c r="N35" i="14668"/>
  <c r="G35" i="14674"/>
  <c r="F11" i="14678"/>
  <c r="N21" i="14668"/>
  <c r="I33" i="14674"/>
  <c r="H9" i="14678"/>
  <c r="J15" i="14638"/>
  <c r="N24" i="14638"/>
  <c r="B24" i="14678" s="1"/>
  <c r="O25" i="14638"/>
  <c r="C25" i="14678" s="1"/>
  <c r="K15" i="14638"/>
  <c r="O24" i="14638"/>
  <c r="C24" i="14678" s="1"/>
  <c r="L39" i="14639"/>
  <c r="L36" i="14669"/>
  <c r="L22" i="14669"/>
  <c r="H15" i="14647"/>
  <c r="D15" i="14638"/>
  <c r="N8" i="14638"/>
  <c r="H24" i="14638"/>
  <c r="I21" i="14669"/>
  <c r="I35" i="14669"/>
  <c r="G41" i="14678"/>
  <c r="C41" i="14678"/>
  <c r="J41" i="14678"/>
  <c r="I41" i="14647"/>
  <c r="J41" i="14647" s="1"/>
  <c r="F8" i="14675"/>
  <c r="F16" i="14677"/>
  <c r="B51" i="14693"/>
  <c r="N48" i="14693"/>
  <c r="N16" i="14641"/>
  <c r="N8" i="14639"/>
  <c r="I16" i="14625"/>
  <c r="I8" i="14628"/>
  <c r="L16" i="14633"/>
  <c r="L8" i="14634"/>
  <c r="L9" i="14634" s="1"/>
  <c r="H8" i="14674"/>
  <c r="H16" i="14676"/>
  <c r="N16" i="14625"/>
  <c r="N8" i="14628"/>
  <c r="B37" i="14693"/>
  <c r="N34" i="14693"/>
  <c r="B22" i="14694"/>
  <c r="C12" i="14648"/>
  <c r="C15" i="14648" s="1"/>
  <c r="N9" i="14638"/>
  <c r="F41" i="14638"/>
  <c r="N37" i="14638"/>
  <c r="J10" i="14678"/>
  <c r="K34" i="14674"/>
  <c r="K38" i="14674"/>
  <c r="J14" i="14678"/>
  <c r="K13" i="14678"/>
  <c r="L37" i="14674"/>
  <c r="D18" i="14669"/>
  <c r="D32" i="14669"/>
  <c r="N6" i="14669"/>
  <c r="I9" i="14683" s="1"/>
  <c r="J9" i="14683" s="1"/>
  <c r="F36" i="14675"/>
  <c r="E12" i="14679"/>
  <c r="E43" i="14683"/>
  <c r="H43" i="14683" s="1"/>
  <c r="D71" i="14643"/>
  <c r="F40" i="14648"/>
  <c r="E36" i="14686"/>
  <c r="C40" i="14648"/>
  <c r="B36" i="14686"/>
  <c r="N37" i="14686"/>
  <c r="I27" i="14681"/>
  <c r="I5" i="14640"/>
  <c r="C33" i="14674"/>
  <c r="N19" i="14668"/>
  <c r="B9" i="14678"/>
  <c r="J41" i="14638"/>
  <c r="N39" i="14638"/>
  <c r="K41" i="14638"/>
  <c r="L12" i="14678"/>
  <c r="M36" i="14674"/>
  <c r="D32" i="14675"/>
  <c r="C8" i="14679"/>
  <c r="I8" i="14679"/>
  <c r="J32" i="14675"/>
  <c r="M8" i="14679"/>
  <c r="N32" i="14675"/>
  <c r="G8" i="14679"/>
  <c r="H32" i="14675"/>
  <c r="L8" i="14679"/>
  <c r="M32" i="14675"/>
  <c r="D41" i="14638"/>
  <c r="H24" i="14669"/>
  <c r="H38" i="14669"/>
  <c r="N12" i="14669"/>
  <c r="I15" i="14683" s="1"/>
  <c r="I54" i="14694"/>
  <c r="J16" i="14677" s="1"/>
  <c r="J48" i="14648"/>
  <c r="J52" i="14694"/>
  <c r="J51" i="14694"/>
  <c r="K50" i="14694"/>
  <c r="D8" i="14634"/>
  <c r="D16" i="14633"/>
  <c r="G16" i="14633"/>
  <c r="G8" i="14634"/>
  <c r="I16" i="14641"/>
  <c r="I8" i="14639"/>
  <c r="M16" i="14625"/>
  <c r="M8" i="14628"/>
  <c r="D16" i="14677"/>
  <c r="D8" i="14675"/>
  <c r="E16" i="14641"/>
  <c r="E8" i="14639"/>
  <c r="E8" i="14675"/>
  <c r="E16" i="14677"/>
  <c r="I16" i="14676"/>
  <c r="I8" i="14674"/>
  <c r="C39" i="14648"/>
  <c r="O39" i="14648" s="1"/>
  <c r="B46" i="14694"/>
  <c r="N45" i="14694"/>
  <c r="D8" i="14628"/>
  <c r="D16" i="14625"/>
  <c r="B41" i="14638"/>
  <c r="B67" i="14643"/>
  <c r="E54" i="14637"/>
  <c r="K54" i="14637"/>
  <c r="G54" i="14637"/>
  <c r="D54" i="14637"/>
  <c r="H54" i="14637"/>
  <c r="L54" i="14637"/>
  <c r="B54" i="14637"/>
  <c r="E24" i="14683"/>
  <c r="I54" i="14637"/>
  <c r="M54" i="14637"/>
  <c r="F54" i="14637"/>
  <c r="C54" i="14637"/>
  <c r="J54" i="14637"/>
  <c r="F27" i="14681"/>
  <c r="F5" i="14640"/>
  <c r="F15" i="14638"/>
  <c r="J24" i="14638"/>
  <c r="N11" i="14638"/>
  <c r="L41" i="14638"/>
  <c r="M33" i="14669"/>
  <c r="M19" i="14669"/>
  <c r="N33" i="14674"/>
  <c r="M9" i="14678"/>
  <c r="D25" i="14668"/>
  <c r="E19" i="14674"/>
  <c r="D8" i="14678"/>
  <c r="E32" i="14674"/>
  <c r="D38" i="14678"/>
  <c r="E18" i="14669"/>
  <c r="E32" i="14669"/>
  <c r="E25" i="14668"/>
  <c r="F19" i="14674"/>
  <c r="F32" i="14674"/>
  <c r="E8" i="14678"/>
  <c r="E28" i="14683"/>
  <c r="H28" i="14683" s="1"/>
  <c r="L58" i="14637"/>
  <c r="B71" i="14643"/>
  <c r="H58" i="14637"/>
  <c r="C58" i="14637"/>
  <c r="I58" i="14637"/>
  <c r="M58" i="14637"/>
  <c r="B58" i="14637"/>
  <c r="D58" i="14637"/>
  <c r="G58" i="14637"/>
  <c r="J58" i="14637"/>
  <c r="F58" i="14637"/>
  <c r="E58" i="14637"/>
  <c r="K58" i="14637"/>
  <c r="O19" i="14633"/>
  <c r="D20" i="14684" s="1"/>
  <c r="I19" i="14674"/>
  <c r="H25" i="14668"/>
  <c r="N12" i="14638"/>
  <c r="O36" i="14639"/>
  <c r="O41" i="14648"/>
  <c r="O33" i="14639"/>
  <c r="O32" i="14639"/>
  <c r="N38" i="14668"/>
  <c r="O13" i="14648"/>
  <c r="K25" i="14668"/>
  <c r="G19" i="14674"/>
  <c r="I39" i="14668"/>
  <c r="I9" i="14670" s="1"/>
  <c r="L39" i="14668"/>
  <c r="L9" i="14670" s="1"/>
  <c r="M5" i="14674"/>
  <c r="F39" i="14668"/>
  <c r="F9" i="14670" s="1"/>
  <c r="I16" i="14677"/>
  <c r="O23" i="14648"/>
  <c r="M16" i="14676"/>
  <c r="J16" i="14625"/>
  <c r="N24" i="14668"/>
  <c r="C8" i="14701"/>
  <c r="F8" i="14667"/>
  <c r="B44" i="14683"/>
  <c r="D46" i="14643"/>
  <c r="F39" i="14643"/>
  <c r="G39" i="14643" s="1"/>
  <c r="N51" i="14645"/>
  <c r="B51" i="14645"/>
  <c r="A51" i="14645"/>
  <c r="C51" i="14645"/>
  <c r="E10" i="14701"/>
  <c r="J10" i="14667"/>
  <c r="D106" i="14645"/>
  <c r="A97" i="14645"/>
  <c r="N97" i="14645"/>
  <c r="C27" i="14701"/>
  <c r="F21" i="14689"/>
  <c r="G13" i="14688"/>
  <c r="C14" i="14692"/>
  <c r="C84" i="14692" s="1"/>
  <c r="E11" i="14692"/>
  <c r="E14" i="14692" s="1"/>
  <c r="E84" i="14692" s="1"/>
  <c r="J8" i="14675" l="1"/>
  <c r="C39" i="14639"/>
  <c r="C41" i="14639" s="1"/>
  <c r="N36" i="14668"/>
  <c r="N23" i="14668"/>
  <c r="C19" i="14674"/>
  <c r="N72" i="14653"/>
  <c r="B27" i="14681"/>
  <c r="N9" i="14640"/>
  <c r="G11" i="14617" s="1"/>
  <c r="X14" i="14709" s="1"/>
  <c r="N25" i="14637"/>
  <c r="F59" i="14637" s="1"/>
  <c r="F16" i="14624"/>
  <c r="F15" i="14624"/>
  <c r="F18" i="14624" s="1"/>
  <c r="C11" i="14704"/>
  <c r="D52" i="14712"/>
  <c r="D64" i="14712" s="1"/>
  <c r="L16" i="14676"/>
  <c r="E50" i="14636"/>
  <c r="E6" i="14639" s="1"/>
  <c r="E9" i="14639" s="1"/>
  <c r="D19" i="14674"/>
  <c r="O19" i="14674" s="1"/>
  <c r="I25" i="14638"/>
  <c r="E8" i="14634"/>
  <c r="E42" i="14683"/>
  <c r="H42" i="14683" s="1"/>
  <c r="H8" i="14639"/>
  <c r="F5" i="14674"/>
  <c r="C25" i="14668"/>
  <c r="C36" i="14681" s="1"/>
  <c r="N38" i="14694"/>
  <c r="N38" i="14678"/>
  <c r="E39" i="14668"/>
  <c r="E9" i="14670" s="1"/>
  <c r="I16" i="14633"/>
  <c r="H8" i="14628"/>
  <c r="H8" i="14675"/>
  <c r="G8" i="14628"/>
  <c r="K57" i="14637"/>
  <c r="Q25" i="14638"/>
  <c r="E25" i="14678" s="1"/>
  <c r="N15" i="14709"/>
  <c r="M49" i="14638"/>
  <c r="N8" i="14674"/>
  <c r="K16" i="14676"/>
  <c r="B57" i="14637"/>
  <c r="L25" i="14638"/>
  <c r="B70" i="14643"/>
  <c r="B72" i="14643" s="1"/>
  <c r="C67" i="14643" s="1"/>
  <c r="D8" i="14639"/>
  <c r="M25" i="14638"/>
  <c r="R25" i="14638"/>
  <c r="F25" i="14678" s="1"/>
  <c r="J25" i="14638"/>
  <c r="L8" i="14639"/>
  <c r="L9" i="14639" s="1"/>
  <c r="J50" i="14636"/>
  <c r="J6" i="14639" s="1"/>
  <c r="J9" i="14639" s="1"/>
  <c r="N30" i="14694"/>
  <c r="N34" i="14668"/>
  <c r="D80" i="14643" s="1"/>
  <c r="K25" i="14638"/>
  <c r="M16" i="14641"/>
  <c r="N39" i="14678"/>
  <c r="K50" i="14636"/>
  <c r="K6" i="14639" s="1"/>
  <c r="K9" i="14639" s="1"/>
  <c r="F43" i="14652"/>
  <c r="F61" i="14647"/>
  <c r="F78" i="14647" s="1"/>
  <c r="N46" i="14694"/>
  <c r="F26" i="14695"/>
  <c r="F37" i="14695" s="1"/>
  <c r="O27" i="14695"/>
  <c r="F12" i="14701"/>
  <c r="L12" i="14667"/>
  <c r="G12" i="14701" s="1"/>
  <c r="F24" i="14638"/>
  <c r="N10" i="14638"/>
  <c r="C15" i="14638"/>
  <c r="G25" i="14638"/>
  <c r="N54" i="14630"/>
  <c r="L12" i="14628"/>
  <c r="L20" i="14628" s="1"/>
  <c r="L21" i="14628" s="1"/>
  <c r="C34" i="14675"/>
  <c r="K9" i="14628"/>
  <c r="K12" i="14628" s="1"/>
  <c r="K20" i="14628" s="1"/>
  <c r="K21" i="14628" s="1"/>
  <c r="O19" i="14639"/>
  <c r="J52" i="14668"/>
  <c r="D52" i="14668"/>
  <c r="F51" i="14643"/>
  <c r="G51" i="14643" s="1"/>
  <c r="C41" i="14634"/>
  <c r="E42" i="14634" s="1"/>
  <c r="E11" i="14634" s="1"/>
  <c r="K42" i="14634"/>
  <c r="K11" i="14634" s="1"/>
  <c r="D10" i="14657"/>
  <c r="N20" i="14668"/>
  <c r="L54" i="14668" s="1"/>
  <c r="C5" i="14674"/>
  <c r="K16" i="14625"/>
  <c r="I19" i="14661"/>
  <c r="J19" i="14661" s="1"/>
  <c r="K46" i="14624"/>
  <c r="B25" i="14668"/>
  <c r="B5" i="14670" s="1"/>
  <c r="B39" i="14668"/>
  <c r="B9" i="14670" s="1"/>
  <c r="O38" i="14674"/>
  <c r="F8" i="14628"/>
  <c r="F16" i="14625"/>
  <c r="O49" i="14648"/>
  <c r="H57" i="14637"/>
  <c r="E57" i="14637"/>
  <c r="F57" i="14637"/>
  <c r="M57" i="14637"/>
  <c r="E39" i="14683"/>
  <c r="F26" i="14701"/>
  <c r="C39" i="14668"/>
  <c r="C9" i="14670" s="1"/>
  <c r="N39" i="14637"/>
  <c r="E14" i="14657" s="1"/>
  <c r="A50" i="14665"/>
  <c r="B49" i="14665"/>
  <c r="G57" i="14665" s="1"/>
  <c r="B10" i="14678"/>
  <c r="N10" i="14678" s="1"/>
  <c r="C34" i="14674"/>
  <c r="C39" i="14674" s="1"/>
  <c r="B30" i="14637"/>
  <c r="B16" i="14637"/>
  <c r="B50" i="14637"/>
  <c r="B32" i="14678"/>
  <c r="N19" i="14678"/>
  <c r="N45" i="14678" s="1"/>
  <c r="B19" i="14678"/>
  <c r="B45" i="14678" s="1"/>
  <c r="C30" i="14639"/>
  <c r="C18" i="14639"/>
  <c r="C18" i="14674"/>
  <c r="C30" i="14674"/>
  <c r="O30" i="14703"/>
  <c r="K30" i="14703"/>
  <c r="O12" i="14648"/>
  <c r="O37" i="14639"/>
  <c r="D57" i="14637"/>
  <c r="G57" i="14637"/>
  <c r="J57" i="14637"/>
  <c r="N37" i="14668"/>
  <c r="H25" i="14638"/>
  <c r="D5" i="14674"/>
  <c r="C37" i="14674"/>
  <c r="C40" i="14674" s="1"/>
  <c r="B13" i="14678"/>
  <c r="B30" i="14630"/>
  <c r="B16" i="14630"/>
  <c r="B50" i="14630"/>
  <c r="B50" i="14668"/>
  <c r="B16" i="14668"/>
  <c r="B30" i="14668"/>
  <c r="B19" i="14632"/>
  <c r="B45" i="14632" s="1"/>
  <c r="B32" i="14632"/>
  <c r="N19" i="14632"/>
  <c r="N45" i="14632" s="1"/>
  <c r="B26" i="14681"/>
  <c r="B35" i="14681"/>
  <c r="B17" i="14681"/>
  <c r="B44" i="14681"/>
  <c r="B50" i="7"/>
  <c r="B30" i="7"/>
  <c r="B16" i="7"/>
  <c r="C43" i="14663"/>
  <c r="C15" i="14663"/>
  <c r="C26" i="14663"/>
  <c r="C54" i="14663"/>
  <c r="C37" i="14663"/>
  <c r="C32" i="14663"/>
  <c r="C48" i="14663"/>
  <c r="C59" i="14663"/>
  <c r="C21" i="14663"/>
  <c r="N19" i="14679"/>
  <c r="N45" i="14679" s="1"/>
  <c r="B32" i="14679"/>
  <c r="B19" i="14679"/>
  <c r="B45" i="14679" s="1"/>
  <c r="B24" i="14653"/>
  <c r="B37" i="14653"/>
  <c r="B11" i="14653"/>
  <c r="C18" i="14634"/>
  <c r="C30" i="14634"/>
  <c r="C57" i="14637"/>
  <c r="L57" i="14637"/>
  <c r="I57" i="14637"/>
  <c r="N13" i="14638"/>
  <c r="O31" i="14648"/>
  <c r="H41" i="14639"/>
  <c r="O19" i="14677"/>
  <c r="G20" i="14684" s="1"/>
  <c r="F7" i="14655"/>
  <c r="D18" i="14645"/>
  <c r="D75" i="14645" s="1"/>
  <c r="D29" i="14645"/>
  <c r="D86" i="14645" s="1"/>
  <c r="D7" i="14645"/>
  <c r="D64" i="14645" s="1"/>
  <c r="D40" i="14645"/>
  <c r="C4" i="7"/>
  <c r="C108" i="14645" s="1"/>
  <c r="C4" i="8"/>
  <c r="C4" i="14669"/>
  <c r="C4" i="14631"/>
  <c r="C4" i="14653"/>
  <c r="C6" i="14679"/>
  <c r="D10" i="14663"/>
  <c r="D7" i="14673"/>
  <c r="D26" i="14673" s="1"/>
  <c r="D4" i="14625"/>
  <c r="D4" i="14639"/>
  <c r="D4" i="14674"/>
  <c r="C8" i="14681"/>
  <c r="D7" i="14636"/>
  <c r="D26" i="14636" s="1"/>
  <c r="D7" i="14629"/>
  <c r="D26" i="14629" s="1"/>
  <c r="C6" i="14623"/>
  <c r="C4" i="14630"/>
  <c r="C4" i="14670"/>
  <c r="D7" i="14624"/>
  <c r="D26" i="14624" s="1"/>
  <c r="D7" i="14672"/>
  <c r="D26" i="14672" s="1"/>
  <c r="D4" i="14628"/>
  <c r="C6" i="14632"/>
  <c r="D4" i="14675"/>
  <c r="C6" i="14638"/>
  <c r="C4" i="14640"/>
  <c r="C4" i="14668"/>
  <c r="C4" i="14671"/>
  <c r="C6" i="14678"/>
  <c r="D4" i="14676"/>
  <c r="C4" i="14637"/>
  <c r="D4" i="14641"/>
  <c r="D4" i="14633"/>
  <c r="D4" i="14634"/>
  <c r="D4" i="14677"/>
  <c r="B50" i="14669"/>
  <c r="B30" i="14669"/>
  <c r="B16" i="14669"/>
  <c r="C30" i="14675"/>
  <c r="C18" i="14675"/>
  <c r="B19" i="14638"/>
  <c r="B45" i="14638" s="1"/>
  <c r="B32" i="14638"/>
  <c r="N19" i="14638"/>
  <c r="N45" i="14638" s="1"/>
  <c r="B19" i="14623"/>
  <c r="B45" i="14623" s="1"/>
  <c r="N19" i="14623"/>
  <c r="N45" i="14623" s="1"/>
  <c r="B32" i="14623"/>
  <c r="C30" i="14628"/>
  <c r="C18" i="14628"/>
  <c r="D37" i="14674"/>
  <c r="C13" i="14678"/>
  <c r="F22" i="14683"/>
  <c r="L9" i="14674"/>
  <c r="H39" i="14674"/>
  <c r="L41" i="14639"/>
  <c r="J39" i="14674"/>
  <c r="J36" i="14681"/>
  <c r="M19" i="14675"/>
  <c r="D50" i="14629"/>
  <c r="D6" i="14634" s="1"/>
  <c r="D9" i="14634" s="1"/>
  <c r="E46" i="14629"/>
  <c r="K39" i="14674"/>
  <c r="H52" i="14668"/>
  <c r="F41" i="14639"/>
  <c r="F66" i="14643"/>
  <c r="N52" i="14630"/>
  <c r="K52" i="14668"/>
  <c r="F52" i="14668"/>
  <c r="G52" i="14668"/>
  <c r="I52" i="14668"/>
  <c r="G22" i="14683"/>
  <c r="H22" i="14683" s="1"/>
  <c r="B78" i="14643"/>
  <c r="C52" i="14668"/>
  <c r="B52" i="14668"/>
  <c r="E52" i="14668"/>
  <c r="L52" i="14668"/>
  <c r="C59" i="14630"/>
  <c r="H42" i="14634"/>
  <c r="H11" i="14634" s="1"/>
  <c r="D59" i="14630"/>
  <c r="K59" i="14630"/>
  <c r="F36" i="14681"/>
  <c r="F15" i="14678"/>
  <c r="M41" i="14639"/>
  <c r="N39" i="14674"/>
  <c r="N42" i="14634"/>
  <c r="N11" i="14634" s="1"/>
  <c r="L12" i="14634" s="1"/>
  <c r="L20" i="14634" s="1"/>
  <c r="L21" i="14634" s="1"/>
  <c r="N48" i="14686"/>
  <c r="J59" i="14630"/>
  <c r="B59" i="14630"/>
  <c r="I59" i="14630"/>
  <c r="H59" i="14630"/>
  <c r="E59" i="14630"/>
  <c r="G59" i="14630"/>
  <c r="F65" i="14643"/>
  <c r="G65" i="14643" s="1"/>
  <c r="F59" i="14630"/>
  <c r="M59" i="14630"/>
  <c r="L59" i="14630"/>
  <c r="C41" i="14643"/>
  <c r="W14" i="14709"/>
  <c r="C40" i="14643"/>
  <c r="C23" i="14643"/>
  <c r="C24" i="14643" s="1"/>
  <c r="D19" i="14675"/>
  <c r="N52" i="14637"/>
  <c r="E37" i="14701"/>
  <c r="N41" i="14632"/>
  <c r="B59" i="14643"/>
  <c r="C53" i="14643" s="1"/>
  <c r="G22" i="14626"/>
  <c r="G21" i="14626" s="1"/>
  <c r="F15" i="14691"/>
  <c r="F17" i="14691" s="1"/>
  <c r="F11" i="14617"/>
  <c r="M5" i="14670"/>
  <c r="I25" i="14669"/>
  <c r="I45" i="14681" s="1"/>
  <c r="C43" i="14643"/>
  <c r="C39" i="14643"/>
  <c r="C38" i="14643"/>
  <c r="C42" i="14643"/>
  <c r="C45" i="14643"/>
  <c r="N53" i="14630"/>
  <c r="F53" i="14643"/>
  <c r="G53" i="14643" s="1"/>
  <c r="O21" i="14648"/>
  <c r="O19" i="14625"/>
  <c r="C20" i="14684" s="1"/>
  <c r="N22" i="14694"/>
  <c r="O22" i="14648"/>
  <c r="N24" i="14686"/>
  <c r="L28" i="14667"/>
  <c r="G28" i="14701" s="1"/>
  <c r="F28" i="14701"/>
  <c r="J49" i="14638"/>
  <c r="B25" i="14669"/>
  <c r="B45" i="14681" s="1"/>
  <c r="H19" i="14675"/>
  <c r="C25" i="14669"/>
  <c r="C5" i="14671" s="1"/>
  <c r="O19" i="14641"/>
  <c r="E20" i="14684" s="1"/>
  <c r="N18" i="14686"/>
  <c r="N42" i="14686"/>
  <c r="E49" i="14638"/>
  <c r="E9" i="14634"/>
  <c r="M40" i="14674"/>
  <c r="M49" i="14678"/>
  <c r="J49" i="14678"/>
  <c r="O49" i="14678"/>
  <c r="C49" i="14679" s="1"/>
  <c r="P49" i="14638"/>
  <c r="D49" i="14678" s="1"/>
  <c r="B22" i="11"/>
  <c r="D40" i="14674"/>
  <c r="R25" i="14678"/>
  <c r="F25" i="14679" s="1"/>
  <c r="O49" i="14638"/>
  <c r="C49" i="14678" s="1"/>
  <c r="N49" i="14638"/>
  <c r="B49" i="14678" s="1"/>
  <c r="N14" i="14678"/>
  <c r="I49" i="14638"/>
  <c r="F49" i="14678"/>
  <c r="L49" i="14678"/>
  <c r="N30" i="14686"/>
  <c r="B18" i="11"/>
  <c r="B33" i="14667" s="1"/>
  <c r="D39" i="14674"/>
  <c r="C50" i="14636"/>
  <c r="C6" i="14639" s="1"/>
  <c r="G49" i="14638"/>
  <c r="K49" i="14638"/>
  <c r="B28" i="14647"/>
  <c r="I28" i="14647" s="1"/>
  <c r="J28" i="14647" s="1"/>
  <c r="F49" i="14638"/>
  <c r="N5" i="14631"/>
  <c r="D7" i="14617" s="1"/>
  <c r="D40" i="14712" s="1"/>
  <c r="D46" i="14712" s="1"/>
  <c r="L15" i="14678"/>
  <c r="G8" i="14661"/>
  <c r="G21" i="14661" s="1"/>
  <c r="D17" i="14657" s="1"/>
  <c r="L25" i="14669"/>
  <c r="L45" i="14681" s="1"/>
  <c r="G25" i="14669"/>
  <c r="G5" i="14671" s="1"/>
  <c r="L25" i="14678"/>
  <c r="I5" i="14670"/>
  <c r="K24" i="14678"/>
  <c r="G15" i="14678"/>
  <c r="J25" i="14669"/>
  <c r="J5" i="14671" s="1"/>
  <c r="I39" i="14674"/>
  <c r="F38" i="14683"/>
  <c r="F55" i="14643"/>
  <c r="G55" i="14643" s="1"/>
  <c r="M39" i="14674"/>
  <c r="C44" i="14683"/>
  <c r="D44" i="14683" s="1"/>
  <c r="O35" i="14674"/>
  <c r="K19" i="14675"/>
  <c r="N41" i="14638"/>
  <c r="N59" i="7"/>
  <c r="D59" i="14643"/>
  <c r="E54" i="14643" s="1"/>
  <c r="N55" i="14630"/>
  <c r="L5" i="14670"/>
  <c r="N18" i="14681"/>
  <c r="D24" i="14657" s="1"/>
  <c r="J19" i="14675"/>
  <c r="H9" i="14628"/>
  <c r="H12" i="14628" s="1"/>
  <c r="H20" i="14628" s="1"/>
  <c r="H21" i="14628" s="1"/>
  <c r="E9" i="14628"/>
  <c r="N9" i="14628"/>
  <c r="N12" i="14628" s="1"/>
  <c r="N20" i="14628" s="1"/>
  <c r="N21" i="14628" s="1"/>
  <c r="K9" i="14634"/>
  <c r="K40" i="14674"/>
  <c r="N63" i="14653"/>
  <c r="B63" i="14653"/>
  <c r="F40" i="14683"/>
  <c r="H40" i="14674"/>
  <c r="F25" i="14683"/>
  <c r="F39" i="14683"/>
  <c r="D72" i="14643"/>
  <c r="E65" i="14643" s="1"/>
  <c r="F24" i="14683"/>
  <c r="F25" i="14669"/>
  <c r="F45" i="14681" s="1"/>
  <c r="F23" i="14683"/>
  <c r="G66" i="14643"/>
  <c r="N15" i="14632"/>
  <c r="C19" i="14675"/>
  <c r="L40" i="14674"/>
  <c r="F37" i="14683"/>
  <c r="K25" i="14678"/>
  <c r="J41" i="14639"/>
  <c r="G41" i="14639"/>
  <c r="O39" i="14634"/>
  <c r="C29" i="14683"/>
  <c r="D29" i="14683" s="1"/>
  <c r="J24" i="14678"/>
  <c r="G19" i="14675"/>
  <c r="N51" i="14630"/>
  <c r="N5" i="14640"/>
  <c r="G7" i="14617" s="1"/>
  <c r="N41" i="14639"/>
  <c r="C16" i="4128"/>
  <c r="C16" i="14708" s="1"/>
  <c r="G5" i="14670"/>
  <c r="L19" i="14675"/>
  <c r="N25" i="14678"/>
  <c r="B25" i="14679" s="1"/>
  <c r="M25" i="14669"/>
  <c r="M45" i="14681" s="1"/>
  <c r="K41" i="14639"/>
  <c r="J40" i="14674"/>
  <c r="G40" i="14674"/>
  <c r="I40" i="14674"/>
  <c r="D41" i="14639"/>
  <c r="I41" i="14639"/>
  <c r="N40" i="14674"/>
  <c r="D43" i="14652"/>
  <c r="D61" i="14647"/>
  <c r="D78" i="14647" s="1"/>
  <c r="D93" i="14647" s="1"/>
  <c r="C31" i="14647"/>
  <c r="B33" i="14710"/>
  <c r="I33" i="14710" s="1"/>
  <c r="J33" i="14710" s="1"/>
  <c r="C16" i="14647"/>
  <c r="D21" i="14623" s="1"/>
  <c r="M49" i="14632"/>
  <c r="P49" i="14632"/>
  <c r="D49" i="14638" s="1"/>
  <c r="D77" i="14647"/>
  <c r="L49" i="14632"/>
  <c r="N49" i="14632"/>
  <c r="B49" i="14638" s="1"/>
  <c r="J49" i="14632"/>
  <c r="K49" i="14632"/>
  <c r="O49" i="14632"/>
  <c r="C49" i="14638" s="1"/>
  <c r="I49" i="14632"/>
  <c r="H49" i="14632"/>
  <c r="G49" i="14632"/>
  <c r="F49" i="14632"/>
  <c r="E49" i="14632"/>
  <c r="L49" i="14638"/>
  <c r="H49" i="14638"/>
  <c r="H47" i="14632"/>
  <c r="M47" i="14632"/>
  <c r="G47" i="14632"/>
  <c r="F47" i="14632"/>
  <c r="C94" i="14647"/>
  <c r="H47" i="14638" s="1"/>
  <c r="D47" i="14632"/>
  <c r="L47" i="14632"/>
  <c r="N47" i="14632"/>
  <c r="B47" i="14638" s="1"/>
  <c r="J47" i="14632"/>
  <c r="E47" i="14632"/>
  <c r="K47" i="14632"/>
  <c r="C47" i="14632"/>
  <c r="E29" i="14647"/>
  <c r="B13" i="14647"/>
  <c r="I13" i="14647" s="1"/>
  <c r="J13" i="14647" s="1"/>
  <c r="E14" i="14647"/>
  <c r="N38" i="14675"/>
  <c r="M14" i="14679"/>
  <c r="E38" i="14675"/>
  <c r="D14" i="14679"/>
  <c r="G14" i="14679"/>
  <c r="H38" i="14675"/>
  <c r="L38" i="14675"/>
  <c r="K14" i="14679"/>
  <c r="C14" i="14679"/>
  <c r="D38" i="14675"/>
  <c r="E14" i="14679"/>
  <c r="F38" i="14675"/>
  <c r="B14" i="14679"/>
  <c r="C38" i="14675"/>
  <c r="I14" i="14679"/>
  <c r="J38" i="14675"/>
  <c r="G38" i="14675"/>
  <c r="F14" i="14679"/>
  <c r="M38" i="14675"/>
  <c r="L14" i="14679"/>
  <c r="C11" i="14617"/>
  <c r="C7" i="14617"/>
  <c r="C34" i="4128"/>
  <c r="B30" i="14649" s="1"/>
  <c r="B7" i="14704"/>
  <c r="C34" i="14708"/>
  <c r="E13" i="14690"/>
  <c r="E16" i="14690" s="1"/>
  <c r="O40" i="14639"/>
  <c r="D46" i="14624"/>
  <c r="O45" i="14636"/>
  <c r="D9" i="14628"/>
  <c r="N46" i="14629"/>
  <c r="N50" i="14629"/>
  <c r="N6" i="14634" s="1"/>
  <c r="N9" i="14634" s="1"/>
  <c r="F46" i="14624"/>
  <c r="J50" i="14624"/>
  <c r="J6" i="14628" s="1"/>
  <c r="J9" i="14628" s="1"/>
  <c r="J12" i="14628" s="1"/>
  <c r="J20" i="14628" s="1"/>
  <c r="J21" i="14628" s="1"/>
  <c r="J46" i="14624"/>
  <c r="O45" i="14629"/>
  <c r="O46" i="14629" s="1"/>
  <c r="D9" i="14643" s="1"/>
  <c r="J50" i="14673"/>
  <c r="J6" i="14675" s="1"/>
  <c r="J46" i="14673"/>
  <c r="O45" i="14624"/>
  <c r="B44" i="14682" s="1"/>
  <c r="C57" i="14712" s="1"/>
  <c r="C69" i="14712" s="1"/>
  <c r="P27" i="14655"/>
  <c r="D50" i="14636"/>
  <c r="D6" i="14639" s="1"/>
  <c r="D46" i="14636"/>
  <c r="E50" i="14672"/>
  <c r="E6" i="14674" s="1"/>
  <c r="E9" i="14674" s="1"/>
  <c r="E46" i="14672"/>
  <c r="E50" i="14673"/>
  <c r="E6" i="14675" s="1"/>
  <c r="E46" i="14673"/>
  <c r="F50" i="14629"/>
  <c r="F6" i="14634" s="1"/>
  <c r="F9" i="14634" s="1"/>
  <c r="F46" i="14629"/>
  <c r="K50" i="14672"/>
  <c r="K6" i="14674" s="1"/>
  <c r="K9" i="14674" s="1"/>
  <c r="K46" i="14672"/>
  <c r="F50" i="14636"/>
  <c r="F6" i="14639" s="1"/>
  <c r="F9" i="14639" s="1"/>
  <c r="F46" i="14636"/>
  <c r="K46" i="14673"/>
  <c r="K50" i="14673"/>
  <c r="K6" i="14675" s="1"/>
  <c r="F50" i="14672"/>
  <c r="F6" i="14674" s="1"/>
  <c r="F46" i="14672"/>
  <c r="F46" i="14673"/>
  <c r="F50" i="14673"/>
  <c r="F6" i="14675" s="1"/>
  <c r="D50" i="14672"/>
  <c r="D6" i="14674" s="1"/>
  <c r="D46" i="14672"/>
  <c r="N50" i="14636"/>
  <c r="N6" i="14639" s="1"/>
  <c r="N9" i="14639" s="1"/>
  <c r="N46" i="14636"/>
  <c r="D50" i="14673"/>
  <c r="D6" i="14675" s="1"/>
  <c r="D46" i="14673"/>
  <c r="N46" i="14672"/>
  <c r="N50" i="14672"/>
  <c r="N6" i="14674" s="1"/>
  <c r="N9" i="14674" s="1"/>
  <c r="N50" i="14673"/>
  <c r="N6" i="14675" s="1"/>
  <c r="N46" i="14673"/>
  <c r="M46" i="14672"/>
  <c r="M50" i="14672"/>
  <c r="M6" i="14674" s="1"/>
  <c r="M9" i="14674" s="1"/>
  <c r="M46" i="14629"/>
  <c r="M50" i="14629"/>
  <c r="M6" i="14634" s="1"/>
  <c r="M9" i="14634" s="1"/>
  <c r="G46" i="14672"/>
  <c r="G50" i="14672"/>
  <c r="G6" i="14674" s="1"/>
  <c r="G9" i="14674" s="1"/>
  <c r="C46" i="14672"/>
  <c r="C50" i="14672"/>
  <c r="C6" i="14674" s="1"/>
  <c r="M46" i="14673"/>
  <c r="M50" i="14673"/>
  <c r="M6" i="14675" s="1"/>
  <c r="G46" i="14673"/>
  <c r="G50" i="14673"/>
  <c r="G6" i="14675" s="1"/>
  <c r="C46" i="14673"/>
  <c r="C50" i="14673"/>
  <c r="C6" i="14675" s="1"/>
  <c r="M50" i="14636"/>
  <c r="M6" i="14639" s="1"/>
  <c r="M9" i="14639" s="1"/>
  <c r="M46" i="14636"/>
  <c r="G50" i="14629"/>
  <c r="G6" i="14634" s="1"/>
  <c r="G9" i="14634" s="1"/>
  <c r="G46" i="14629"/>
  <c r="C50" i="14629"/>
  <c r="C6" i="14634" s="1"/>
  <c r="C46" i="14629"/>
  <c r="M46" i="14624"/>
  <c r="M50" i="14624"/>
  <c r="M6" i="14628" s="1"/>
  <c r="M9" i="14628" s="1"/>
  <c r="M12" i="14628" s="1"/>
  <c r="M20" i="14628" s="1"/>
  <c r="M21" i="14628" s="1"/>
  <c r="G46" i="14636"/>
  <c r="G50" i="14636"/>
  <c r="G6" i="14639" s="1"/>
  <c r="G9" i="14639" s="1"/>
  <c r="I50" i="14672"/>
  <c r="I6" i="14674" s="1"/>
  <c r="I9" i="14674" s="1"/>
  <c r="I46" i="14672"/>
  <c r="H46" i="14673"/>
  <c r="H50" i="14673"/>
  <c r="O45" i="14673"/>
  <c r="I50" i="14636"/>
  <c r="I6" i="14639" s="1"/>
  <c r="I9" i="14639" s="1"/>
  <c r="I46" i="14636"/>
  <c r="I50" i="14629"/>
  <c r="I6" i="14634" s="1"/>
  <c r="I9" i="14634" s="1"/>
  <c r="I46" i="14629"/>
  <c r="H50" i="14636"/>
  <c r="H6" i="14639" s="1"/>
  <c r="H9" i="14639" s="1"/>
  <c r="H46" i="14636"/>
  <c r="I50" i="14673"/>
  <c r="I6" i="14675" s="1"/>
  <c r="I46" i="14673"/>
  <c r="H46" i="14629"/>
  <c r="H50" i="14629"/>
  <c r="H6" i="14634" s="1"/>
  <c r="H9" i="14634" s="1"/>
  <c r="F42" i="14701"/>
  <c r="L42" i="14667"/>
  <c r="G42" i="14701" s="1"/>
  <c r="I46" i="14624"/>
  <c r="I50" i="14624"/>
  <c r="H50" i="14672"/>
  <c r="O45" i="14672"/>
  <c r="H46" i="14672"/>
  <c r="H10" i="14661"/>
  <c r="J16" i="14667"/>
  <c r="N28" i="14709"/>
  <c r="E16" i="14701"/>
  <c r="G15" i="14624"/>
  <c r="G18" i="14624" s="1"/>
  <c r="G22" i="14624"/>
  <c r="G16" i="14624"/>
  <c r="I17" i="14663"/>
  <c r="H14" i="14624"/>
  <c r="M24" i="14709"/>
  <c r="G21" i="14624"/>
  <c r="G12" i="14624"/>
  <c r="G11" i="14624"/>
  <c r="I16" i="14663"/>
  <c r="H9" i="14624"/>
  <c r="H11" i="14667"/>
  <c r="D11" i="14701"/>
  <c r="N36" i="14686"/>
  <c r="F21" i="14683"/>
  <c r="I11" i="14617"/>
  <c r="F36" i="14683"/>
  <c r="J6" i="14634"/>
  <c r="F9" i="14628"/>
  <c r="F12" i="14628" s="1"/>
  <c r="F20" i="14628" s="1"/>
  <c r="F21" i="14628" s="1"/>
  <c r="D44" i="14682"/>
  <c r="O46" i="14636"/>
  <c r="O40" i="14648"/>
  <c r="C37" i="14701"/>
  <c r="D37" i="14701"/>
  <c r="O41" i="14628"/>
  <c r="E42" i="14628"/>
  <c r="E11" i="14628" s="1"/>
  <c r="F15" i="14701"/>
  <c r="L15" i="14667"/>
  <c r="G15" i="14701" s="1"/>
  <c r="N51" i="14637"/>
  <c r="N27" i="14681"/>
  <c r="E24" i="14657" s="1"/>
  <c r="H61" i="14647"/>
  <c r="H78" i="14647" s="1"/>
  <c r="H93" i="14647" s="1"/>
  <c r="H43" i="14652"/>
  <c r="J33" i="14675"/>
  <c r="I9" i="14679"/>
  <c r="G9" i="14679"/>
  <c r="H33" i="14675"/>
  <c r="K33" i="14675"/>
  <c r="J9" i="14679"/>
  <c r="E33" i="14675"/>
  <c r="D9" i="14679"/>
  <c r="B90" i="14647"/>
  <c r="I90" i="14647" s="1"/>
  <c r="J90" i="14647" s="1"/>
  <c r="G12" i="14679"/>
  <c r="H36" i="14675"/>
  <c r="C12" i="14679"/>
  <c r="D36" i="14675"/>
  <c r="L36" i="14675"/>
  <c r="K12" i="14679"/>
  <c r="F12" i="14679"/>
  <c r="G36" i="14675"/>
  <c r="B7" i="14679"/>
  <c r="N17" i="14669"/>
  <c r="C31" i="14675"/>
  <c r="K31" i="14675"/>
  <c r="J7" i="14679"/>
  <c r="I31" i="14675"/>
  <c r="H7" i="14679"/>
  <c r="G31" i="14675"/>
  <c r="F7" i="14679"/>
  <c r="K7" i="14679"/>
  <c r="L31" i="14675"/>
  <c r="C36" i="14679"/>
  <c r="C39" i="14669"/>
  <c r="C9" i="14671" s="1"/>
  <c r="D5" i="14675"/>
  <c r="G11" i="14679"/>
  <c r="H35" i="14675"/>
  <c r="G77" i="14647"/>
  <c r="B60" i="14647"/>
  <c r="I60" i="14647" s="1"/>
  <c r="J60" i="14647" s="1"/>
  <c r="G36" i="14683"/>
  <c r="H36" i="14683" s="1"/>
  <c r="D77" i="14643"/>
  <c r="N7" i="14678"/>
  <c r="J12" i="14679"/>
  <c r="K36" i="14675"/>
  <c r="M51" i="14668"/>
  <c r="J51" i="14668"/>
  <c r="I51" i="14668"/>
  <c r="E51" i="14668"/>
  <c r="B77" i="14643"/>
  <c r="K51" i="14668"/>
  <c r="L51" i="14668"/>
  <c r="G51" i="14668"/>
  <c r="G21" i="14683"/>
  <c r="H21" i="14683" s="1"/>
  <c r="B51" i="14668"/>
  <c r="F51" i="14668"/>
  <c r="C51" i="14668"/>
  <c r="D51" i="14668"/>
  <c r="H51" i="14668"/>
  <c r="H77" i="14647"/>
  <c r="L9" i="14679"/>
  <c r="M33" i="14675"/>
  <c r="D33" i="14675"/>
  <c r="C9" i="14679"/>
  <c r="F33" i="14675"/>
  <c r="E9" i="14679"/>
  <c r="G33" i="14675"/>
  <c r="F9" i="14679"/>
  <c r="L33" i="14675"/>
  <c r="K9" i="14679"/>
  <c r="G91" i="14647"/>
  <c r="B76" i="14647"/>
  <c r="I76" i="14647" s="1"/>
  <c r="J76" i="14647" s="1"/>
  <c r="B43" i="14647"/>
  <c r="I43" i="14647" s="1"/>
  <c r="J43" i="14647" s="1"/>
  <c r="B12" i="14679"/>
  <c r="C36" i="14675"/>
  <c r="J36" i="14675"/>
  <c r="I12" i="14679"/>
  <c r="H12" i="14679"/>
  <c r="I36" i="14675"/>
  <c r="I7" i="14679"/>
  <c r="J31" i="14675"/>
  <c r="L7" i="14679"/>
  <c r="M31" i="14675"/>
  <c r="D31" i="14675"/>
  <c r="C7" i="14679"/>
  <c r="G7" i="14679"/>
  <c r="H31" i="14675"/>
  <c r="E31" i="14675"/>
  <c r="D7" i="14679"/>
  <c r="F31" i="14675"/>
  <c r="E7" i="14679"/>
  <c r="F64" i="14643"/>
  <c r="G64" i="14643" s="1"/>
  <c r="D34" i="14675"/>
  <c r="C10" i="14679"/>
  <c r="M33" i="14679"/>
  <c r="N33" i="14679" s="1"/>
  <c r="N31" i="14669"/>
  <c r="N31" i="14675"/>
  <c r="M7" i="14679"/>
  <c r="G37" i="14679"/>
  <c r="G39" i="14669"/>
  <c r="G9" i="14671" s="1"/>
  <c r="H5" i="14675"/>
  <c r="G43" i="14652"/>
  <c r="G61" i="14647"/>
  <c r="B42" i="14652"/>
  <c r="I42" i="14652" s="1"/>
  <c r="J42" i="14652" s="1"/>
  <c r="D15" i="14647"/>
  <c r="D16" i="14647"/>
  <c r="D32" i="14647" s="1"/>
  <c r="D47" i="14647" s="1"/>
  <c r="O31" i="14674"/>
  <c r="E41" i="14639"/>
  <c r="F39" i="14674"/>
  <c r="F40" i="14674"/>
  <c r="N18" i="14669"/>
  <c r="B52" i="14669" s="1"/>
  <c r="E39" i="14674"/>
  <c r="E40" i="14674"/>
  <c r="F21" i="14661"/>
  <c r="F30" i="14688"/>
  <c r="B9" i="14701"/>
  <c r="B7" i="14701" s="1"/>
  <c r="B2" i="14705" s="1"/>
  <c r="D9" i="14667"/>
  <c r="B7" i="14667"/>
  <c r="H15" i="11" s="1"/>
  <c r="H11" i="14661"/>
  <c r="J15" i="14678"/>
  <c r="J12" i="14661"/>
  <c r="B68" i="14649"/>
  <c r="B51" i="14649"/>
  <c r="B59" i="14649"/>
  <c r="O24" i="14678"/>
  <c r="C24" i="14679" s="1"/>
  <c r="P25" i="14678"/>
  <c r="D25" i="14679" s="1"/>
  <c r="N24" i="14678"/>
  <c r="B24" i="14679" s="1"/>
  <c r="O25" i="14678"/>
  <c r="C25" i="14679" s="1"/>
  <c r="K15" i="14678"/>
  <c r="F58" i="14668"/>
  <c r="E58" i="14668"/>
  <c r="D58" i="14668"/>
  <c r="C58" i="14668"/>
  <c r="G28" i="14683"/>
  <c r="J28" i="14683" s="1"/>
  <c r="G58" i="14668"/>
  <c r="I58" i="14668"/>
  <c r="H58" i="14668"/>
  <c r="K58" i="14668"/>
  <c r="B58" i="14668"/>
  <c r="M58" i="14668"/>
  <c r="L58" i="14668"/>
  <c r="B84" i="14643"/>
  <c r="J58" i="14668"/>
  <c r="K36" i="14681"/>
  <c r="K5" i="14670"/>
  <c r="H5" i="14670"/>
  <c r="H36" i="14681"/>
  <c r="F71" i="14643"/>
  <c r="G71" i="14643"/>
  <c r="E5" i="14670"/>
  <c r="E36" i="14681"/>
  <c r="F32" i="14675"/>
  <c r="E8" i="14679"/>
  <c r="E25" i="14669"/>
  <c r="F19" i="14675"/>
  <c r="D15" i="14678"/>
  <c r="I25" i="14678"/>
  <c r="H24" i="14678"/>
  <c r="D5" i="14670"/>
  <c r="D36" i="14681"/>
  <c r="M35" i="14679"/>
  <c r="M39" i="14669"/>
  <c r="M9" i="14671" s="1"/>
  <c r="N5" i="14675"/>
  <c r="J53" i="14694"/>
  <c r="H14" i="14679"/>
  <c r="I38" i="14675"/>
  <c r="N24" i="14669"/>
  <c r="D39" i="14669"/>
  <c r="D9" i="14671" s="1"/>
  <c r="E5" i="14675"/>
  <c r="D34" i="14679"/>
  <c r="N32" i="14669"/>
  <c r="G27" i="14683"/>
  <c r="J27" i="14683" s="1"/>
  <c r="G57" i="14668"/>
  <c r="D57" i="14668"/>
  <c r="B57" i="14668"/>
  <c r="M57" i="14668"/>
  <c r="H57" i="14668"/>
  <c r="C57" i="14668"/>
  <c r="F57" i="14668"/>
  <c r="I57" i="14668"/>
  <c r="B83" i="14643"/>
  <c r="J57" i="14668"/>
  <c r="E57" i="14668"/>
  <c r="K57" i="14668"/>
  <c r="L57" i="14668"/>
  <c r="C8" i="14639"/>
  <c r="C16" i="14641"/>
  <c r="N37" i="14693"/>
  <c r="C16" i="14677"/>
  <c r="C8" i="14675"/>
  <c r="N51" i="14693"/>
  <c r="I37" i="14679"/>
  <c r="I39" i="14669"/>
  <c r="I9" i="14671" s="1"/>
  <c r="J5" i="14675"/>
  <c r="H16" i="14647"/>
  <c r="P26" i="14623" s="1"/>
  <c r="L38" i="14679"/>
  <c r="L39" i="14669"/>
  <c r="L9" i="14671" s="1"/>
  <c r="M5" i="14675"/>
  <c r="M55" i="14668"/>
  <c r="G55" i="14668"/>
  <c r="I55" i="14668"/>
  <c r="B55" i="14668"/>
  <c r="H55" i="14668"/>
  <c r="L55" i="14668"/>
  <c r="B81" i="14643"/>
  <c r="K55" i="14668"/>
  <c r="E55" i="14668"/>
  <c r="C55" i="14668"/>
  <c r="G25" i="14683"/>
  <c r="H25" i="14683" s="1"/>
  <c r="F55" i="14668"/>
  <c r="J55" i="14668"/>
  <c r="D55" i="14668"/>
  <c r="J56" i="14668"/>
  <c r="F56" i="14668"/>
  <c r="M56" i="14668"/>
  <c r="B82" i="14643"/>
  <c r="D56" i="14668"/>
  <c r="L56" i="14668"/>
  <c r="C56" i="14668"/>
  <c r="G26" i="14683"/>
  <c r="J26" i="14683" s="1"/>
  <c r="G56" i="14668"/>
  <c r="K56" i="14668"/>
  <c r="I56" i="14668"/>
  <c r="H56" i="14668"/>
  <c r="E56" i="14668"/>
  <c r="B56" i="14668"/>
  <c r="D41" i="14678"/>
  <c r="N34" i="14678"/>
  <c r="G49" i="14678"/>
  <c r="K39" i="14679"/>
  <c r="N37" i="14669"/>
  <c r="L5" i="14675"/>
  <c r="K39" i="14669"/>
  <c r="K9" i="14671" s="1"/>
  <c r="F68" i="14643"/>
  <c r="G68" i="14643" s="1"/>
  <c r="H9" i="14679"/>
  <c r="I33" i="14675"/>
  <c r="E34" i="14675"/>
  <c r="D10" i="14679"/>
  <c r="N20" i="14669"/>
  <c r="D79" i="14643"/>
  <c r="G38" i="14683"/>
  <c r="D38" i="14679"/>
  <c r="N36" i="14669"/>
  <c r="G42" i="14683"/>
  <c r="J42" i="14683" s="1"/>
  <c r="D83" i="14643"/>
  <c r="K34" i="14675"/>
  <c r="J10" i="14679"/>
  <c r="C8" i="14674"/>
  <c r="C16" i="14676"/>
  <c r="O16" i="14676" s="1"/>
  <c r="N44" i="14693"/>
  <c r="G69" i="14643"/>
  <c r="F69" i="14643"/>
  <c r="H45" i="14647"/>
  <c r="H41" i="14678"/>
  <c r="K49" i="14678"/>
  <c r="F37" i="14679"/>
  <c r="N35" i="14669"/>
  <c r="F39" i="14669"/>
  <c r="F9" i="14671" s="1"/>
  <c r="G5" i="14675"/>
  <c r="B35" i="14679"/>
  <c r="N33" i="14669"/>
  <c r="B39" i="14669"/>
  <c r="B9" i="14671" s="1"/>
  <c r="C5" i="14675"/>
  <c r="N54" i="14637"/>
  <c r="M15" i="14678"/>
  <c r="N19" i="14675"/>
  <c r="N9" i="14678"/>
  <c r="O33" i="14674"/>
  <c r="N8" i="14678"/>
  <c r="O32" i="14674"/>
  <c r="G39" i="14674"/>
  <c r="L39" i="14674"/>
  <c r="N12" i="14678"/>
  <c r="N55" i="14637"/>
  <c r="I49" i="14678"/>
  <c r="F41" i="14678"/>
  <c r="I19" i="14675"/>
  <c r="N53" i="14637"/>
  <c r="K41" i="14678"/>
  <c r="H15" i="14678"/>
  <c r="M24" i="14678"/>
  <c r="I15" i="14678"/>
  <c r="K26" i="14623"/>
  <c r="D84" i="14643"/>
  <c r="G43" i="14683"/>
  <c r="J43" i="14683" s="1"/>
  <c r="J25" i="14678"/>
  <c r="I24" i="14678"/>
  <c r="E15" i="14678"/>
  <c r="E39" i="14669"/>
  <c r="E9" i="14671" s="1"/>
  <c r="F5" i="14675"/>
  <c r="E34" i="14679"/>
  <c r="G41" i="14683"/>
  <c r="J41" i="14683" s="1"/>
  <c r="D82" i="14643"/>
  <c r="N33" i="14675"/>
  <c r="M9" i="14679"/>
  <c r="F67" i="14643"/>
  <c r="G67" i="14643" s="1"/>
  <c r="K52" i="14694"/>
  <c r="L50" i="14694"/>
  <c r="K51" i="14694"/>
  <c r="H40" i="14679"/>
  <c r="N40" i="14679" s="1"/>
  <c r="N38" i="14669"/>
  <c r="J53" i="14668"/>
  <c r="B53" i="14668"/>
  <c r="E53" i="14668"/>
  <c r="H53" i="14668"/>
  <c r="C53" i="14668"/>
  <c r="G23" i="14683"/>
  <c r="H23" i="14683" s="1"/>
  <c r="L53" i="14668"/>
  <c r="F53" i="14668"/>
  <c r="G53" i="14668"/>
  <c r="D53" i="14668"/>
  <c r="M53" i="14668"/>
  <c r="B79" i="14643"/>
  <c r="K53" i="14668"/>
  <c r="I53" i="14668"/>
  <c r="E32" i="14675"/>
  <c r="D8" i="14679"/>
  <c r="E19" i="14675"/>
  <c r="D25" i="14669"/>
  <c r="F93" i="14647"/>
  <c r="C15" i="14625"/>
  <c r="B21" i="8"/>
  <c r="I11" i="14679"/>
  <c r="J35" i="14675"/>
  <c r="H31" i="14647"/>
  <c r="M36" i="14675"/>
  <c r="L12" i="14679"/>
  <c r="N11" i="14678"/>
  <c r="D81" i="14643"/>
  <c r="G40" i="14683"/>
  <c r="H40" i="14683" s="1"/>
  <c r="E41" i="14678"/>
  <c r="H49" i="14678"/>
  <c r="G37" i="14683"/>
  <c r="H37" i="14683" s="1"/>
  <c r="D78" i="14643"/>
  <c r="M41" i="14678"/>
  <c r="P49" i="14678"/>
  <c r="L37" i="14675"/>
  <c r="O37" i="14675" s="1"/>
  <c r="K13" i="14679"/>
  <c r="N13" i="14679" s="1"/>
  <c r="N23" i="14669"/>
  <c r="N30" i="14693"/>
  <c r="C8" i="14634"/>
  <c r="C16" i="14633"/>
  <c r="O16" i="14633" s="1"/>
  <c r="C8" i="14628"/>
  <c r="C9" i="14628" s="1"/>
  <c r="C16" i="14625"/>
  <c r="N23" i="14693"/>
  <c r="H35" i="14679"/>
  <c r="H39" i="14669"/>
  <c r="H9" i="14671" s="1"/>
  <c r="I5" i="14675"/>
  <c r="D36" i="14679"/>
  <c r="N34" i="14669"/>
  <c r="N35" i="14678"/>
  <c r="E49" i="14678"/>
  <c r="B41" i="14678"/>
  <c r="D12" i="14679"/>
  <c r="E36" i="14675"/>
  <c r="N22" i="14669"/>
  <c r="J36" i="14679"/>
  <c r="K5" i="14675"/>
  <c r="J39" i="14669"/>
  <c r="J9" i="14671" s="1"/>
  <c r="E24" i="14678"/>
  <c r="F11" i="14679"/>
  <c r="G35" i="14675"/>
  <c r="N21" i="14669"/>
  <c r="C33" i="14675"/>
  <c r="N19" i="14669"/>
  <c r="B9" i="14679"/>
  <c r="B36" i="14667"/>
  <c r="E59" i="14689"/>
  <c r="E74" i="14689" s="1"/>
  <c r="B37" i="14701"/>
  <c r="N58" i="14637"/>
  <c r="Q24" i="14678"/>
  <c r="O36" i="14674"/>
  <c r="J9" i="14674"/>
  <c r="K25" i="14669"/>
  <c r="H25" i="14669"/>
  <c r="E29" i="14683"/>
  <c r="O39" i="14639"/>
  <c r="N49" i="14678"/>
  <c r="B49" i="14679" s="1"/>
  <c r="N56" i="14637"/>
  <c r="L24" i="14678"/>
  <c r="M25" i="14678"/>
  <c r="P24" i="14678"/>
  <c r="D24" i="14679" s="1"/>
  <c r="Q25" i="14678"/>
  <c r="E25" i="14679" s="1"/>
  <c r="N26" i="14623"/>
  <c r="N108" i="14645"/>
  <c r="A108" i="14645"/>
  <c r="B108" i="14645"/>
  <c r="F10" i="14701"/>
  <c r="L10" i="14667"/>
  <c r="G10" i="14701" s="1"/>
  <c r="E39" i="14643"/>
  <c r="E41" i="14643"/>
  <c r="E43" i="14643"/>
  <c r="E40" i="14643"/>
  <c r="E44" i="14643"/>
  <c r="F46" i="14643"/>
  <c r="E38" i="14643"/>
  <c r="E42" i="14643"/>
  <c r="E45" i="14643"/>
  <c r="H8" i="14667"/>
  <c r="D8" i="14701"/>
  <c r="G9" i="14628"/>
  <c r="D84" i="14692"/>
  <c r="N15" i="14638" l="1"/>
  <c r="G15" i="14691"/>
  <c r="G17" i="14691" s="1"/>
  <c r="I59" i="14637"/>
  <c r="G59" i="14637"/>
  <c r="D11" i="14704"/>
  <c r="J59" i="14637"/>
  <c r="E59" i="14637"/>
  <c r="L59" i="14637"/>
  <c r="M59" i="14637"/>
  <c r="K59" i="14637"/>
  <c r="C59" i="14637"/>
  <c r="E10" i="14657"/>
  <c r="H59" i="14637"/>
  <c r="D59" i="14637"/>
  <c r="B59" i="14637"/>
  <c r="X9" i="14709"/>
  <c r="F9" i="14674"/>
  <c r="G54" i="14668"/>
  <c r="B54" i="14668"/>
  <c r="E44" i="14683"/>
  <c r="F44" i="14683" s="1"/>
  <c r="G24" i="14683"/>
  <c r="N25" i="14668"/>
  <c r="F10" i="14657" s="1"/>
  <c r="C5" i="14670"/>
  <c r="N5" i="14670" s="1"/>
  <c r="J7" i="14617" s="1"/>
  <c r="B36" i="14681"/>
  <c r="N36" i="14681" s="1"/>
  <c r="F24" i="14657" s="1"/>
  <c r="O5" i="14674"/>
  <c r="G70" i="14643"/>
  <c r="D9" i="14639"/>
  <c r="I12" i="14634"/>
  <c r="I20" i="14634" s="1"/>
  <c r="I21" i="14634" s="1"/>
  <c r="F70" i="14643"/>
  <c r="L13" i="14628"/>
  <c r="K14" i="8" s="1"/>
  <c r="O16" i="14641"/>
  <c r="N39" i="14668"/>
  <c r="F14" i="14657" s="1"/>
  <c r="G39" i="14683"/>
  <c r="F44" i="14652"/>
  <c r="F63" i="14647" s="1"/>
  <c r="F62" i="14647"/>
  <c r="F79" i="14647" s="1"/>
  <c r="F94" i="14647" s="1"/>
  <c r="O8" i="14674"/>
  <c r="K12" i="14634"/>
  <c r="K20" i="14634" s="1"/>
  <c r="K21" i="14634" s="1"/>
  <c r="N13" i="14678"/>
  <c r="N15" i="14678" s="1"/>
  <c r="F24" i="14678"/>
  <c r="C15" i="14678"/>
  <c r="G25" i="14678"/>
  <c r="G24" i="14678"/>
  <c r="B15" i="14678"/>
  <c r="H25" i="14678"/>
  <c r="M54" i="14668"/>
  <c r="D54" i="14668"/>
  <c r="B80" i="14643"/>
  <c r="F80" i="14643" s="1"/>
  <c r="G80" i="14643" s="1"/>
  <c r="K54" i="14668"/>
  <c r="C54" i="14668"/>
  <c r="E54" i="14668"/>
  <c r="I54" i="14668"/>
  <c r="F54" i="14668"/>
  <c r="J54" i="14668"/>
  <c r="H54" i="14668"/>
  <c r="I47" i="14678"/>
  <c r="N57" i="14637"/>
  <c r="F47" i="14678"/>
  <c r="H39" i="14683"/>
  <c r="O41" i="14634"/>
  <c r="D12" i="14634"/>
  <c r="D20" i="14634" s="1"/>
  <c r="D21" i="14634" s="1"/>
  <c r="E12" i="14634"/>
  <c r="E20" i="14634" s="1"/>
  <c r="E21" i="14634" s="1"/>
  <c r="N9" i="14670"/>
  <c r="J11" i="14617" s="1"/>
  <c r="L11" i="14617" s="1"/>
  <c r="O16" i="14625"/>
  <c r="O37" i="14674"/>
  <c r="C51" i="14643"/>
  <c r="H12" i="14634"/>
  <c r="H20" i="14634" s="1"/>
  <c r="H21" i="14634" s="1"/>
  <c r="D9" i="14674"/>
  <c r="F12" i="14634"/>
  <c r="F20" i="14634" s="1"/>
  <c r="F21" i="14634" s="1"/>
  <c r="O34" i="14674"/>
  <c r="B17" i="11"/>
  <c r="B16" i="11" s="1"/>
  <c r="B18" i="14649" s="1"/>
  <c r="H26" i="14623"/>
  <c r="C32" i="14678"/>
  <c r="C19" i="14678"/>
  <c r="C45" i="14678" s="1"/>
  <c r="O19" i="14678"/>
  <c r="O45" i="14678" s="1"/>
  <c r="C19" i="14638"/>
  <c r="C45" i="14638" s="1"/>
  <c r="O19" i="14638"/>
  <c r="O45" i="14638" s="1"/>
  <c r="C32" i="14638"/>
  <c r="O19" i="14623"/>
  <c r="O45" i="14623" s="1"/>
  <c r="C19" i="14623"/>
  <c r="C45" i="14623" s="1"/>
  <c r="C32" i="14623"/>
  <c r="D30" i="14674"/>
  <c r="D18" i="14674"/>
  <c r="D59" i="14663"/>
  <c r="D37" i="14663"/>
  <c r="D48" i="14663"/>
  <c r="D32" i="14663"/>
  <c r="D54" i="14663"/>
  <c r="D15" i="14663"/>
  <c r="D26" i="14663"/>
  <c r="D21" i="14663"/>
  <c r="D43" i="14663"/>
  <c r="C50" i="14669"/>
  <c r="C16" i="14669"/>
  <c r="C30" i="14669"/>
  <c r="E18" i="14645"/>
  <c r="E75" i="14645" s="1"/>
  <c r="E7" i="14645"/>
  <c r="E64" i="14645" s="1"/>
  <c r="E29" i="14645"/>
  <c r="E86" i="14645" s="1"/>
  <c r="G7" i="14655"/>
  <c r="E40" i="14645"/>
  <c r="E51" i="14645"/>
  <c r="S26" i="14623"/>
  <c r="G26" i="14632" s="1"/>
  <c r="J26" i="14623"/>
  <c r="D30" i="14675"/>
  <c r="D18" i="14675"/>
  <c r="D18" i="14639"/>
  <c r="D30" i="14639"/>
  <c r="C32" i="14679"/>
  <c r="O19" i="14679"/>
  <c r="O45" i="14679" s="1"/>
  <c r="C19" i="14679"/>
  <c r="C45" i="14679" s="1"/>
  <c r="A51" i="14665"/>
  <c r="B50" i="14665"/>
  <c r="H57" i="14665" s="1"/>
  <c r="C16" i="14637"/>
  <c r="C30" i="14637"/>
  <c r="C50" i="14637"/>
  <c r="C30" i="14668"/>
  <c r="C16" i="14668"/>
  <c r="C50" i="14668"/>
  <c r="C32" i="14632"/>
  <c r="O19" i="14632"/>
  <c r="O45" i="14632" s="1"/>
  <c r="C19" i="14632"/>
  <c r="C45" i="14632" s="1"/>
  <c r="C24" i="14653"/>
  <c r="C37" i="14653"/>
  <c r="C11" i="14653"/>
  <c r="C50" i="14653"/>
  <c r="C16" i="7"/>
  <c r="C30" i="7"/>
  <c r="C50" i="7"/>
  <c r="C97" i="14645"/>
  <c r="C63" i="14653"/>
  <c r="D18" i="14634"/>
  <c r="D30" i="14634"/>
  <c r="D18" i="14628"/>
  <c r="D30" i="14628"/>
  <c r="C50" i="14630"/>
  <c r="C16" i="14630"/>
  <c r="C30" i="14630"/>
  <c r="C35" i="14681"/>
  <c r="C17" i="14681"/>
  <c r="C44" i="14681"/>
  <c r="C26" i="14681"/>
  <c r="D4" i="14637"/>
  <c r="D6" i="14638"/>
  <c r="D6" i="14678"/>
  <c r="D4" i="14630"/>
  <c r="D6" i="14623"/>
  <c r="D6" i="14679"/>
  <c r="E4" i="14677"/>
  <c r="E7" i="14673"/>
  <c r="E26" i="14673" s="1"/>
  <c r="D4" i="14671"/>
  <c r="D4" i="7"/>
  <c r="E4" i="14675"/>
  <c r="E7" i="14672"/>
  <c r="E26" i="14672" s="1"/>
  <c r="D8" i="14681"/>
  <c r="D4" i="14640"/>
  <c r="E4" i="14634"/>
  <c r="E4" i="14628"/>
  <c r="D4" i="8"/>
  <c r="E4" i="14641"/>
  <c r="E4" i="14639"/>
  <c r="D4" i="14669"/>
  <c r="E4" i="14676"/>
  <c r="E7" i="14624"/>
  <c r="E26" i="14624" s="1"/>
  <c r="D4" i="14631"/>
  <c r="E7" i="14636"/>
  <c r="E26" i="14636" s="1"/>
  <c r="D4" i="14670"/>
  <c r="D6" i="14632"/>
  <c r="E10" i="14663"/>
  <c r="E4" i="14625"/>
  <c r="D4" i="14653"/>
  <c r="D4" i="14668"/>
  <c r="E7" i="14629"/>
  <c r="E26" i="14629" s="1"/>
  <c r="E4" i="14674"/>
  <c r="E4" i="14633"/>
  <c r="N52" i="14668"/>
  <c r="D40" i="14675"/>
  <c r="H41" i="14674"/>
  <c r="E64" i="14643"/>
  <c r="E67" i="14643"/>
  <c r="J41" i="14674"/>
  <c r="N39" i="14675"/>
  <c r="C45" i="14681"/>
  <c r="N42" i="14639"/>
  <c r="N11" i="14639" s="1"/>
  <c r="L12" i="14639" s="1"/>
  <c r="L20" i="14639" s="1"/>
  <c r="L21" i="14639" s="1"/>
  <c r="I5" i="14671"/>
  <c r="H42" i="14639"/>
  <c r="H11" i="14639" s="1"/>
  <c r="F12" i="14639" s="1"/>
  <c r="G12" i="14634"/>
  <c r="G20" i="14634" s="1"/>
  <c r="G21" i="14634" s="1"/>
  <c r="N41" i="14674"/>
  <c r="K41" i="14674"/>
  <c r="N59" i="14630"/>
  <c r="G45" i="14681"/>
  <c r="F5" i="14671"/>
  <c r="D41" i="14674"/>
  <c r="M41" i="14674"/>
  <c r="C57" i="14643"/>
  <c r="B5" i="14671"/>
  <c r="D23" i="14643"/>
  <c r="D24" i="14643" s="1"/>
  <c r="C55" i="14643"/>
  <c r="M12" i="14634"/>
  <c r="M20" i="14634" s="1"/>
  <c r="M21" i="14634" s="1"/>
  <c r="N12" i="14634"/>
  <c r="N20" i="14634" s="1"/>
  <c r="N21" i="14634" s="1"/>
  <c r="C52" i="14643"/>
  <c r="C56" i="14643"/>
  <c r="C58" i="14643"/>
  <c r="C54" i="14643"/>
  <c r="L5" i="14671"/>
  <c r="C46" i="14643"/>
  <c r="B15" i="14631"/>
  <c r="L15" i="14631"/>
  <c r="J39" i="14675"/>
  <c r="D16" i="4128"/>
  <c r="D16" i="14708" s="1"/>
  <c r="G41" i="14674"/>
  <c r="D15" i="14631"/>
  <c r="G15" i="14679"/>
  <c r="K24" i="14679"/>
  <c r="E11" i="14617"/>
  <c r="D34" i="14708"/>
  <c r="F13" i="14690"/>
  <c r="F16" i="14690" s="1"/>
  <c r="G18" i="14626"/>
  <c r="G17" i="14626" s="1"/>
  <c r="G16" i="14626" s="1"/>
  <c r="K40" i="14675"/>
  <c r="L41" i="14674"/>
  <c r="J45" i="14681"/>
  <c r="N14" i="14679"/>
  <c r="C44" i="14682"/>
  <c r="I41" i="14674"/>
  <c r="C41" i="14674"/>
  <c r="G24" i="14679"/>
  <c r="G15" i="14631"/>
  <c r="M15" i="14631"/>
  <c r="F15" i="14631"/>
  <c r="H15" i="14631"/>
  <c r="E15" i="14631"/>
  <c r="K15" i="14631"/>
  <c r="D10" i="14643"/>
  <c r="J15" i="14631"/>
  <c r="C15" i="14631"/>
  <c r="I15" i="14631"/>
  <c r="C7" i="14704"/>
  <c r="D34" i="4128"/>
  <c r="C30" i="14649" s="1"/>
  <c r="E7" i="14617"/>
  <c r="O46" i="14624"/>
  <c r="C16" i="14657" s="1"/>
  <c r="F7" i="14617"/>
  <c r="E57" i="14643"/>
  <c r="H39" i="14675"/>
  <c r="D39" i="14675"/>
  <c r="E21" i="14623"/>
  <c r="I40" i="14675"/>
  <c r="C9" i="14674"/>
  <c r="E58" i="14643"/>
  <c r="E53" i="14643"/>
  <c r="F59" i="14643"/>
  <c r="H56" i="14643" s="1"/>
  <c r="E55" i="14643"/>
  <c r="E51" i="14643"/>
  <c r="E56" i="14643"/>
  <c r="E52" i="14643"/>
  <c r="I7" i="14617"/>
  <c r="K39" i="14675"/>
  <c r="O41" i="14639"/>
  <c r="E42" i="14639"/>
  <c r="E11" i="14639" s="1"/>
  <c r="F9" i="14675"/>
  <c r="J9" i="14675"/>
  <c r="D16" i="14657"/>
  <c r="N13" i="14628"/>
  <c r="M14" i="8" s="1"/>
  <c r="D9" i="14675"/>
  <c r="I9" i="14675"/>
  <c r="D12" i="14628"/>
  <c r="D20" i="14628" s="1"/>
  <c r="D21" i="14628" s="1"/>
  <c r="H40" i="14675"/>
  <c r="M21" i="14623"/>
  <c r="I21" i="14623"/>
  <c r="E40" i="14675"/>
  <c r="M40" i="14675"/>
  <c r="G21" i="14623"/>
  <c r="L40" i="14675"/>
  <c r="J21" i="14623"/>
  <c r="F21" i="14623"/>
  <c r="F13" i="14628"/>
  <c r="E14" i="8" s="1"/>
  <c r="E71" i="14643"/>
  <c r="E66" i="14643"/>
  <c r="E68" i="14643"/>
  <c r="E69" i="14643"/>
  <c r="E70" i="14643"/>
  <c r="H24" i="14683"/>
  <c r="H38" i="14683"/>
  <c r="L13" i="14634"/>
  <c r="K14" i="14631" s="1"/>
  <c r="N41" i="14678"/>
  <c r="M5" i="14671"/>
  <c r="J15" i="14679"/>
  <c r="K42" i="14639"/>
  <c r="K11" i="14639" s="1"/>
  <c r="K12" i="14639" s="1"/>
  <c r="K20" i="14639" s="1"/>
  <c r="K21" i="14639" s="1"/>
  <c r="F72" i="14643"/>
  <c r="H71" i="14643" s="1"/>
  <c r="E16" i="4128"/>
  <c r="E16" i="14708" s="1"/>
  <c r="M39" i="14675"/>
  <c r="J40" i="14675"/>
  <c r="G40" i="14675"/>
  <c r="N40" i="14675"/>
  <c r="C40" i="14675"/>
  <c r="L25" i="14679"/>
  <c r="I39" i="14675"/>
  <c r="N21" i="14623"/>
  <c r="B21" i="14632" s="1"/>
  <c r="C15" i="14679"/>
  <c r="O25" i="14679"/>
  <c r="D92" i="14647"/>
  <c r="C32" i="14647"/>
  <c r="C47" i="14647" s="1"/>
  <c r="L21" i="14623"/>
  <c r="K21" i="14623"/>
  <c r="H21" i="14623"/>
  <c r="C46" i="14647"/>
  <c r="E21" i="14679" s="1"/>
  <c r="D44" i="14652"/>
  <c r="D63" i="14647" s="1"/>
  <c r="D80" i="14647" s="1"/>
  <c r="D95" i="14647" s="1"/>
  <c r="D62" i="14647"/>
  <c r="L26" i="14623"/>
  <c r="O26" i="14623"/>
  <c r="C26" i="14632" s="1"/>
  <c r="R26" i="14623"/>
  <c r="F26" i="14632" s="1"/>
  <c r="L39" i="14675"/>
  <c r="O33" i="14675"/>
  <c r="O36" i="14675"/>
  <c r="C47" i="14678"/>
  <c r="N47" i="14678"/>
  <c r="B47" i="14679" s="1"/>
  <c r="I15" i="14679"/>
  <c r="R25" i="14679"/>
  <c r="M26" i="14623"/>
  <c r="G47" i="14678"/>
  <c r="M25" i="14679"/>
  <c r="E47" i="14678"/>
  <c r="H25" i="14679"/>
  <c r="O38" i="14675"/>
  <c r="C21" i="14623"/>
  <c r="D47" i="14638"/>
  <c r="F47" i="14638"/>
  <c r="L47" i="14638"/>
  <c r="C47" i="14638"/>
  <c r="N47" i="14638"/>
  <c r="B47" i="14678" s="1"/>
  <c r="D47" i="14678"/>
  <c r="G47" i="14638"/>
  <c r="H47" i="14678"/>
  <c r="E47" i="14638"/>
  <c r="K47" i="14638"/>
  <c r="K47" i="14678"/>
  <c r="J47" i="14678"/>
  <c r="I47" i="14638"/>
  <c r="L47" i="14678"/>
  <c r="M47" i="14678"/>
  <c r="J47" i="14638"/>
  <c r="M47" i="14638"/>
  <c r="E15" i="14647"/>
  <c r="E44" i="14647"/>
  <c r="B29" i="14647"/>
  <c r="I29" i="14647" s="1"/>
  <c r="J29" i="14647" s="1"/>
  <c r="E30" i="14647"/>
  <c r="B14" i="14647"/>
  <c r="I14" i="14647" s="1"/>
  <c r="J14" i="14647" s="1"/>
  <c r="B45" i="14682"/>
  <c r="V18" i="14709"/>
  <c r="O6" i="14634"/>
  <c r="O35" i="14675"/>
  <c r="E9" i="14675"/>
  <c r="O6" i="14639"/>
  <c r="J13" i="14628"/>
  <c r="I14" i="8" s="1"/>
  <c r="G9" i="14675"/>
  <c r="O50" i="14636"/>
  <c r="O50" i="14629"/>
  <c r="H52" i="14669"/>
  <c r="D52" i="14669"/>
  <c r="I22" i="14683"/>
  <c r="J22" i="14683" s="1"/>
  <c r="M52" i="14669"/>
  <c r="L52" i="14669"/>
  <c r="F52" i="14669"/>
  <c r="B91" i="14643"/>
  <c r="Q15" i="14655"/>
  <c r="Q25" i="14655"/>
  <c r="Q14" i="14655"/>
  <c r="Q23" i="14655"/>
  <c r="Q13" i="14655"/>
  <c r="Q17" i="14655"/>
  <c r="Q19" i="14655"/>
  <c r="Q8" i="14655"/>
  <c r="Q21" i="14655"/>
  <c r="Q20" i="14655"/>
  <c r="Q27" i="14655"/>
  <c r="Q9" i="14655"/>
  <c r="Q18" i="14655"/>
  <c r="Q16" i="14655"/>
  <c r="Q24" i="14655"/>
  <c r="Q11" i="14655"/>
  <c r="Q10" i="14655"/>
  <c r="Q22" i="14655"/>
  <c r="Q12" i="14655"/>
  <c r="Q26" i="14655"/>
  <c r="I6" i="14628"/>
  <c r="O50" i="14624"/>
  <c r="H6" i="14674"/>
  <c r="O50" i="14672"/>
  <c r="H6" i="14675"/>
  <c r="O6" i="14675" s="1"/>
  <c r="O50" i="14673"/>
  <c r="E44" i="14682"/>
  <c r="E45" i="14682" s="1"/>
  <c r="O46" i="14672"/>
  <c r="F44" i="14682"/>
  <c r="F45" i="14682" s="1"/>
  <c r="O46" i="14673"/>
  <c r="N24" i="14709"/>
  <c r="I10" i="14661"/>
  <c r="J10" i="14661" s="1"/>
  <c r="F16" i="14701"/>
  <c r="L16" i="14667"/>
  <c r="G16" i="14701" s="1"/>
  <c r="D15" i="8"/>
  <c r="C15" i="8"/>
  <c r="B15" i="8"/>
  <c r="I9" i="14624"/>
  <c r="J16" i="14663"/>
  <c r="I14" i="14624"/>
  <c r="J17" i="14663"/>
  <c r="H21" i="14624"/>
  <c r="H12" i="14624"/>
  <c r="H11" i="14624"/>
  <c r="H15" i="14624"/>
  <c r="H18" i="14624" s="1"/>
  <c r="H22" i="14624"/>
  <c r="H16" i="14624"/>
  <c r="J9" i="14634"/>
  <c r="J12" i="14634" s="1"/>
  <c r="J20" i="14634" s="1"/>
  <c r="J21" i="14634" s="1"/>
  <c r="D45" i="14682"/>
  <c r="X18" i="14709"/>
  <c r="J11" i="14667"/>
  <c r="E11" i="14701"/>
  <c r="C52" i="14669"/>
  <c r="C66" i="14643"/>
  <c r="I52" i="14669"/>
  <c r="K52" i="14669"/>
  <c r="E52" i="14669"/>
  <c r="G52" i="14669"/>
  <c r="J52" i="14669"/>
  <c r="C71" i="14643"/>
  <c r="C64" i="14643"/>
  <c r="C70" i="14643"/>
  <c r="F29" i="14683"/>
  <c r="E16" i="14657"/>
  <c r="E9" i="14643"/>
  <c r="E15" i="8"/>
  <c r="C17" i="14657"/>
  <c r="O39" i="14674"/>
  <c r="E12" i="14628"/>
  <c r="E20" i="14628" s="1"/>
  <c r="E21" i="14628" s="1"/>
  <c r="K53" i="14694"/>
  <c r="K54" i="14694" s="1"/>
  <c r="N11" i="14679"/>
  <c r="D31" i="14647"/>
  <c r="M22" i="14623"/>
  <c r="L22" i="14623"/>
  <c r="G22" i="14623"/>
  <c r="K22" i="14623"/>
  <c r="D22" i="14623"/>
  <c r="F22" i="14623"/>
  <c r="H22" i="14623"/>
  <c r="N22" i="14623"/>
  <c r="B22" i="14632" s="1"/>
  <c r="I22" i="14623"/>
  <c r="J22" i="14623"/>
  <c r="O22" i="14623"/>
  <c r="C22" i="14632" s="1"/>
  <c r="E22" i="14623"/>
  <c r="G78" i="14647"/>
  <c r="B61" i="14647"/>
  <c r="I61" i="14647" s="1"/>
  <c r="J61" i="14647" s="1"/>
  <c r="H47" i="14679"/>
  <c r="G41" i="14679"/>
  <c r="J49" i="14679"/>
  <c r="H92" i="14647"/>
  <c r="F77" i="14643"/>
  <c r="G77" i="14643" s="1"/>
  <c r="G92" i="14647"/>
  <c r="B77" i="14647"/>
  <c r="I77" i="14647" s="1"/>
  <c r="J77" i="14647" s="1"/>
  <c r="O31" i="14675"/>
  <c r="N7" i="14679"/>
  <c r="G62" i="14647"/>
  <c r="G44" i="14652"/>
  <c r="B43" i="14652"/>
  <c r="I43" i="14652" s="1"/>
  <c r="J43" i="14652" s="1"/>
  <c r="D90" i="14643"/>
  <c r="I36" i="14683"/>
  <c r="J36" i="14683" s="1"/>
  <c r="B91" i="14647"/>
  <c r="I91" i="14647" s="1"/>
  <c r="J91" i="14647" s="1"/>
  <c r="C41" i="14679"/>
  <c r="F49" i="14679"/>
  <c r="D47" i="14679"/>
  <c r="M51" i="14669"/>
  <c r="I51" i="14669"/>
  <c r="H51" i="14669"/>
  <c r="D51" i="14669"/>
  <c r="J51" i="14669"/>
  <c r="I21" i="14683"/>
  <c r="J21" i="14683" s="1"/>
  <c r="K51" i="14669"/>
  <c r="F51" i="14669"/>
  <c r="B90" i="14643"/>
  <c r="L51" i="14669"/>
  <c r="G51" i="14669"/>
  <c r="E51" i="14669"/>
  <c r="C51" i="14669"/>
  <c r="B51" i="14669"/>
  <c r="H44" i="14652"/>
  <c r="H63" i="14647" s="1"/>
  <c r="H80" i="14647" s="1"/>
  <c r="H95" i="14647" s="1"/>
  <c r="H62" i="14647"/>
  <c r="N51" i="14668"/>
  <c r="N56" i="14668"/>
  <c r="E23" i="14643"/>
  <c r="E24" i="14643" s="1"/>
  <c r="C68" i="14643"/>
  <c r="C65" i="14643"/>
  <c r="C69" i="14643"/>
  <c r="O40" i="14674"/>
  <c r="F41" i="14674"/>
  <c r="G39" i="14675"/>
  <c r="F39" i="14675"/>
  <c r="F40" i="14675"/>
  <c r="E41" i="14674"/>
  <c r="I11" i="14661"/>
  <c r="H8" i="14661"/>
  <c r="H21" i="14661" s="1"/>
  <c r="E17" i="14657" s="1"/>
  <c r="C10" i="14643"/>
  <c r="L15" i="8"/>
  <c r="J15" i="8"/>
  <c r="H15" i="8"/>
  <c r="G15" i="8"/>
  <c r="I15" i="8"/>
  <c r="F15" i="8"/>
  <c r="M15" i="8"/>
  <c r="K15" i="8"/>
  <c r="C9" i="14701"/>
  <c r="C7" i="14701" s="1"/>
  <c r="B3" i="14705" s="1"/>
  <c r="F9" i="14667"/>
  <c r="D7" i="14667"/>
  <c r="G30" i="14688"/>
  <c r="F31" i="14688"/>
  <c r="O8" i="14628"/>
  <c r="B36" i="14701"/>
  <c r="N38" i="14679"/>
  <c r="B60" i="14649"/>
  <c r="B69" i="14649"/>
  <c r="O19" i="14675"/>
  <c r="H13" i="14628"/>
  <c r="G14" i="8" s="1"/>
  <c r="K13" i="14628"/>
  <c r="J14" i="8" s="1"/>
  <c r="N21" i="14679"/>
  <c r="N12" i="14679"/>
  <c r="N9" i="14679"/>
  <c r="N24" i="14679"/>
  <c r="Q24" i="14679"/>
  <c r="M13" i="14628"/>
  <c r="L14" i="8" s="1"/>
  <c r="Q25" i="14679"/>
  <c r="B26" i="14632"/>
  <c r="H45" i="14681"/>
  <c r="H5" i="14671"/>
  <c r="K5" i="14671"/>
  <c r="K45" i="14681"/>
  <c r="E24" i="14679"/>
  <c r="H53" i="14669"/>
  <c r="L53" i="14669"/>
  <c r="K53" i="14669"/>
  <c r="E53" i="14669"/>
  <c r="B53" i="14669"/>
  <c r="B92" i="14643"/>
  <c r="M53" i="14669"/>
  <c r="C53" i="14669"/>
  <c r="I53" i="14669"/>
  <c r="D53" i="14669"/>
  <c r="J53" i="14669"/>
  <c r="I23" i="14683"/>
  <c r="J23" i="14683" s="1"/>
  <c r="F53" i="14669"/>
  <c r="G53" i="14669"/>
  <c r="C55" i="14669"/>
  <c r="M55" i="14669"/>
  <c r="K55" i="14669"/>
  <c r="H55" i="14669"/>
  <c r="B55" i="14669"/>
  <c r="L55" i="14669"/>
  <c r="E55" i="14669"/>
  <c r="F55" i="14669"/>
  <c r="I25" i="14683"/>
  <c r="J25" i="14683" s="1"/>
  <c r="D55" i="14669"/>
  <c r="B94" i="14643"/>
  <c r="J55" i="14669"/>
  <c r="G55" i="14669"/>
  <c r="I55" i="14669"/>
  <c r="C12" i="14628"/>
  <c r="C20" i="14628" s="1"/>
  <c r="C21" i="14628" s="1"/>
  <c r="C9" i="14634"/>
  <c r="C12" i="14634" s="1"/>
  <c r="C13" i="14634" s="1"/>
  <c r="B14" i="14631" s="1"/>
  <c r="O8" i="14634"/>
  <c r="D57" i="14669"/>
  <c r="G57" i="14669"/>
  <c r="J57" i="14669"/>
  <c r="M57" i="14669"/>
  <c r="H57" i="14669"/>
  <c r="L57" i="14669"/>
  <c r="I27" i="14683"/>
  <c r="K57" i="14669"/>
  <c r="I57" i="14669"/>
  <c r="F57" i="14669"/>
  <c r="E57" i="14669"/>
  <c r="C57" i="14669"/>
  <c r="B57" i="14669"/>
  <c r="B96" i="14643"/>
  <c r="D45" i="14681"/>
  <c r="D5" i="14671"/>
  <c r="D15" i="14679"/>
  <c r="H24" i="14679"/>
  <c r="I25" i="14679"/>
  <c r="F79" i="14643"/>
  <c r="G79" i="14643" s="1"/>
  <c r="D97" i="14643"/>
  <c r="I43" i="14683"/>
  <c r="E41" i="14679"/>
  <c r="H49" i="14679"/>
  <c r="F47" i="14679"/>
  <c r="H7" i="14617"/>
  <c r="E34" i="14708"/>
  <c r="D7" i="14704"/>
  <c r="E34" i="4128"/>
  <c r="D30" i="14649" s="1"/>
  <c r="G13" i="14690"/>
  <c r="G16" i="14690" s="1"/>
  <c r="H11" i="14617"/>
  <c r="D26" i="14632"/>
  <c r="C9" i="14675"/>
  <c r="O5" i="14675"/>
  <c r="D92" i="14643"/>
  <c r="I38" i="14683"/>
  <c r="J38" i="14683" s="1"/>
  <c r="I40" i="14683"/>
  <c r="J40" i="14683" s="1"/>
  <c r="D94" i="14643"/>
  <c r="F80" i="14647"/>
  <c r="G50" i="14623"/>
  <c r="I24" i="14683"/>
  <c r="J24" i="14683" s="1"/>
  <c r="E54" i="14669"/>
  <c r="K54" i="14669"/>
  <c r="H54" i="14669"/>
  <c r="G54" i="14669"/>
  <c r="B93" i="14643"/>
  <c r="C54" i="14669"/>
  <c r="M54" i="14669"/>
  <c r="B54" i="14669"/>
  <c r="L54" i="14669"/>
  <c r="I54" i="14669"/>
  <c r="D54" i="14669"/>
  <c r="F54" i="14669"/>
  <c r="J54" i="14669"/>
  <c r="I42" i="14683"/>
  <c r="D96" i="14643"/>
  <c r="F81" i="14643"/>
  <c r="G81" i="14643" s="1"/>
  <c r="L41" i="14679"/>
  <c r="O49" i="14679"/>
  <c r="M47" i="14679"/>
  <c r="H32" i="14647"/>
  <c r="S26" i="14632" s="1"/>
  <c r="I26" i="14623"/>
  <c r="F83" i="14643"/>
  <c r="G83" i="14643"/>
  <c r="I37" i="14683"/>
  <c r="J37" i="14683" s="1"/>
  <c r="N39" i="14669"/>
  <c r="G14" i="14657" s="1"/>
  <c r="D91" i="14643"/>
  <c r="N47" i="14679"/>
  <c r="M41" i="14679"/>
  <c r="P49" i="14679"/>
  <c r="E45" i="14681"/>
  <c r="E5" i="14671"/>
  <c r="C39" i="14675"/>
  <c r="N36" i="14679"/>
  <c r="D85" i="14643"/>
  <c r="N53" i="14668"/>
  <c r="N25" i="14679"/>
  <c r="M15" i="14679"/>
  <c r="P24" i="14679"/>
  <c r="L15" i="14679"/>
  <c r="F78" i="14643"/>
  <c r="G78" i="14643" s="1"/>
  <c r="G29" i="14683"/>
  <c r="O34" i="14675"/>
  <c r="H15" i="14679"/>
  <c r="L24" i="14679"/>
  <c r="J24" i="14679"/>
  <c r="F15" i="14679"/>
  <c r="K25" i="14679"/>
  <c r="G25" i="14679"/>
  <c r="B15" i="14679"/>
  <c r="K15" i="14679"/>
  <c r="P25" i="14679"/>
  <c r="N57" i="14668"/>
  <c r="N58" i="14668"/>
  <c r="K47" i="14679"/>
  <c r="M49" i="14679"/>
  <c r="J41" i="14679"/>
  <c r="I26" i="14683"/>
  <c r="G56" i="14669"/>
  <c r="B56" i="14669"/>
  <c r="I56" i="14669"/>
  <c r="D56" i="14669"/>
  <c r="F56" i="14669"/>
  <c r="J56" i="14669"/>
  <c r="K56" i="14669"/>
  <c r="C56" i="14669"/>
  <c r="H56" i="14669"/>
  <c r="B95" i="14643"/>
  <c r="L56" i="14669"/>
  <c r="M56" i="14669"/>
  <c r="E56" i="14669"/>
  <c r="D93" i="14643"/>
  <c r="I39" i="14683"/>
  <c r="K49" i="14679"/>
  <c r="I47" i="14679"/>
  <c r="H41" i="14679"/>
  <c r="D49" i="14679"/>
  <c r="G44" i="14683"/>
  <c r="H46" i="14647"/>
  <c r="L52" i="14694"/>
  <c r="M50" i="14694"/>
  <c r="L51" i="14694"/>
  <c r="B33" i="14701"/>
  <c r="E42" i="14689"/>
  <c r="B32" i="14667"/>
  <c r="B44" i="14667" s="1"/>
  <c r="D33" i="14667"/>
  <c r="B41" i="14679"/>
  <c r="E49" i="14679"/>
  <c r="N35" i="14679"/>
  <c r="C47" i="14679"/>
  <c r="N37" i="14679"/>
  <c r="G47" i="14679"/>
  <c r="F41" i="14679"/>
  <c r="I49" i="14679"/>
  <c r="I41" i="14683"/>
  <c r="D95" i="14643"/>
  <c r="N39" i="14679"/>
  <c r="K41" i="14679"/>
  <c r="N49" i="14679"/>
  <c r="L47" i="14679"/>
  <c r="G82" i="14643"/>
  <c r="F82" i="14643"/>
  <c r="I41" i="14679"/>
  <c r="L49" i="14679"/>
  <c r="J47" i="14679"/>
  <c r="O8" i="14639"/>
  <c r="C9" i="14639"/>
  <c r="D41" i="14679"/>
  <c r="G49" i="14679"/>
  <c r="E47" i="14679"/>
  <c r="N34" i="14679"/>
  <c r="I58" i="14669"/>
  <c r="E58" i="14669"/>
  <c r="D58" i="14669"/>
  <c r="K58" i="14669"/>
  <c r="L58" i="14669"/>
  <c r="H58" i="14669"/>
  <c r="I28" i="14683"/>
  <c r="C58" i="14669"/>
  <c r="J58" i="14669"/>
  <c r="M58" i="14669"/>
  <c r="G58" i="14669"/>
  <c r="B97" i="14643"/>
  <c r="F58" i="14669"/>
  <c r="B58" i="14669"/>
  <c r="K48" i="14648"/>
  <c r="J54" i="14694"/>
  <c r="E15" i="14679"/>
  <c r="F21" i="14679"/>
  <c r="I24" i="14679"/>
  <c r="J25" i="14679"/>
  <c r="G84" i="14643"/>
  <c r="F84" i="14643"/>
  <c r="N25" i="14669"/>
  <c r="G10" i="14657" s="1"/>
  <c r="E39" i="14675"/>
  <c r="O32" i="14675"/>
  <c r="M24" i="14679"/>
  <c r="N9" i="14671"/>
  <c r="M11" i="14617" s="1"/>
  <c r="N10" i="14679"/>
  <c r="G21" i="14679"/>
  <c r="N8" i="14679"/>
  <c r="F24" i="14679"/>
  <c r="O24" i="14679"/>
  <c r="N55" i="14668"/>
  <c r="Q26" i="14623"/>
  <c r="G12" i="14628"/>
  <c r="E8" i="14701"/>
  <c r="J8" i="14667"/>
  <c r="H45" i="14643"/>
  <c r="H42" i="14643"/>
  <c r="G46" i="14643"/>
  <c r="C15" i="14643" s="1"/>
  <c r="B37" i="14649" s="1"/>
  <c r="H43" i="14643"/>
  <c r="H38" i="14643"/>
  <c r="H41" i="14643"/>
  <c r="H44" i="14643"/>
  <c r="H40" i="14643"/>
  <c r="H39" i="14643"/>
  <c r="E46" i="14643"/>
  <c r="M6" i="14671"/>
  <c r="F6" i="8"/>
  <c r="E6" i="14670"/>
  <c r="E7" i="14670" s="1"/>
  <c r="E10" i="14670" s="1"/>
  <c r="H6" i="14671"/>
  <c r="G6" i="14640"/>
  <c r="G7" i="14640" s="1"/>
  <c r="G10" i="14640" s="1"/>
  <c r="G6" i="14670"/>
  <c r="G7" i="14670" s="1"/>
  <c r="G10" i="14670" s="1"/>
  <c r="B6" i="14631"/>
  <c r="G6" i="14631"/>
  <c r="G7" i="14631" s="1"/>
  <c r="G10" i="14631" s="1"/>
  <c r="K6" i="14670"/>
  <c r="K7" i="14670" s="1"/>
  <c r="K10" i="14670" s="1"/>
  <c r="M6" i="14670"/>
  <c r="M7" i="14670" s="1"/>
  <c r="M10" i="14670" s="1"/>
  <c r="E6" i="14640"/>
  <c r="E7" i="14640" s="1"/>
  <c r="E10" i="14640" s="1"/>
  <c r="J6" i="14640"/>
  <c r="J7" i="14640" s="1"/>
  <c r="J10" i="14640" s="1"/>
  <c r="I6" i="8"/>
  <c r="I7" i="8" s="1"/>
  <c r="I10" i="8" s="1"/>
  <c r="I6" i="14670"/>
  <c r="I7" i="14670" s="1"/>
  <c r="I10" i="14670" s="1"/>
  <c r="F6" i="14631"/>
  <c r="F7" i="14631" s="1"/>
  <c r="F10" i="14631" s="1"/>
  <c r="I6" i="14631"/>
  <c r="I7" i="14631" s="1"/>
  <c r="I10" i="14631" s="1"/>
  <c r="G6" i="14671"/>
  <c r="G7" i="14671" s="1"/>
  <c r="G10" i="14671" s="1"/>
  <c r="I6" i="14671"/>
  <c r="I6" i="14640"/>
  <c r="I7" i="14640" s="1"/>
  <c r="I10" i="14640" s="1"/>
  <c r="G6" i="8"/>
  <c r="G7" i="8" s="1"/>
  <c r="G10" i="8" s="1"/>
  <c r="K6" i="8"/>
  <c r="K7" i="8" s="1"/>
  <c r="K10" i="8" s="1"/>
  <c r="L6" i="14671"/>
  <c r="K6" i="14631"/>
  <c r="K7" i="14631" s="1"/>
  <c r="K10" i="14631" s="1"/>
  <c r="M6" i="14631"/>
  <c r="M7" i="14631" s="1"/>
  <c r="M10" i="14631" s="1"/>
  <c r="L6" i="14670"/>
  <c r="L7" i="14670" s="1"/>
  <c r="L10" i="14670" s="1"/>
  <c r="D6" i="14631"/>
  <c r="D7" i="14631" s="1"/>
  <c r="D10" i="14631" s="1"/>
  <c r="L6" i="8"/>
  <c r="L7" i="8" s="1"/>
  <c r="L10" i="8" s="1"/>
  <c r="F6" i="14670"/>
  <c r="F7" i="14670" s="1"/>
  <c r="F10" i="14670" s="1"/>
  <c r="E6" i="14631"/>
  <c r="E7" i="14631" s="1"/>
  <c r="E10" i="14631" s="1"/>
  <c r="M6" i="8"/>
  <c r="M7" i="8" s="1"/>
  <c r="M10" i="8" s="1"/>
  <c r="J6" i="14670"/>
  <c r="J7" i="14670" s="1"/>
  <c r="J10" i="14670" s="1"/>
  <c r="H6" i="14640"/>
  <c r="H7" i="14640" s="1"/>
  <c r="H10" i="14640" s="1"/>
  <c r="F6" i="14640"/>
  <c r="F7" i="14640" s="1"/>
  <c r="F10" i="14640" s="1"/>
  <c r="H6" i="14631"/>
  <c r="H7" i="14631" s="1"/>
  <c r="H10" i="14631" s="1"/>
  <c r="B6" i="14671"/>
  <c r="H6" i="14670"/>
  <c r="H7" i="14670" s="1"/>
  <c r="H10" i="14670" s="1"/>
  <c r="J6" i="14631"/>
  <c r="J7" i="14631" s="1"/>
  <c r="J10" i="14631" s="1"/>
  <c r="L6" i="14640"/>
  <c r="L7" i="14640" s="1"/>
  <c r="L10" i="14640" s="1"/>
  <c r="J6" i="8"/>
  <c r="J7" i="8" s="1"/>
  <c r="J10" i="8" s="1"/>
  <c r="K6" i="14640"/>
  <c r="K7" i="14640" s="1"/>
  <c r="K10" i="14640" s="1"/>
  <c r="C6" i="14671"/>
  <c r="C7" i="14671" s="1"/>
  <c r="C10" i="14671" s="1"/>
  <c r="D6" i="14671"/>
  <c r="C6" i="14640"/>
  <c r="C7" i="14640" s="1"/>
  <c r="C10" i="14640" s="1"/>
  <c r="C6" i="14670"/>
  <c r="H6" i="8"/>
  <c r="H7" i="8" s="1"/>
  <c r="H10" i="8" s="1"/>
  <c r="D6" i="14670"/>
  <c r="D7" i="14670" s="1"/>
  <c r="D10" i="14670" s="1"/>
  <c r="B6" i="14670"/>
  <c r="C6" i="14631"/>
  <c r="C7" i="14631" s="1"/>
  <c r="C10" i="14631" s="1"/>
  <c r="K6" i="14671"/>
  <c r="E6" i="14671"/>
  <c r="F6" i="14671"/>
  <c r="B6" i="14640"/>
  <c r="D6" i="14640"/>
  <c r="D7" i="14640" s="1"/>
  <c r="D10" i="14640" s="1"/>
  <c r="M6" i="14640"/>
  <c r="M7" i="14640" s="1"/>
  <c r="M10" i="14640" s="1"/>
  <c r="J6" i="14671"/>
  <c r="J7" i="14671" s="1"/>
  <c r="J10" i="14671" s="1"/>
  <c r="L6" i="14631"/>
  <c r="L7" i="14631" s="1"/>
  <c r="L10" i="14631" s="1"/>
  <c r="C45" i="14682" l="1"/>
  <c r="D57" i="14712"/>
  <c r="D69" i="14712" s="1"/>
  <c r="N59" i="14637"/>
  <c r="K59" i="14668"/>
  <c r="D59" i="14668"/>
  <c r="I59" i="14668"/>
  <c r="C59" i="14668"/>
  <c r="F59" i="14668"/>
  <c r="J59" i="14668"/>
  <c r="M26" i="14632"/>
  <c r="N26" i="14632"/>
  <c r="B26" i="14638" s="1"/>
  <c r="R26" i="14632"/>
  <c r="F26" i="14638" s="1"/>
  <c r="J26" i="14632"/>
  <c r="H59" i="14668"/>
  <c r="I26" i="14632"/>
  <c r="M59" i="14668"/>
  <c r="C7" i="14670"/>
  <c r="C10" i="14670" s="1"/>
  <c r="L26" i="14632"/>
  <c r="H50" i="14623"/>
  <c r="B59" i="14668"/>
  <c r="Q26" i="14632"/>
  <c r="E26" i="14638" s="1"/>
  <c r="G59" i="14668"/>
  <c r="E59" i="14668"/>
  <c r="K26" i="14632"/>
  <c r="P26" i="14632"/>
  <c r="D26" i="14638" s="1"/>
  <c r="N50" i="14623"/>
  <c r="B50" i="14632" s="1"/>
  <c r="L59" i="14668"/>
  <c r="D12" i="14639"/>
  <c r="D20" i="14639" s="1"/>
  <c r="D21" i="14639" s="1"/>
  <c r="I13" i="14634"/>
  <c r="H14" i="14631" s="1"/>
  <c r="J21" i="14679"/>
  <c r="I21" i="14679"/>
  <c r="F50" i="14623"/>
  <c r="J39" i="14683"/>
  <c r="K13" i="14634"/>
  <c r="J14" i="14631" s="1"/>
  <c r="O50" i="14623"/>
  <c r="C50" i="14632" s="1"/>
  <c r="I50" i="14623"/>
  <c r="M21" i="14679"/>
  <c r="O26" i="14632"/>
  <c r="C26" i="14638" s="1"/>
  <c r="L21" i="14679"/>
  <c r="K21" i="14679"/>
  <c r="C21" i="14679"/>
  <c r="H26" i="14632"/>
  <c r="L50" i="14623"/>
  <c r="F50" i="14632"/>
  <c r="K50" i="14623"/>
  <c r="J50" i="14623"/>
  <c r="Q50" i="14623"/>
  <c r="E50" i="14632" s="1"/>
  <c r="M50" i="14623"/>
  <c r="P50" i="14623"/>
  <c r="D50" i="14632" s="1"/>
  <c r="D41" i="14675"/>
  <c r="K11" i="14617"/>
  <c r="N54" i="14668"/>
  <c r="B85" i="14643"/>
  <c r="C82" i="14643" s="1"/>
  <c r="D13" i="14634"/>
  <c r="C14" i="14631" s="1"/>
  <c r="O11" i="14617"/>
  <c r="E11" i="14704"/>
  <c r="E13" i="14634"/>
  <c r="D14" i="14631" s="1"/>
  <c r="F13" i="14634"/>
  <c r="E14" i="14631" s="1"/>
  <c r="S27" i="14623"/>
  <c r="H13" i="14634"/>
  <c r="G14" i="14631" s="1"/>
  <c r="N41" i="14675"/>
  <c r="D16" i="14668"/>
  <c r="D50" i="14668"/>
  <c r="D30" i="14668"/>
  <c r="P19" i="14632"/>
  <c r="P45" i="14632" s="1"/>
  <c r="D32" i="14632"/>
  <c r="D19" i="14632"/>
  <c r="D45" i="14632" s="1"/>
  <c r="D16" i="7"/>
  <c r="D50" i="7"/>
  <c r="D30" i="7"/>
  <c r="D97" i="14645"/>
  <c r="D108" i="14645"/>
  <c r="D32" i="14679"/>
  <c r="D19" i="14679"/>
  <c r="D45" i="14679" s="1"/>
  <c r="P19" i="14679"/>
  <c r="P45" i="14679" s="1"/>
  <c r="D32" i="14638"/>
  <c r="P19" i="14638"/>
  <c r="P45" i="14638" s="1"/>
  <c r="D19" i="14638"/>
  <c r="D45" i="14638" s="1"/>
  <c r="A52" i="14665"/>
  <c r="B51" i="14665"/>
  <c r="I57" i="14665" s="1"/>
  <c r="E4" i="14640"/>
  <c r="F4" i="14676"/>
  <c r="E4" i="14671"/>
  <c r="F7" i="14624"/>
  <c r="F26" i="14624" s="1"/>
  <c r="F4" i="14633"/>
  <c r="E4" i="14670"/>
  <c r="E4" i="14637"/>
  <c r="E6" i="14638"/>
  <c r="F7" i="14672"/>
  <c r="F26" i="14672" s="1"/>
  <c r="E4" i="14653"/>
  <c r="E4" i="7"/>
  <c r="F7" i="14629"/>
  <c r="F26" i="14629" s="1"/>
  <c r="F4" i="14628"/>
  <c r="E6" i="14632"/>
  <c r="F4" i="14625"/>
  <c r="E8" i="14681"/>
  <c r="E4" i="14631"/>
  <c r="E6" i="14678"/>
  <c r="F4" i="14641"/>
  <c r="E4" i="14630"/>
  <c r="E4" i="8"/>
  <c r="E6" i="14623"/>
  <c r="F7" i="14636"/>
  <c r="F26" i="14636" s="1"/>
  <c r="E6" i="14679"/>
  <c r="F10" i="14663"/>
  <c r="F4" i="14677"/>
  <c r="F4" i="14675"/>
  <c r="F4" i="14674"/>
  <c r="F7" i="14673"/>
  <c r="F26" i="14673" s="1"/>
  <c r="E4" i="14669"/>
  <c r="F4" i="14639"/>
  <c r="E4" i="14668"/>
  <c r="F4" i="14634"/>
  <c r="D11" i="14653"/>
  <c r="D24" i="14653"/>
  <c r="D37" i="14653"/>
  <c r="D50" i="14653"/>
  <c r="D63" i="14653"/>
  <c r="D17" i="14681"/>
  <c r="D35" i="14681"/>
  <c r="D44" i="14681"/>
  <c r="D26" i="14681"/>
  <c r="D19" i="14623"/>
  <c r="D45" i="14623" s="1"/>
  <c r="P19" i="14623"/>
  <c r="P45" i="14623" s="1"/>
  <c r="D32" i="14623"/>
  <c r="D16" i="14637"/>
  <c r="D30" i="14637"/>
  <c r="D50" i="14637"/>
  <c r="E30" i="14674"/>
  <c r="E18" i="14674"/>
  <c r="D16" i="14669"/>
  <c r="D30" i="14669"/>
  <c r="D50" i="14669"/>
  <c r="E18" i="14628"/>
  <c r="E30" i="14628"/>
  <c r="D16" i="14630"/>
  <c r="D50" i="14630"/>
  <c r="D30" i="14630"/>
  <c r="E26" i="14663"/>
  <c r="E37" i="14663"/>
  <c r="E32" i="14663"/>
  <c r="E59" i="14663"/>
  <c r="E15" i="14663"/>
  <c r="E54" i="14663"/>
  <c r="E48" i="14663"/>
  <c r="E43" i="14663"/>
  <c r="E21" i="14663"/>
  <c r="E30" i="14639"/>
  <c r="E18" i="14639"/>
  <c r="E30" i="14634"/>
  <c r="E18" i="14634"/>
  <c r="E30" i="14675"/>
  <c r="E18" i="14675"/>
  <c r="P19" i="14678"/>
  <c r="P45" i="14678" s="1"/>
  <c r="D19" i="14678"/>
  <c r="D45" i="14678" s="1"/>
  <c r="D32" i="14678"/>
  <c r="H7" i="14655"/>
  <c r="F29" i="14645"/>
  <c r="F86" i="14645" s="1"/>
  <c r="F7" i="14645"/>
  <c r="F64" i="14645" s="1"/>
  <c r="F18" i="14645"/>
  <c r="F75" i="14645" s="1"/>
  <c r="F40" i="14645"/>
  <c r="F51" i="14645"/>
  <c r="I7" i="14671"/>
  <c r="I10" i="14671" s="1"/>
  <c r="J12" i="14639"/>
  <c r="J20" i="14639" s="1"/>
  <c r="J21" i="14639" s="1"/>
  <c r="E7" i="14671"/>
  <c r="E10" i="14671" s="1"/>
  <c r="H65" i="14643"/>
  <c r="F7" i="14671"/>
  <c r="F10" i="14671" s="1"/>
  <c r="L13" i="14639"/>
  <c r="K14" i="14640" s="1"/>
  <c r="M12" i="14639"/>
  <c r="M20" i="14639" s="1"/>
  <c r="M21" i="14639" s="1"/>
  <c r="H12" i="14639"/>
  <c r="H20" i="14639" s="1"/>
  <c r="H21" i="14639" s="1"/>
  <c r="K42" i="14674"/>
  <c r="K11" i="14674" s="1"/>
  <c r="J12" i="14674" s="1"/>
  <c r="J13" i="14674" s="1"/>
  <c r="I14" i="14670" s="1"/>
  <c r="N12" i="14639"/>
  <c r="N20" i="14639" s="1"/>
  <c r="N21" i="14639" s="1"/>
  <c r="I12" i="14639"/>
  <c r="I20" i="14639" s="1"/>
  <c r="I21" i="14639" s="1"/>
  <c r="G13" i="14634"/>
  <c r="F14" i="14631" s="1"/>
  <c r="N13" i="14634"/>
  <c r="M14" i="14631" s="1"/>
  <c r="G41" i="14675"/>
  <c r="G12" i="14639"/>
  <c r="G20" i="14639" s="1"/>
  <c r="G21" i="14639" s="1"/>
  <c r="N42" i="14674"/>
  <c r="N11" i="14674" s="1"/>
  <c r="M12" i="14674" s="1"/>
  <c r="M13" i="14674" s="1"/>
  <c r="L14" i="14670" s="1"/>
  <c r="H70" i="14643"/>
  <c r="E42" i="14674"/>
  <c r="E11" i="14674" s="1"/>
  <c r="D12" i="14674" s="1"/>
  <c r="D7" i="14671"/>
  <c r="D10" i="14671" s="1"/>
  <c r="L7" i="14671"/>
  <c r="L10" i="14671" s="1"/>
  <c r="C59" i="14643"/>
  <c r="M13" i="14634"/>
  <c r="L14" i="14631" s="1"/>
  <c r="W18" i="14709"/>
  <c r="H66" i="14643"/>
  <c r="H67" i="14643"/>
  <c r="H68" i="14643"/>
  <c r="H7" i="14671"/>
  <c r="H10" i="14671" s="1"/>
  <c r="H69" i="14643"/>
  <c r="H64" i="14643"/>
  <c r="G72" i="14643"/>
  <c r="E15" i="14643" s="1"/>
  <c r="D37" i="14649" s="1"/>
  <c r="H42" i="14674"/>
  <c r="H11" i="14674" s="1"/>
  <c r="G12" i="14674" s="1"/>
  <c r="G13" i="14674" s="1"/>
  <c r="F14" i="14670" s="1"/>
  <c r="J41" i="14675"/>
  <c r="P20" i="14709"/>
  <c r="R27" i="14623"/>
  <c r="M7" i="14671"/>
  <c r="M10" i="14671" s="1"/>
  <c r="N15" i="14631"/>
  <c r="D17" i="14617" s="1"/>
  <c r="K41" i="14675"/>
  <c r="H41" i="14675"/>
  <c r="E12" i="14639"/>
  <c r="E20" i="14639" s="1"/>
  <c r="E21" i="14639" s="1"/>
  <c r="L48" i="14648"/>
  <c r="K7" i="14671"/>
  <c r="K10" i="14671" s="1"/>
  <c r="E41" i="14675"/>
  <c r="C12" i="14639"/>
  <c r="C13" i="14639" s="1"/>
  <c r="B14" i="14640" s="1"/>
  <c r="M41" i="14675"/>
  <c r="C9" i="14643"/>
  <c r="I21" i="14632"/>
  <c r="N21" i="14632"/>
  <c r="B21" i="14638" s="1"/>
  <c r="F21" i="14632"/>
  <c r="J21" i="14632"/>
  <c r="H21" i="14632"/>
  <c r="D21" i="14632"/>
  <c r="I41" i="14675"/>
  <c r="G48" i="14623"/>
  <c r="O41" i="14674"/>
  <c r="G21" i="14632"/>
  <c r="L21" i="14632"/>
  <c r="C21" i="14632"/>
  <c r="H53" i="14643"/>
  <c r="M21" i="14632"/>
  <c r="E21" i="14632"/>
  <c r="K21" i="14632"/>
  <c r="H52" i="14643"/>
  <c r="H55" i="14643"/>
  <c r="G59" i="14643"/>
  <c r="D15" i="14643" s="1"/>
  <c r="C37" i="14649" s="1"/>
  <c r="H58" i="14643"/>
  <c r="H51" i="14643"/>
  <c r="H54" i="14643"/>
  <c r="H57" i="14643"/>
  <c r="L41" i="14675"/>
  <c r="E59" i="14643"/>
  <c r="F16" i="4128"/>
  <c r="F16" i="14708" s="1"/>
  <c r="L7" i="14617"/>
  <c r="E72" i="14643"/>
  <c r="O9" i="14639"/>
  <c r="D13" i="14628"/>
  <c r="C14" i="8" s="1"/>
  <c r="O9" i="14634"/>
  <c r="K13" i="14639"/>
  <c r="J14" i="14640" s="1"/>
  <c r="N52" i="14669"/>
  <c r="O40" i="14675"/>
  <c r="F20" i="14639"/>
  <c r="F21" i="14639" s="1"/>
  <c r="F13" i="14639"/>
  <c r="E14" i="14640" s="1"/>
  <c r="O48" i="14623"/>
  <c r="C48" i="14632" s="1"/>
  <c r="F48" i="14623"/>
  <c r="J48" i="14623"/>
  <c r="K48" i="14623"/>
  <c r="D48" i="14623"/>
  <c r="D79" i="14647"/>
  <c r="M48" i="14623"/>
  <c r="I48" i="14623"/>
  <c r="L48" i="14623"/>
  <c r="N48" i="14623"/>
  <c r="B48" i="14632" s="1"/>
  <c r="H48" i="14623"/>
  <c r="E48" i="14623"/>
  <c r="H21" i="14638"/>
  <c r="D21" i="14638"/>
  <c r="N21" i="14638"/>
  <c r="B21" i="14678" s="1"/>
  <c r="D21" i="14678"/>
  <c r="F21" i="14638"/>
  <c r="I21" i="14638"/>
  <c r="J21" i="14638"/>
  <c r="K21" i="14638"/>
  <c r="E21" i="14638"/>
  <c r="G21" i="14678"/>
  <c r="H21" i="14678"/>
  <c r="G21" i="14638"/>
  <c r="M21" i="14638"/>
  <c r="L21" i="14638"/>
  <c r="C21" i="14638"/>
  <c r="J21" i="14678"/>
  <c r="M21" i="14678"/>
  <c r="F21" i="14678"/>
  <c r="H21" i="14679"/>
  <c r="K21" i="14678"/>
  <c r="L21" i="14678"/>
  <c r="E21" i="14678"/>
  <c r="D21" i="14679"/>
  <c r="N21" i="14678"/>
  <c r="B21" i="14679" s="1"/>
  <c r="C21" i="14678"/>
  <c r="I21" i="14678"/>
  <c r="E16" i="14647"/>
  <c r="B20" i="14647" s="1"/>
  <c r="E45" i="14647"/>
  <c r="B30" i="14647"/>
  <c r="I30" i="14647" s="1"/>
  <c r="J30" i="14647" s="1"/>
  <c r="B44" i="14647"/>
  <c r="I44" i="14647" s="1"/>
  <c r="J44" i="14647" s="1"/>
  <c r="E31" i="14647"/>
  <c r="B15" i="14647"/>
  <c r="I15" i="14647" s="1"/>
  <c r="J15" i="14647" s="1"/>
  <c r="C72" i="14643"/>
  <c r="H9" i="14675"/>
  <c r="I9" i="14628"/>
  <c r="O6" i="14628"/>
  <c r="O9" i="14628" s="1"/>
  <c r="F16" i="14657"/>
  <c r="F9" i="14643"/>
  <c r="H9" i="14674"/>
  <c r="O6" i="14674"/>
  <c r="O9" i="14674" s="1"/>
  <c r="G16" i="14657"/>
  <c r="G9" i="14643"/>
  <c r="K17" i="14663"/>
  <c r="J14" i="14624"/>
  <c r="I11" i="14624"/>
  <c r="I21" i="14624"/>
  <c r="I12" i="14624"/>
  <c r="K16" i="14663"/>
  <c r="J9" i="14624"/>
  <c r="I16" i="14624"/>
  <c r="I15" i="14624"/>
  <c r="I18" i="14624" s="1"/>
  <c r="I22" i="14624"/>
  <c r="N5" i="14671"/>
  <c r="M7" i="14617" s="1"/>
  <c r="O7" i="14617" s="1"/>
  <c r="J13" i="14634"/>
  <c r="I14" i="14631" s="1"/>
  <c r="O12" i="14634"/>
  <c r="L11" i="14667"/>
  <c r="G11" i="14701" s="1"/>
  <c r="F11" i="14701"/>
  <c r="H44" i="14683"/>
  <c r="H29" i="14683"/>
  <c r="E13" i="14628"/>
  <c r="D14" i="8" s="1"/>
  <c r="F22" i="14628"/>
  <c r="F24" i="14628" s="1"/>
  <c r="F21" i="14625" s="1"/>
  <c r="L53" i="14694"/>
  <c r="M48" i="14648" s="1"/>
  <c r="E54" i="14689"/>
  <c r="B98" i="14643"/>
  <c r="C96" i="14643" s="1"/>
  <c r="H79" i="14647"/>
  <c r="M52" i="14623"/>
  <c r="S52" i="14623"/>
  <c r="K52" i="14623"/>
  <c r="R52" i="14623"/>
  <c r="F52" i="14632" s="1"/>
  <c r="H52" i="14623"/>
  <c r="L52" i="14623"/>
  <c r="Q52" i="14623"/>
  <c r="E52" i="14632" s="1"/>
  <c r="N52" i="14623"/>
  <c r="B52" i="14632" s="1"/>
  <c r="O52" i="14623"/>
  <c r="C52" i="14632" s="1"/>
  <c r="I52" i="14623"/>
  <c r="P52" i="14623"/>
  <c r="D52" i="14632" s="1"/>
  <c r="G79" i="14647"/>
  <c r="B62" i="14647"/>
  <c r="G93" i="14647"/>
  <c r="B78" i="14647"/>
  <c r="I78" i="14647" s="1"/>
  <c r="J78" i="14647" s="1"/>
  <c r="N51" i="14669"/>
  <c r="F90" i="14643"/>
  <c r="G90" i="14643" s="1"/>
  <c r="G63" i="14647"/>
  <c r="N51" i="14623" s="1"/>
  <c r="B44" i="14652"/>
  <c r="I44" i="14652" s="1"/>
  <c r="J44" i="14652" s="1"/>
  <c r="B92" i="14647"/>
  <c r="I92" i="14647" s="1"/>
  <c r="J92" i="14647" s="1"/>
  <c r="D46" i="14647"/>
  <c r="O22" i="14632"/>
  <c r="C22" i="14638" s="1"/>
  <c r="K22" i="14632"/>
  <c r="M22" i="14632"/>
  <c r="E22" i="14632"/>
  <c r="I22" i="14632"/>
  <c r="H22" i="14632"/>
  <c r="N22" i="14632"/>
  <c r="B22" i="14638" s="1"/>
  <c r="G22" i="14632"/>
  <c r="L22" i="14632"/>
  <c r="D22" i="14632"/>
  <c r="J22" i="14632"/>
  <c r="F22" i="14632"/>
  <c r="J52" i="14623"/>
  <c r="N57" i="14669"/>
  <c r="I29" i="14683"/>
  <c r="J29" i="14683" s="1"/>
  <c r="F41" i="14675"/>
  <c r="C20" i="14634"/>
  <c r="C21" i="14634" s="1"/>
  <c r="O21" i="14634" s="1"/>
  <c r="I8" i="14661"/>
  <c r="I21" i="14661" s="1"/>
  <c r="F17" i="14657" s="1"/>
  <c r="J11" i="14661"/>
  <c r="J8" i="14661" s="1"/>
  <c r="J21" i="14661" s="1"/>
  <c r="G17" i="14657" s="1"/>
  <c r="N15" i="8"/>
  <c r="B17" i="14617" s="1"/>
  <c r="C60" i="14712" s="1"/>
  <c r="C72" i="14712" s="1"/>
  <c r="G31" i="14688"/>
  <c r="H9" i="14667"/>
  <c r="F7" i="14667"/>
  <c r="D9" i="14701"/>
  <c r="D7" i="14701" s="1"/>
  <c r="B4" i="14705" s="1"/>
  <c r="H15" i="14640"/>
  <c r="D15" i="14640"/>
  <c r="I15" i="14640"/>
  <c r="L15" i="14640"/>
  <c r="K15" i="14640"/>
  <c r="B15" i="14640"/>
  <c r="E10" i="14643"/>
  <c r="J15" i="14640"/>
  <c r="C15" i="14640"/>
  <c r="F15" i="14640"/>
  <c r="G15" i="14640"/>
  <c r="M15" i="14640"/>
  <c r="E15" i="14640"/>
  <c r="N41" i="14679"/>
  <c r="N45" i="14681"/>
  <c r="G24" i="14657" s="1"/>
  <c r="N15" i="14679"/>
  <c r="B32" i="14701"/>
  <c r="B44" i="14701" s="1"/>
  <c r="E11" i="14705"/>
  <c r="C59" i="14669"/>
  <c r="I59" i="14669"/>
  <c r="L59" i="14669"/>
  <c r="G59" i="14669"/>
  <c r="M59" i="14669"/>
  <c r="J59" i="14669"/>
  <c r="B59" i="14669"/>
  <c r="F59" i="14669"/>
  <c r="K8" i="14675"/>
  <c r="K16" i="14677"/>
  <c r="F97" i="14643"/>
  <c r="G97" i="14643"/>
  <c r="F33" i="14667"/>
  <c r="C33" i="14701"/>
  <c r="C32" i="14701" s="1"/>
  <c r="F42" i="14689"/>
  <c r="D32" i="14667"/>
  <c r="M52" i="14694"/>
  <c r="N52" i="14694" s="1"/>
  <c r="M51" i="14694"/>
  <c r="N51" i="14694" s="1"/>
  <c r="F34" i="14708"/>
  <c r="K7" i="14617"/>
  <c r="F34" i="4128"/>
  <c r="E30" i="14649" s="1"/>
  <c r="E7" i="14704"/>
  <c r="E77" i="14643"/>
  <c r="E81" i="14643"/>
  <c r="E79" i="14643"/>
  <c r="E78" i="14643"/>
  <c r="E84" i="14643"/>
  <c r="E80" i="14643"/>
  <c r="E82" i="14643"/>
  <c r="E83" i="14643"/>
  <c r="C41" i="14675"/>
  <c r="O39" i="14675"/>
  <c r="F91" i="14643"/>
  <c r="G91" i="14643" s="1"/>
  <c r="D98" i="14643"/>
  <c r="L8" i="14675"/>
  <c r="L9" i="14675" s="1"/>
  <c r="L16" i="14677"/>
  <c r="F96" i="14643"/>
  <c r="G96" i="14643"/>
  <c r="F92" i="14643"/>
  <c r="G92" i="14643" s="1"/>
  <c r="N58" i="14669"/>
  <c r="E59" i="14669"/>
  <c r="I44" i="14683"/>
  <c r="J44" i="14683" s="1"/>
  <c r="N54" i="14669"/>
  <c r="D59" i="14669"/>
  <c r="C13" i="14628"/>
  <c r="B14" i="8" s="1"/>
  <c r="O50" i="14632"/>
  <c r="M50" i="14632"/>
  <c r="H50" i="14632"/>
  <c r="N50" i="14632"/>
  <c r="K50" i="14632"/>
  <c r="E26" i="14632"/>
  <c r="Q27" i="14623"/>
  <c r="F11" i="14704"/>
  <c r="S27" i="14632"/>
  <c r="G26" i="14638"/>
  <c r="G95" i="14643"/>
  <c r="F95" i="14643"/>
  <c r="H47" i="14647"/>
  <c r="L26" i="14679" s="1"/>
  <c r="F93" i="14643"/>
  <c r="G93" i="14643" s="1"/>
  <c r="F95" i="14647"/>
  <c r="F94" i="14643"/>
  <c r="G94" i="14643" s="1"/>
  <c r="N56" i="14669"/>
  <c r="I50" i="14632"/>
  <c r="Q50" i="14632"/>
  <c r="J50" i="14632"/>
  <c r="P50" i="14632"/>
  <c r="G50" i="14632"/>
  <c r="L50" i="14632"/>
  <c r="N55" i="14669"/>
  <c r="N53" i="14669"/>
  <c r="K59" i="14669"/>
  <c r="H59" i="14669"/>
  <c r="F8" i="14701"/>
  <c r="L8" i="14667"/>
  <c r="G20" i="14628"/>
  <c r="H46" i="14643"/>
  <c r="G13" i="14628"/>
  <c r="N6" i="14640"/>
  <c r="B7" i="14640"/>
  <c r="N6" i="14671"/>
  <c r="B7" i="14671"/>
  <c r="N6" i="14631"/>
  <c r="B7" i="14631"/>
  <c r="N6" i="14670"/>
  <c r="B7" i="14670"/>
  <c r="G13" i="14626"/>
  <c r="G9" i="14626" s="1"/>
  <c r="G29" i="14626" s="1"/>
  <c r="B29" i="14667"/>
  <c r="N6" i="8"/>
  <c r="F7" i="8"/>
  <c r="N59" i="14668" l="1"/>
  <c r="R27" i="14632"/>
  <c r="D13" i="14639"/>
  <c r="C14" i="14640" s="1"/>
  <c r="C17" i="14704"/>
  <c r="D60" i="14712"/>
  <c r="D72" i="14712" s="1"/>
  <c r="Q27" i="14632"/>
  <c r="F85" i="14643"/>
  <c r="H84" i="14643" s="1"/>
  <c r="F23" i="14643"/>
  <c r="F24" i="14643" s="1"/>
  <c r="C84" i="14643"/>
  <c r="C78" i="14643"/>
  <c r="C83" i="14643"/>
  <c r="C81" i="14643"/>
  <c r="C80" i="14643"/>
  <c r="C79" i="14643"/>
  <c r="C77" i="14643"/>
  <c r="J20" i="14674"/>
  <c r="J21" i="14674" s="1"/>
  <c r="P51" i="14623"/>
  <c r="D51" i="14632" s="1"/>
  <c r="E50" i="14668"/>
  <c r="E30" i="14668"/>
  <c r="E16" i="14668"/>
  <c r="Q19" i="14679"/>
  <c r="Q45" i="14679" s="1"/>
  <c r="E19" i="14679"/>
  <c r="E45" i="14679" s="1"/>
  <c r="E32" i="14679"/>
  <c r="E19" i="14638"/>
  <c r="E45" i="14638" s="1"/>
  <c r="Q19" i="14638"/>
  <c r="Q45" i="14638" s="1"/>
  <c r="E32" i="14638"/>
  <c r="L54" i="14694"/>
  <c r="M16" i="14677" s="1"/>
  <c r="G4" i="14677"/>
  <c r="G7" i="14636"/>
  <c r="G26" i="14636" s="1"/>
  <c r="G7" i="14629"/>
  <c r="G26" i="14629" s="1"/>
  <c r="G10" i="14663"/>
  <c r="F6" i="14623"/>
  <c r="F4" i="14640"/>
  <c r="G4" i="14634"/>
  <c r="F4" i="14669"/>
  <c r="G4" i="14674"/>
  <c r="F4" i="8"/>
  <c r="F6" i="14678"/>
  <c r="G4" i="14625"/>
  <c r="G4" i="14633"/>
  <c r="F8" i="14681"/>
  <c r="F4" i="14653"/>
  <c r="F4" i="14668"/>
  <c r="G4" i="14676"/>
  <c r="F4" i="14671"/>
  <c r="G4" i="14628"/>
  <c r="F4" i="14631"/>
  <c r="G4" i="14675"/>
  <c r="G7" i="14673"/>
  <c r="G26" i="14673" s="1"/>
  <c r="F6" i="14679"/>
  <c r="F4" i="7"/>
  <c r="G7" i="14672"/>
  <c r="G26" i="14672" s="1"/>
  <c r="G4" i="14639"/>
  <c r="F4" i="14670"/>
  <c r="F6" i="14632"/>
  <c r="F4" i="14637"/>
  <c r="G4" i="14641"/>
  <c r="F4" i="14630"/>
  <c r="G7" i="14624"/>
  <c r="G26" i="14624" s="1"/>
  <c r="F6" i="14638"/>
  <c r="F18" i="14634"/>
  <c r="F30" i="14634"/>
  <c r="F32" i="14663"/>
  <c r="F43" i="14663"/>
  <c r="F59" i="14663"/>
  <c r="F26" i="14663"/>
  <c r="F15" i="14663"/>
  <c r="F54" i="14663"/>
  <c r="F48" i="14663"/>
  <c r="F37" i="14663"/>
  <c r="F21" i="14663"/>
  <c r="F30" i="14628"/>
  <c r="F18" i="14628"/>
  <c r="G29" i="14645"/>
  <c r="G86" i="14645" s="1"/>
  <c r="I7" i="14655"/>
  <c r="G18" i="14645"/>
  <c r="G75" i="14645" s="1"/>
  <c r="G7" i="14645"/>
  <c r="G64" i="14645" s="1"/>
  <c r="G40" i="14645"/>
  <c r="G51" i="14645"/>
  <c r="F30" i="14639"/>
  <c r="F18" i="14639"/>
  <c r="F18" i="14675"/>
  <c r="F30" i="14675"/>
  <c r="E30" i="7"/>
  <c r="E97" i="14645"/>
  <c r="E50" i="7"/>
  <c r="E16" i="7"/>
  <c r="E108" i="14645"/>
  <c r="E50" i="14637"/>
  <c r="E30" i="14637"/>
  <c r="E16" i="14637"/>
  <c r="A53" i="14665"/>
  <c r="B52" i="14665"/>
  <c r="J57" i="14665" s="1"/>
  <c r="F18" i="14674"/>
  <c r="F30" i="14674"/>
  <c r="E50" i="14630"/>
  <c r="E16" i="14630"/>
  <c r="E30" i="14630"/>
  <c r="E26" i="14681"/>
  <c r="E44" i="14681"/>
  <c r="E35" i="14681"/>
  <c r="E17" i="14681"/>
  <c r="M26" i="14678"/>
  <c r="E16" i="14669"/>
  <c r="E30" i="14669"/>
  <c r="E50" i="14669"/>
  <c r="E19" i="14623"/>
  <c r="E45" i="14623" s="1"/>
  <c r="E32" i="14623"/>
  <c r="Q19" i="14623"/>
  <c r="Q45" i="14623" s="1"/>
  <c r="E19" i="14678"/>
  <c r="E45" i="14678" s="1"/>
  <c r="Q19" i="14678"/>
  <c r="Q45" i="14678" s="1"/>
  <c r="E32" i="14678"/>
  <c r="Q19" i="14632"/>
  <c r="Q45" i="14632" s="1"/>
  <c r="E32" i="14632"/>
  <c r="E19" i="14632"/>
  <c r="E45" i="14632" s="1"/>
  <c r="E37" i="14653"/>
  <c r="E11" i="14653"/>
  <c r="E24" i="14653"/>
  <c r="E50" i="14653"/>
  <c r="E63" i="14653"/>
  <c r="M13" i="14639"/>
  <c r="L14" i="14640" s="1"/>
  <c r="K12" i="14674"/>
  <c r="K13" i="14674" s="1"/>
  <c r="J14" i="14670" s="1"/>
  <c r="I12" i="14674"/>
  <c r="I20" i="14674" s="1"/>
  <c r="I21" i="14674" s="1"/>
  <c r="G13" i="14639"/>
  <c r="F14" i="14640" s="1"/>
  <c r="N13" i="14639"/>
  <c r="M14" i="14640" s="1"/>
  <c r="J13" i="14639"/>
  <c r="I14" i="14640" s="1"/>
  <c r="F12" i="14674"/>
  <c r="F13" i="14674" s="1"/>
  <c r="E14" i="14670" s="1"/>
  <c r="I13" i="14639"/>
  <c r="H14" i="14640" s="1"/>
  <c r="H13" i="14639"/>
  <c r="G14" i="14640" s="1"/>
  <c r="C12" i="14674"/>
  <c r="C20" i="14674" s="1"/>
  <c r="E12" i="14674"/>
  <c r="E20" i="14674" s="1"/>
  <c r="E21" i="14674" s="1"/>
  <c r="N14" i="14631"/>
  <c r="E13" i="14639"/>
  <c r="D14" i="14640" s="1"/>
  <c r="M20" i="14674"/>
  <c r="M21" i="14674" s="1"/>
  <c r="N12" i="14674"/>
  <c r="N13" i="14674" s="1"/>
  <c r="M14" i="14670" s="1"/>
  <c r="H72" i="14643"/>
  <c r="L12" i="14674"/>
  <c r="L13" i="14674" s="1"/>
  <c r="K14" i="14670" s="1"/>
  <c r="H42" i="14675"/>
  <c r="H11" i="14675" s="1"/>
  <c r="G12" i="14675" s="1"/>
  <c r="H12" i="14674"/>
  <c r="H20" i="14674" s="1"/>
  <c r="H21" i="14674" s="1"/>
  <c r="O12" i="14639"/>
  <c r="K42" i="14675"/>
  <c r="K11" i="14675" s="1"/>
  <c r="I12" i="14675" s="1"/>
  <c r="I13" i="14675" s="1"/>
  <c r="H14" i="14671" s="1"/>
  <c r="Q20" i="14709"/>
  <c r="W22" i="14709"/>
  <c r="C20" i="14639"/>
  <c r="C21" i="14639" s="1"/>
  <c r="O21" i="14639" s="1"/>
  <c r="E17" i="14617"/>
  <c r="F21" i="14691"/>
  <c r="N42" i="14675"/>
  <c r="N11" i="14675" s="1"/>
  <c r="L12" i="14675" s="1"/>
  <c r="L20" i="14675" s="1"/>
  <c r="L21" i="14675" s="1"/>
  <c r="B11" i="14705"/>
  <c r="H59" i="14643"/>
  <c r="C90" i="14643"/>
  <c r="G16" i="4128"/>
  <c r="G16" i="14708" s="1"/>
  <c r="G51" i="14623"/>
  <c r="K51" i="14623"/>
  <c r="L51" i="14623"/>
  <c r="D94" i="14647"/>
  <c r="H48" i="14632"/>
  <c r="J48" i="14632"/>
  <c r="N48" i="14632"/>
  <c r="B48" i="14638" s="1"/>
  <c r="L48" i="14632"/>
  <c r="G48" i="14632"/>
  <c r="F48" i="14632"/>
  <c r="O48" i="14632"/>
  <c r="C48" i="14638" s="1"/>
  <c r="M48" i="14632"/>
  <c r="I48" i="14632"/>
  <c r="D48" i="14632"/>
  <c r="K48" i="14632"/>
  <c r="E48" i="14632"/>
  <c r="B45" i="14647"/>
  <c r="I45" i="14647" s="1"/>
  <c r="J45" i="14647" s="1"/>
  <c r="G20" i="14647"/>
  <c r="H20" i="14647"/>
  <c r="D20" i="14647"/>
  <c r="F20" i="14647"/>
  <c r="I12" i="14645" s="1"/>
  <c r="I13" i="14645" s="1"/>
  <c r="J7" i="14625" s="1"/>
  <c r="E20" i="14647"/>
  <c r="E46" i="14647"/>
  <c r="B46" i="14647" s="1"/>
  <c r="I46" i="14647" s="1"/>
  <c r="J46" i="14647" s="1"/>
  <c r="B31" i="14647"/>
  <c r="I31" i="14647" s="1"/>
  <c r="J31" i="14647" s="1"/>
  <c r="E32" i="14647"/>
  <c r="K23" i="14632" s="1"/>
  <c r="O23" i="14623"/>
  <c r="L23" i="14623"/>
  <c r="F23" i="14623"/>
  <c r="M23" i="14623"/>
  <c r="I23" i="14623"/>
  <c r="J23" i="14623"/>
  <c r="K23" i="14623"/>
  <c r="G23" i="14623"/>
  <c r="P23" i="14623"/>
  <c r="N23" i="14623"/>
  <c r="H23" i="14623"/>
  <c r="E23" i="14623"/>
  <c r="B16" i="14647"/>
  <c r="L20" i="14623" s="1"/>
  <c r="K26" i="14679"/>
  <c r="C92" i="14643"/>
  <c r="C95" i="14643"/>
  <c r="C91" i="14643"/>
  <c r="G23" i="14643"/>
  <c r="G24" i="14643" s="1"/>
  <c r="C94" i="14643"/>
  <c r="F98" i="14643"/>
  <c r="H97" i="14643" s="1"/>
  <c r="C93" i="14643"/>
  <c r="C97" i="14643"/>
  <c r="O13" i="14634"/>
  <c r="D16" i="14617" s="1"/>
  <c r="O20" i="14634"/>
  <c r="I12" i="14628"/>
  <c r="I13" i="14628" s="1"/>
  <c r="G20" i="14674"/>
  <c r="G21" i="14674" s="1"/>
  <c r="K9" i="14624"/>
  <c r="L16" i="14663"/>
  <c r="L17" i="14663"/>
  <c r="K14" i="14624"/>
  <c r="J11" i="14624"/>
  <c r="J21" i="14624"/>
  <c r="J12" i="14624"/>
  <c r="J16" i="14624"/>
  <c r="J15" i="14624"/>
  <c r="J18" i="14624" s="1"/>
  <c r="J22" i="14624"/>
  <c r="F17" i="14617"/>
  <c r="V22" i="14709"/>
  <c r="H26" i="14679"/>
  <c r="H26" i="14678"/>
  <c r="J26" i="14678"/>
  <c r="O26" i="14638"/>
  <c r="C26" i="14678" s="1"/>
  <c r="I26" i="14678"/>
  <c r="N59" i="14669"/>
  <c r="B30" i="11"/>
  <c r="B21" i="14622" s="1"/>
  <c r="F54" i="14689"/>
  <c r="O26" i="14679"/>
  <c r="L26" i="14638"/>
  <c r="J8" i="14617"/>
  <c r="J9" i="14617" s="1"/>
  <c r="F11" i="14657"/>
  <c r="F12" i="14657" s="1"/>
  <c r="D8" i="14617"/>
  <c r="D11" i="14657"/>
  <c r="D12" i="14657" s="1"/>
  <c r="M8" i="14617"/>
  <c r="M9" i="14617" s="1"/>
  <c r="G11" i="14657"/>
  <c r="G12" i="14657" s="1"/>
  <c r="G8" i="14617"/>
  <c r="X10" i="14709" s="1"/>
  <c r="E11" i="14657"/>
  <c r="E12" i="14657" s="1"/>
  <c r="B8" i="14617"/>
  <c r="C6" i="14712" s="1"/>
  <c r="C11" i="14657"/>
  <c r="C12" i="14657" s="1"/>
  <c r="B51" i="14632"/>
  <c r="N53" i="14623"/>
  <c r="B93" i="14647"/>
  <c r="I93" i="14647" s="1"/>
  <c r="J93" i="14647" s="1"/>
  <c r="I62" i="14647"/>
  <c r="J62" i="14647" s="1"/>
  <c r="O51" i="14623"/>
  <c r="J51" i="14623"/>
  <c r="O22" i="14638"/>
  <c r="C22" i="14678" s="1"/>
  <c r="E22" i="14678"/>
  <c r="G22" i="14638"/>
  <c r="N22" i="14638"/>
  <c r="B22" i="14678" s="1"/>
  <c r="L22" i="14638"/>
  <c r="M22" i="14638"/>
  <c r="F22" i="14638"/>
  <c r="J22" i="14638"/>
  <c r="K22" i="14638"/>
  <c r="D22" i="14638"/>
  <c r="K22" i="14678"/>
  <c r="H22" i="14638"/>
  <c r="I22" i="14678"/>
  <c r="N22" i="14678"/>
  <c r="B22" i="14679" s="1"/>
  <c r="L22" i="14678"/>
  <c r="M22" i="14678"/>
  <c r="D22" i="14678"/>
  <c r="J22" i="14678"/>
  <c r="I22" i="14679"/>
  <c r="H22" i="14678"/>
  <c r="L22" i="14679"/>
  <c r="E22" i="14638"/>
  <c r="I22" i="14638"/>
  <c r="F22" i="14678"/>
  <c r="E22" i="14679"/>
  <c r="G22" i="14678"/>
  <c r="O22" i="14678"/>
  <c r="C22" i="14679" s="1"/>
  <c r="N22" i="14679"/>
  <c r="K22" i="14679"/>
  <c r="O22" i="14679"/>
  <c r="D22" i="14679"/>
  <c r="G22" i="14679"/>
  <c r="J22" i="14679"/>
  <c r="H22" i="14679"/>
  <c r="F22" i="14679"/>
  <c r="M22" i="14679"/>
  <c r="G80" i="14647"/>
  <c r="I51" i="14632" s="1"/>
  <c r="M51" i="14623"/>
  <c r="R51" i="14623"/>
  <c r="Q51" i="14623"/>
  <c r="B63" i="14647"/>
  <c r="H46" i="14623" s="1"/>
  <c r="B67" i="14647"/>
  <c r="G94" i="14647"/>
  <c r="B79" i="14647"/>
  <c r="I79" i="14647" s="1"/>
  <c r="J79" i="14647" s="1"/>
  <c r="G52" i="14632"/>
  <c r="S53" i="14623"/>
  <c r="H94" i="14647"/>
  <c r="O52" i="14632"/>
  <c r="C52" i="14638" s="1"/>
  <c r="L52" i="14632"/>
  <c r="R52" i="14632"/>
  <c r="F52" i="14638" s="1"/>
  <c r="N52" i="14632"/>
  <c r="B52" i="14638" s="1"/>
  <c r="I52" i="14632"/>
  <c r="K52" i="14632"/>
  <c r="J52" i="14632"/>
  <c r="P52" i="14632"/>
  <c r="D52" i="14638" s="1"/>
  <c r="S52" i="14632"/>
  <c r="Q52" i="14632"/>
  <c r="E52" i="14638" s="1"/>
  <c r="M52" i="14632"/>
  <c r="H52" i="14632"/>
  <c r="I51" i="14623"/>
  <c r="H51" i="14623"/>
  <c r="E21" i="14691"/>
  <c r="C17" i="14617"/>
  <c r="B17" i="14704"/>
  <c r="E15" i="14670"/>
  <c r="I15" i="14670"/>
  <c r="F15" i="14670"/>
  <c r="G15" i="14670"/>
  <c r="K15" i="14670"/>
  <c r="B15" i="14670"/>
  <c r="F10" i="14643"/>
  <c r="C15" i="14670"/>
  <c r="M15" i="14670"/>
  <c r="H15" i="14670"/>
  <c r="J15" i="14670"/>
  <c r="L15" i="14670"/>
  <c r="D15" i="14670"/>
  <c r="J9" i="14667"/>
  <c r="H7" i="14667"/>
  <c r="E9" i="14701"/>
  <c r="E7" i="14701" s="1"/>
  <c r="B5" i="14705" s="1"/>
  <c r="F15" i="14671"/>
  <c r="C15" i="14671"/>
  <c r="I15" i="14671"/>
  <c r="K15" i="14671"/>
  <c r="L15" i="14671"/>
  <c r="E15" i="14671"/>
  <c r="J15" i="14671"/>
  <c r="G10" i="14643"/>
  <c r="M15" i="14671"/>
  <c r="B15" i="14671"/>
  <c r="H15" i="14671"/>
  <c r="G15" i="14671"/>
  <c r="D15" i="14671"/>
  <c r="N15" i="14640"/>
  <c r="G17" i="14617" s="1"/>
  <c r="B12" i="14705"/>
  <c r="F50" i="14638"/>
  <c r="L50" i="14679"/>
  <c r="L50" i="14678"/>
  <c r="J50" i="14638"/>
  <c r="O50" i="14678"/>
  <c r="G50" i="14679"/>
  <c r="G50" i="14678"/>
  <c r="N50" i="14638"/>
  <c r="H50" i="14638"/>
  <c r="K50" i="14678"/>
  <c r="L50" i="14638"/>
  <c r="P50" i="14679"/>
  <c r="Q50" i="14638"/>
  <c r="I50" i="14678"/>
  <c r="N50" i="14678"/>
  <c r="J50" i="14679"/>
  <c r="J50" i="14678"/>
  <c r="Q50" i="14678"/>
  <c r="M50" i="14678"/>
  <c r="F50" i="14679"/>
  <c r="F50" i="14678"/>
  <c r="M50" i="14638"/>
  <c r="I50" i="14638"/>
  <c r="G50" i="14638"/>
  <c r="N50" i="14679"/>
  <c r="P50" i="14678"/>
  <c r="H50" i="14678"/>
  <c r="I50" i="14679"/>
  <c r="K50" i="14679"/>
  <c r="Q50" i="14679"/>
  <c r="P50" i="14638"/>
  <c r="M50" i="14679"/>
  <c r="O50" i="14638"/>
  <c r="O50" i="14679"/>
  <c r="H50" i="14679"/>
  <c r="K50" i="14638"/>
  <c r="N7" i="14617"/>
  <c r="G34" i="14708"/>
  <c r="F7" i="14704"/>
  <c r="G34" i="4128"/>
  <c r="F30" i="14649" s="1"/>
  <c r="B50" i="14638"/>
  <c r="E42" i="14675"/>
  <c r="E11" i="14675" s="1"/>
  <c r="O41" i="14675"/>
  <c r="K9" i="14675"/>
  <c r="N11" i="14617"/>
  <c r="Q26" i="14679"/>
  <c r="Q27" i="14679" s="1"/>
  <c r="N26" i="14679"/>
  <c r="N26" i="14638"/>
  <c r="E85" i="14643"/>
  <c r="M53" i="14694"/>
  <c r="D50" i="14638"/>
  <c r="E50" i="14638"/>
  <c r="D20" i="14674"/>
  <c r="D21" i="14674" s="1"/>
  <c r="D13" i="14674"/>
  <c r="C14" i="14670" s="1"/>
  <c r="K26" i="14638"/>
  <c r="I26" i="14638"/>
  <c r="Q26" i="14678"/>
  <c r="S26" i="14679"/>
  <c r="S27" i="14679" s="1"/>
  <c r="J26" i="14679"/>
  <c r="K26" i="14678"/>
  <c r="P26" i="14679"/>
  <c r="R26" i="14679"/>
  <c r="R27" i="14679" s="1"/>
  <c r="P26" i="14678"/>
  <c r="R26" i="14638"/>
  <c r="P26" i="14638"/>
  <c r="N26" i="14678"/>
  <c r="Q26" i="14638"/>
  <c r="H26" i="14638"/>
  <c r="S26" i="14678"/>
  <c r="I26" i="14679"/>
  <c r="L26" i="14678"/>
  <c r="R26" i="14678"/>
  <c r="M26" i="14638"/>
  <c r="C50" i="14638"/>
  <c r="E94" i="14643"/>
  <c r="E90" i="14643"/>
  <c r="E95" i="14643"/>
  <c r="E92" i="14643"/>
  <c r="E91" i="14643"/>
  <c r="E96" i="14643"/>
  <c r="E97" i="14643"/>
  <c r="E93" i="14643"/>
  <c r="H33" i="14667"/>
  <c r="D33" i="14701"/>
  <c r="D32" i="14701" s="1"/>
  <c r="B13" i="14705" s="1"/>
  <c r="G42" i="14689"/>
  <c r="F32" i="14667"/>
  <c r="J26" i="14638"/>
  <c r="S26" i="14638"/>
  <c r="M26" i="14679"/>
  <c r="O26" i="14678"/>
  <c r="F14" i="8"/>
  <c r="G21" i="14628"/>
  <c r="G8" i="14701"/>
  <c r="F10" i="8"/>
  <c r="N7" i="8"/>
  <c r="B17" i="14649"/>
  <c r="B10" i="14631"/>
  <c r="N7" i="14631"/>
  <c r="B10" i="14671"/>
  <c r="N7" i="14671"/>
  <c r="N7" i="14640"/>
  <c r="B10" i="14640"/>
  <c r="E39" i="14690"/>
  <c r="D29" i="14667"/>
  <c r="E29" i="14689"/>
  <c r="E33" i="14689" s="1"/>
  <c r="E76" i="14689" s="1"/>
  <c r="B29" i="14701"/>
  <c r="B25" i="14667"/>
  <c r="B10" i="14670"/>
  <c r="N7" i="14670"/>
  <c r="F39" i="14690"/>
  <c r="G39" i="14690"/>
  <c r="H79" i="14643" l="1"/>
  <c r="H78" i="14643"/>
  <c r="H77" i="14643"/>
  <c r="G85" i="14643"/>
  <c r="F15" i="14643" s="1"/>
  <c r="E37" i="14649" s="1"/>
  <c r="H83" i="14643"/>
  <c r="H82" i="14643"/>
  <c r="H81" i="14643"/>
  <c r="H80" i="14643"/>
  <c r="W10" i="14709"/>
  <c r="D6" i="14712"/>
  <c r="C85" i="14643"/>
  <c r="M8" i="14675"/>
  <c r="M9" i="14675" s="1"/>
  <c r="M12" i="14675" s="1"/>
  <c r="M20" i="14675" s="1"/>
  <c r="M21" i="14675" s="1"/>
  <c r="E23" i="14632"/>
  <c r="P53" i="14623"/>
  <c r="H7" i="14629"/>
  <c r="H26" i="14629" s="1"/>
  <c r="G4" i="14670"/>
  <c r="G4" i="14637"/>
  <c r="G6" i="14638"/>
  <c r="G6" i="14678"/>
  <c r="H4" i="14639"/>
  <c r="H7" i="14624"/>
  <c r="H26" i="14624" s="1"/>
  <c r="G4" i="14653"/>
  <c r="H4" i="14677"/>
  <c r="G4" i="14631"/>
  <c r="H4" i="14676"/>
  <c r="H10" i="14663"/>
  <c r="H7" i="14673"/>
  <c r="H26" i="14673" s="1"/>
  <c r="G4" i="14630"/>
  <c r="H4" i="14625"/>
  <c r="G4" i="14671"/>
  <c r="H4" i="14641"/>
  <c r="G4" i="7"/>
  <c r="G4" i="14668"/>
  <c r="G4" i="14640"/>
  <c r="G6" i="14632"/>
  <c r="H7" i="14636"/>
  <c r="H26" i="14636" s="1"/>
  <c r="H4" i="14628"/>
  <c r="G4" i="14669"/>
  <c r="G4" i="8"/>
  <c r="H7" i="14672"/>
  <c r="H26" i="14672" s="1"/>
  <c r="G8" i="14681"/>
  <c r="H4" i="14675"/>
  <c r="H4" i="14633"/>
  <c r="G6" i="14679"/>
  <c r="H4" i="14674"/>
  <c r="H4" i="14634"/>
  <c r="G6" i="14623"/>
  <c r="F32" i="14632"/>
  <c r="R19" i="14632"/>
  <c r="R45" i="14632" s="1"/>
  <c r="F19" i="14632"/>
  <c r="F45" i="14632" s="1"/>
  <c r="F97" i="14645"/>
  <c r="F50" i="7"/>
  <c r="F30" i="7"/>
  <c r="F16" i="7"/>
  <c r="F108" i="14645"/>
  <c r="F16" i="14668"/>
  <c r="F30" i="14668"/>
  <c r="F50" i="14668"/>
  <c r="F16" i="14669"/>
  <c r="F50" i="14669"/>
  <c r="F30" i="14669"/>
  <c r="G21" i="14663"/>
  <c r="G37" i="14663"/>
  <c r="G32" i="14663"/>
  <c r="G48" i="14663"/>
  <c r="G15" i="14663"/>
  <c r="G54" i="14663"/>
  <c r="G59" i="14663"/>
  <c r="G26" i="14663"/>
  <c r="G43" i="14663"/>
  <c r="A54" i="14665"/>
  <c r="B53" i="14665"/>
  <c r="K57" i="14665" s="1"/>
  <c r="F50" i="14637"/>
  <c r="F30" i="14637"/>
  <c r="F16" i="14637"/>
  <c r="H12" i="14675"/>
  <c r="H13" i="14675" s="1"/>
  <c r="G14" i="14671" s="1"/>
  <c r="F50" i="14630"/>
  <c r="F16" i="14630"/>
  <c r="F30" i="14630"/>
  <c r="F32" i="14679"/>
  <c r="R19" i="14679"/>
  <c r="R45" i="14679" s="1"/>
  <c r="F19" i="14679"/>
  <c r="F45" i="14679" s="1"/>
  <c r="G30" i="14628"/>
  <c r="G18" i="14628"/>
  <c r="F50" i="14653"/>
  <c r="F37" i="14653"/>
  <c r="F63" i="14653"/>
  <c r="F11" i="14653"/>
  <c r="F24" i="14653"/>
  <c r="R19" i="14678"/>
  <c r="R45" i="14678" s="1"/>
  <c r="F32" i="14678"/>
  <c r="F19" i="14678"/>
  <c r="F45" i="14678" s="1"/>
  <c r="G30" i="14634"/>
  <c r="G18" i="14634"/>
  <c r="R19" i="14638"/>
  <c r="R45" i="14638" s="1"/>
  <c r="F19" i="14638"/>
  <c r="F45" i="14638" s="1"/>
  <c r="F32" i="14638"/>
  <c r="G18" i="14675"/>
  <c r="G30" i="14675"/>
  <c r="G30" i="14674"/>
  <c r="G18" i="14674"/>
  <c r="F19" i="14623"/>
  <c r="F45" i="14623" s="1"/>
  <c r="F32" i="14623"/>
  <c r="R19" i="14623"/>
  <c r="R45" i="14623" s="1"/>
  <c r="H51" i="14645"/>
  <c r="H29" i="14645"/>
  <c r="H86" i="14645" s="1"/>
  <c r="H18" i="14645"/>
  <c r="H75" i="14645" s="1"/>
  <c r="H7" i="14645"/>
  <c r="H64" i="14645" s="1"/>
  <c r="J7" i="14655"/>
  <c r="H40" i="14645"/>
  <c r="G18" i="14639"/>
  <c r="G30" i="14639"/>
  <c r="F17" i="14681"/>
  <c r="F44" i="14681"/>
  <c r="F26" i="14681"/>
  <c r="F35" i="14681"/>
  <c r="K20" i="14674"/>
  <c r="K21" i="14674" s="1"/>
  <c r="F20" i="14674"/>
  <c r="F21" i="14674" s="1"/>
  <c r="I13" i="14674"/>
  <c r="H14" i="14670" s="1"/>
  <c r="E13" i="14674"/>
  <c r="D14" i="14670" s="1"/>
  <c r="O13" i="14639"/>
  <c r="G16" i="14617" s="1"/>
  <c r="I16" i="14617" s="1"/>
  <c r="C13" i="14674"/>
  <c r="B14" i="14670" s="1"/>
  <c r="L20" i="14674"/>
  <c r="L21" i="14674" s="1"/>
  <c r="N14" i="14640"/>
  <c r="O12" i="14674"/>
  <c r="O20" i="14639"/>
  <c r="N20" i="14674"/>
  <c r="N21" i="14674" s="1"/>
  <c r="F12" i="14675"/>
  <c r="F13" i="14675" s="1"/>
  <c r="E14" i="14671" s="1"/>
  <c r="H13" i="14674"/>
  <c r="G14" i="14670" s="1"/>
  <c r="J12" i="14675"/>
  <c r="R20" i="14709"/>
  <c r="F8" i="14704"/>
  <c r="F9" i="14704" s="1"/>
  <c r="X22" i="14709"/>
  <c r="I20" i="14675"/>
  <c r="I21" i="14675" s="1"/>
  <c r="J12" i="14645"/>
  <c r="J13" i="14645" s="1"/>
  <c r="K7" i="14625" s="1"/>
  <c r="F4" i="11"/>
  <c r="B16" i="14649" s="1"/>
  <c r="C18" i="14649" s="1"/>
  <c r="I23" i="14632"/>
  <c r="D12" i="14645"/>
  <c r="D13" i="14645" s="1"/>
  <c r="E7" i="14625" s="1"/>
  <c r="H12" i="14645"/>
  <c r="H13" i="14645" s="1"/>
  <c r="I7" i="14625" s="1"/>
  <c r="L13" i="14675"/>
  <c r="K14" i="14671" s="1"/>
  <c r="K20" i="14623"/>
  <c r="K27" i="14623" s="1"/>
  <c r="L6" i="14625" s="1"/>
  <c r="L27" i="14623"/>
  <c r="M6" i="14625" s="1"/>
  <c r="H92" i="14643"/>
  <c r="G98" i="14643"/>
  <c r="G15" i="14643" s="1"/>
  <c r="F37" i="14649" s="1"/>
  <c r="I48" i="14679"/>
  <c r="G48" i="14679"/>
  <c r="O48" i="14679"/>
  <c r="L48" i="14679"/>
  <c r="J48" i="14679"/>
  <c r="D48" i="14679"/>
  <c r="H48" i="14679"/>
  <c r="M48" i="14679"/>
  <c r="K48" i="14679"/>
  <c r="F48" i="14679"/>
  <c r="E48" i="14679"/>
  <c r="N48" i="14679"/>
  <c r="I48" i="14638"/>
  <c r="J48" i="14638"/>
  <c r="D48" i="14638"/>
  <c r="K48" i="14678"/>
  <c r="E48" i="14678"/>
  <c r="H48" i="14638"/>
  <c r="M48" i="14638"/>
  <c r="N48" i="14638"/>
  <c r="B48" i="14678" s="1"/>
  <c r="O48" i="14678"/>
  <c r="C48" i="14679" s="1"/>
  <c r="H48" i="14678"/>
  <c r="F48" i="14678"/>
  <c r="M48" i="14678"/>
  <c r="E48" i="14638"/>
  <c r="N48" i="14678"/>
  <c r="B48" i="14679" s="1"/>
  <c r="O48" i="14638"/>
  <c r="C48" i="14678" s="1"/>
  <c r="I48" i="14678"/>
  <c r="L48" i="14678"/>
  <c r="L48" i="14638"/>
  <c r="F48" i="14638"/>
  <c r="K48" i="14638"/>
  <c r="D48" i="14678"/>
  <c r="G48" i="14638"/>
  <c r="J48" i="14678"/>
  <c r="G48" i="14678"/>
  <c r="C20" i="14623"/>
  <c r="C27" i="14623" s="1"/>
  <c r="D6" i="14625" s="1"/>
  <c r="G20" i="14623"/>
  <c r="G27" i="14623" s="1"/>
  <c r="H6" i="14625" s="1"/>
  <c r="B23" i="14632"/>
  <c r="N27" i="14623"/>
  <c r="E47" i="14647"/>
  <c r="I23" i="14678" s="1"/>
  <c r="N23" i="14632"/>
  <c r="G23" i="14632"/>
  <c r="P23" i="14632"/>
  <c r="B32" i="14647"/>
  <c r="O23" i="14632"/>
  <c r="M23" i="14632"/>
  <c r="H23" i="14632"/>
  <c r="F23" i="14632"/>
  <c r="J23" i="14632"/>
  <c r="L23" i="14632"/>
  <c r="K12" i="14645"/>
  <c r="K13" i="14645" s="1"/>
  <c r="L7" i="14625" s="1"/>
  <c r="G12" i="14645"/>
  <c r="G13" i="14645" s="1"/>
  <c r="H7" i="14625" s="1"/>
  <c r="J20" i="14623"/>
  <c r="J27" i="14623" s="1"/>
  <c r="K6" i="14625" s="1"/>
  <c r="H20" i="14623"/>
  <c r="H27" i="14623" s="1"/>
  <c r="I6" i="14625" s="1"/>
  <c r="N23" i="14679"/>
  <c r="N27" i="14679" s="1"/>
  <c r="I16" i="14647"/>
  <c r="J16" i="14647" s="1"/>
  <c r="M20" i="14623"/>
  <c r="M27" i="14623" s="1"/>
  <c r="N6" i="14625" s="1"/>
  <c r="D20" i="14623"/>
  <c r="D27" i="14623" s="1"/>
  <c r="E6" i="14625" s="1"/>
  <c r="E20" i="14623"/>
  <c r="E27" i="14623" s="1"/>
  <c r="F6" i="14625" s="1"/>
  <c r="I20" i="14623"/>
  <c r="I27" i="14623" s="1"/>
  <c r="J6" i="14625" s="1"/>
  <c r="B20" i="14623"/>
  <c r="B27" i="14623" s="1"/>
  <c r="C6" i="14625" s="1"/>
  <c r="F20" i="14623"/>
  <c r="F27" i="14623" s="1"/>
  <c r="G6" i="14625" s="1"/>
  <c r="D23" i="14632"/>
  <c r="P27" i="14623"/>
  <c r="C23" i="14632"/>
  <c r="O27" i="14623"/>
  <c r="C12" i="14645"/>
  <c r="C13" i="14645" s="1"/>
  <c r="D7" i="14625" s="1"/>
  <c r="C20" i="14647"/>
  <c r="H94" i="14643"/>
  <c r="H95" i="14643"/>
  <c r="H93" i="14643"/>
  <c r="H91" i="14643"/>
  <c r="H96" i="14643"/>
  <c r="H90" i="14643"/>
  <c r="C98" i="14643"/>
  <c r="E16" i="14617"/>
  <c r="C16" i="14704"/>
  <c r="F28" i="14691"/>
  <c r="F30" i="14691" s="1"/>
  <c r="H14" i="8"/>
  <c r="N14" i="8" s="1"/>
  <c r="O13" i="14628"/>
  <c r="B16" i="14617" s="1"/>
  <c r="I20" i="14628"/>
  <c r="O12" i="14628"/>
  <c r="K12" i="14624"/>
  <c r="K11" i="14624"/>
  <c r="K21" i="14624"/>
  <c r="L9" i="14624"/>
  <c r="M16" i="14663"/>
  <c r="L14" i="14624"/>
  <c r="M17" i="14663"/>
  <c r="K22" i="14624"/>
  <c r="K16" i="14624"/>
  <c r="K15" i="14624"/>
  <c r="K18" i="14624" s="1"/>
  <c r="N8" i="14617"/>
  <c r="E8" i="14704"/>
  <c r="E9" i="14704" s="1"/>
  <c r="B9" i="14617"/>
  <c r="B12" i="14617" s="1"/>
  <c r="V10" i="14709"/>
  <c r="B25" i="14622"/>
  <c r="G54" i="14689"/>
  <c r="K8" i="14617"/>
  <c r="O8" i="14617"/>
  <c r="E98" i="14643"/>
  <c r="H53" i="14623"/>
  <c r="I14" i="14625" s="1"/>
  <c r="M52" i="14638"/>
  <c r="K52" i="14679"/>
  <c r="R52" i="14679"/>
  <c r="S52" i="14679"/>
  <c r="S53" i="14679" s="1"/>
  <c r="P52" i="14679"/>
  <c r="H52" i="14679"/>
  <c r="O52" i="14679"/>
  <c r="N52" i="14679"/>
  <c r="L52" i="14679"/>
  <c r="Q52" i="14679"/>
  <c r="J52" i="14679"/>
  <c r="S52" i="14638"/>
  <c r="R52" i="14678"/>
  <c r="F52" i="14679" s="1"/>
  <c r="M52" i="14678"/>
  <c r="Q52" i="14638"/>
  <c r="E52" i="14678" s="1"/>
  <c r="H52" i="14638"/>
  <c r="N52" i="14638"/>
  <c r="B52" i="14678" s="1"/>
  <c r="P52" i="14678"/>
  <c r="D52" i="14679" s="1"/>
  <c r="P52" i="14638"/>
  <c r="D52" i="14678" s="1"/>
  <c r="O52" i="14638"/>
  <c r="C52" i="14678" s="1"/>
  <c r="K52" i="14638"/>
  <c r="N52" i="14678"/>
  <c r="B52" i="14679" s="1"/>
  <c r="S52" i="14678"/>
  <c r="L52" i="14678"/>
  <c r="O52" i="14678"/>
  <c r="C52" i="14679" s="1"/>
  <c r="M52" i="14679"/>
  <c r="L52" i="14638"/>
  <c r="J52" i="14638"/>
  <c r="R52" i="14638"/>
  <c r="F52" i="14678" s="1"/>
  <c r="I52" i="14678"/>
  <c r="I52" i="14679"/>
  <c r="I52" i="14638"/>
  <c r="Q52" i="14678"/>
  <c r="E52" i="14679" s="1"/>
  <c r="J52" i="14678"/>
  <c r="K52" i="14678"/>
  <c r="H52" i="14678"/>
  <c r="E67" i="14647"/>
  <c r="D69" i="14645" s="1"/>
  <c r="D70" i="14645" s="1"/>
  <c r="E20" i="14625" s="1"/>
  <c r="G67" i="14647"/>
  <c r="F67" i="14647"/>
  <c r="D67" i="14647"/>
  <c r="C69" i="14645" s="1"/>
  <c r="C70" i="14645" s="1"/>
  <c r="D20" i="14625" s="1"/>
  <c r="H67" i="14647"/>
  <c r="K69" i="14645" s="1"/>
  <c r="K70" i="14645" s="1"/>
  <c r="L20" i="14625" s="1"/>
  <c r="E51" i="14632"/>
  <c r="Q53" i="14623"/>
  <c r="I46" i="14623"/>
  <c r="I53" i="14623" s="1"/>
  <c r="J14" i="14625" s="1"/>
  <c r="B46" i="14623"/>
  <c r="B53" i="14623" s="1"/>
  <c r="C14" i="14625" s="1"/>
  <c r="C46" i="14623"/>
  <c r="C53" i="14623" s="1"/>
  <c r="D14" i="14625" s="1"/>
  <c r="G52" i="14638"/>
  <c r="S53" i="14632"/>
  <c r="B94" i="14647"/>
  <c r="I94" i="14647" s="1"/>
  <c r="J94" i="14647" s="1"/>
  <c r="I63" i="14647"/>
  <c r="J63" i="14647" s="1"/>
  <c r="L46" i="14623"/>
  <c r="L53" i="14623" s="1"/>
  <c r="M14" i="14625" s="1"/>
  <c r="G46" i="14623"/>
  <c r="G53" i="14623" s="1"/>
  <c r="H14" i="14625" s="1"/>
  <c r="E46" i="14623"/>
  <c r="E53" i="14623" s="1"/>
  <c r="F14" i="14625" s="1"/>
  <c r="F51" i="14632"/>
  <c r="R53" i="14623"/>
  <c r="G95" i="14647"/>
  <c r="K51" i="14638" s="1"/>
  <c r="G51" i="14632"/>
  <c r="R51" i="14632"/>
  <c r="P51" i="14632"/>
  <c r="J51" i="14632"/>
  <c r="O51" i="14632"/>
  <c r="Q51" i="14632"/>
  <c r="B80" i="14647"/>
  <c r="K51" i="14632"/>
  <c r="M51" i="14632"/>
  <c r="L51" i="14632"/>
  <c r="H51" i="14632"/>
  <c r="N51" i="14632"/>
  <c r="C51" i="14632"/>
  <c r="O53" i="14623"/>
  <c r="D46" i="14623"/>
  <c r="D53" i="14623" s="1"/>
  <c r="E14" i="14625" s="1"/>
  <c r="K46" i="14623"/>
  <c r="K53" i="14623" s="1"/>
  <c r="L14" i="14625" s="1"/>
  <c r="F46" i="14623"/>
  <c r="F53" i="14623" s="1"/>
  <c r="G14" i="14625" s="1"/>
  <c r="J46" i="14623"/>
  <c r="J53" i="14623" s="1"/>
  <c r="K14" i="14625" s="1"/>
  <c r="M46" i="14623"/>
  <c r="M53" i="14623" s="1"/>
  <c r="N14" i="14625" s="1"/>
  <c r="G20" i="14675"/>
  <c r="G21" i="14675" s="1"/>
  <c r="G13" i="14675"/>
  <c r="F14" i="14671" s="1"/>
  <c r="N15" i="14670"/>
  <c r="J17" i="14617" s="1"/>
  <c r="L17" i="14617" s="1"/>
  <c r="H17" i="14617"/>
  <c r="G21" i="14691"/>
  <c r="D17" i="14704"/>
  <c r="I17" i="14617"/>
  <c r="L9" i="14667"/>
  <c r="F9" i="14701"/>
  <c r="F7" i="14701" s="1"/>
  <c r="B6" i="14705" s="1"/>
  <c r="J7" i="14667"/>
  <c r="N15" i="14671"/>
  <c r="M17" i="14617" s="1"/>
  <c r="C26" i="14679"/>
  <c r="S27" i="14638"/>
  <c r="G26" i="14678"/>
  <c r="E33" i="14701"/>
  <c r="E32" i="14701" s="1"/>
  <c r="B14" i="14705" s="1"/>
  <c r="H42" i="14689"/>
  <c r="H54" i="14689" s="1"/>
  <c r="J33" i="14667"/>
  <c r="H32" i="14667"/>
  <c r="F26" i="14679"/>
  <c r="R27" i="14678"/>
  <c r="B26" i="14679"/>
  <c r="F26" i="14678"/>
  <c r="R27" i="14638"/>
  <c r="K12" i="14675"/>
  <c r="K20" i="14675" s="1"/>
  <c r="K21" i="14675" s="1"/>
  <c r="C50" i="14678"/>
  <c r="D50" i="14678"/>
  <c r="B50" i="14679"/>
  <c r="E50" i="14678"/>
  <c r="C50" i="14679"/>
  <c r="S27" i="14678"/>
  <c r="G26" i="14679"/>
  <c r="E26" i="14678"/>
  <c r="Q27" i="14638"/>
  <c r="D26" i="14678"/>
  <c r="D26" i="14679"/>
  <c r="E26" i="14679"/>
  <c r="Q27" i="14678"/>
  <c r="C21" i="14674"/>
  <c r="M54" i="14694"/>
  <c r="N48" i="14648"/>
  <c r="O48" i="14648" s="1"/>
  <c r="N53" i="14694"/>
  <c r="B26" i="14678"/>
  <c r="E12" i="14675"/>
  <c r="C12" i="14675"/>
  <c r="D12" i="14675"/>
  <c r="D50" i="14679"/>
  <c r="E50" i="14679"/>
  <c r="B50" i="14678"/>
  <c r="I22" i="14628"/>
  <c r="D8" i="14704"/>
  <c r="H8" i="14617"/>
  <c r="G9" i="14617"/>
  <c r="L8" i="14617"/>
  <c r="B43" i="14667"/>
  <c r="B46" i="14667"/>
  <c r="C25" i="14667" s="1"/>
  <c r="B25" i="14701"/>
  <c r="F29" i="14689"/>
  <c r="F33" i="14689" s="1"/>
  <c r="C29" i="14701"/>
  <c r="F29" i="14667"/>
  <c r="N10" i="14640"/>
  <c r="C10" i="11"/>
  <c r="C20" i="11"/>
  <c r="C12" i="11"/>
  <c r="C23" i="11"/>
  <c r="C24" i="11"/>
  <c r="C7" i="11"/>
  <c r="C11" i="11"/>
  <c r="C17" i="11"/>
  <c r="C13" i="11"/>
  <c r="C26" i="11"/>
  <c r="C9" i="11"/>
  <c r="C8" i="11"/>
  <c r="C30" i="11"/>
  <c r="C19" i="11"/>
  <c r="C28" i="11"/>
  <c r="C27" i="11"/>
  <c r="C22" i="11"/>
  <c r="C25" i="11"/>
  <c r="C18" i="11"/>
  <c r="C16" i="11"/>
  <c r="C14" i="11"/>
  <c r="M12" i="14617"/>
  <c r="N9" i="14617"/>
  <c r="I8" i="14617"/>
  <c r="D9" i="14617"/>
  <c r="E8" i="14617"/>
  <c r="C8" i="14704"/>
  <c r="N10" i="14670"/>
  <c r="F8" i="14617"/>
  <c r="C8" i="14617"/>
  <c r="B8" i="14704"/>
  <c r="N10" i="14671"/>
  <c r="N10" i="14631"/>
  <c r="O9" i="14617"/>
  <c r="J12" i="14617"/>
  <c r="K9" i="14617"/>
  <c r="N10" i="8"/>
  <c r="H85" i="14643" l="1"/>
  <c r="I51" i="14679"/>
  <c r="E23" i="14679"/>
  <c r="H20" i="14675"/>
  <c r="H21" i="14675" s="1"/>
  <c r="K23" i="14679"/>
  <c r="G23" i="14679"/>
  <c r="M23" i="14679"/>
  <c r="J23" i="14678"/>
  <c r="H23" i="14679"/>
  <c r="O23" i="14679"/>
  <c r="O27" i="14679" s="1"/>
  <c r="G16" i="14637"/>
  <c r="G30" i="14637"/>
  <c r="G50" i="14637"/>
  <c r="Q51" i="14678"/>
  <c r="E51" i="14679" s="1"/>
  <c r="H8" i="14681"/>
  <c r="H6" i="14678"/>
  <c r="H6" i="14623"/>
  <c r="H6" i="14679"/>
  <c r="I4" i="14674"/>
  <c r="H4" i="14653"/>
  <c r="H4" i="14630"/>
  <c r="I4" i="14628"/>
  <c r="I4" i="14675"/>
  <c r="I4" i="14641"/>
  <c r="I4" i="14634"/>
  <c r="I7" i="14672"/>
  <c r="I26" i="14672" s="1"/>
  <c r="I4" i="14639"/>
  <c r="I4" i="14625"/>
  <c r="I7" i="14673"/>
  <c r="I26" i="14673" s="1"/>
  <c r="H6" i="14632"/>
  <c r="I4" i="14677"/>
  <c r="H4" i="14637"/>
  <c r="H4" i="14640"/>
  <c r="H4" i="14670"/>
  <c r="I10" i="14663"/>
  <c r="H4" i="14669"/>
  <c r="I7" i="14624"/>
  <c r="I26" i="14624" s="1"/>
  <c r="I7" i="14629"/>
  <c r="I26" i="14629" s="1"/>
  <c r="H4" i="7"/>
  <c r="I7" i="14636"/>
  <c r="I26" i="14636" s="1"/>
  <c r="H4" i="14668"/>
  <c r="H4" i="8"/>
  <c r="H4" i="14631"/>
  <c r="I4" i="14676"/>
  <c r="H6" i="14638"/>
  <c r="H4" i="14671"/>
  <c r="I4" i="14633"/>
  <c r="H18" i="14634"/>
  <c r="H30" i="14634"/>
  <c r="H18" i="14675"/>
  <c r="H30" i="14675"/>
  <c r="G30" i="14669"/>
  <c r="G50" i="14669"/>
  <c r="G16" i="14669"/>
  <c r="H43" i="14663"/>
  <c r="H32" i="14663"/>
  <c r="H26" i="14663"/>
  <c r="H54" i="14663"/>
  <c r="H48" i="14663"/>
  <c r="H37" i="14663"/>
  <c r="H21" i="14663"/>
  <c r="H59" i="14663"/>
  <c r="H15" i="14663"/>
  <c r="G11" i="14653"/>
  <c r="G63" i="14653"/>
  <c r="G50" i="14653"/>
  <c r="G37" i="14653"/>
  <c r="G24" i="14653"/>
  <c r="G19" i="14638"/>
  <c r="G45" i="14638" s="1"/>
  <c r="S19" i="14638"/>
  <c r="S45" i="14638" s="1"/>
  <c r="G32" i="14638"/>
  <c r="H18" i="14674"/>
  <c r="H30" i="14674"/>
  <c r="G44" i="14681"/>
  <c r="G35" i="14681"/>
  <c r="G26" i="14681"/>
  <c r="G17" i="14681"/>
  <c r="H30" i="14628"/>
  <c r="H18" i="14628"/>
  <c r="G16" i="14668"/>
  <c r="G30" i="14668"/>
  <c r="G50" i="14668"/>
  <c r="I7" i="14645"/>
  <c r="I64" i="14645" s="1"/>
  <c r="I51" i="14645"/>
  <c r="I29" i="14645"/>
  <c r="I86" i="14645" s="1"/>
  <c r="I18" i="14645"/>
  <c r="I75" i="14645" s="1"/>
  <c r="I40" i="14645"/>
  <c r="K7" i="14655"/>
  <c r="G32" i="14679"/>
  <c r="S19" i="14679"/>
  <c r="S45" i="14679" s="1"/>
  <c r="G19" i="14679"/>
  <c r="G45" i="14679" s="1"/>
  <c r="G97" i="14645"/>
  <c r="G30" i="7"/>
  <c r="G108" i="14645"/>
  <c r="G16" i="7"/>
  <c r="G50" i="7"/>
  <c r="G16" i="14630"/>
  <c r="G30" i="14630"/>
  <c r="G50" i="14630"/>
  <c r="H18" i="14639"/>
  <c r="H30" i="14639"/>
  <c r="M51" i="14638"/>
  <c r="A55" i="14665"/>
  <c r="B54" i="14665"/>
  <c r="L57" i="14665" s="1"/>
  <c r="G32" i="14623"/>
  <c r="G19" i="14623"/>
  <c r="G45" i="14623" s="1"/>
  <c r="S19" i="14623"/>
  <c r="S45" i="14623" s="1"/>
  <c r="G32" i="14632"/>
  <c r="S19" i="14632"/>
  <c r="S45" i="14632" s="1"/>
  <c r="G19" i="14632"/>
  <c r="G45" i="14632" s="1"/>
  <c r="G32" i="14678"/>
  <c r="S19" i="14678"/>
  <c r="S45" i="14678" s="1"/>
  <c r="G19" i="14678"/>
  <c r="G45" i="14678" s="1"/>
  <c r="F20" i="14675"/>
  <c r="F21" i="14675" s="1"/>
  <c r="G28" i="14691"/>
  <c r="G30" i="14691" s="1"/>
  <c r="D16" i="14704"/>
  <c r="H16" i="14617"/>
  <c r="N14" i="14670"/>
  <c r="O21" i="14674"/>
  <c r="O20" i="14674"/>
  <c r="O13" i="14674"/>
  <c r="J16" i="14617" s="1"/>
  <c r="L16" i="14617" s="1"/>
  <c r="J13" i="14675"/>
  <c r="I14" i="14671" s="1"/>
  <c r="J20" i="14675"/>
  <c r="J21" i="14675" s="1"/>
  <c r="L23" i="14679"/>
  <c r="I23" i="14679"/>
  <c r="M23" i="14638"/>
  <c r="F12" i="14645"/>
  <c r="F13" i="14645" s="1"/>
  <c r="E12" i="14645"/>
  <c r="E13" i="14645" s="1"/>
  <c r="F7" i="14625" s="1"/>
  <c r="J51" i="14679"/>
  <c r="G51" i="14679"/>
  <c r="L23" i="14678"/>
  <c r="H23" i="14678"/>
  <c r="G23" i="14678"/>
  <c r="O51" i="14638"/>
  <c r="C51" i="14678" s="1"/>
  <c r="P23" i="14678"/>
  <c r="O23" i="14638"/>
  <c r="O27" i="14638" s="1"/>
  <c r="P51" i="14678"/>
  <c r="D51" i="14679" s="1"/>
  <c r="K23" i="14678"/>
  <c r="N23" i="14638"/>
  <c r="F23" i="14638"/>
  <c r="F23" i="14678"/>
  <c r="J23" i="14638"/>
  <c r="C16" i="14617"/>
  <c r="B16" i="14704"/>
  <c r="E28" i="14691"/>
  <c r="E30" i="14691" s="1"/>
  <c r="F16" i="14617"/>
  <c r="H98" i="14643"/>
  <c r="P51" i="14638"/>
  <c r="D51" i="14678" s="1"/>
  <c r="O51" i="14679"/>
  <c r="O53" i="14679" s="1"/>
  <c r="P51" i="14679"/>
  <c r="P53" i="14679" s="1"/>
  <c r="O51" i="14678"/>
  <c r="C51" i="14679" s="1"/>
  <c r="L51" i="14638"/>
  <c r="R51" i="14679"/>
  <c r="R53" i="14679" s="1"/>
  <c r="I32" i="14647"/>
  <c r="J32" i="14647" s="1"/>
  <c r="I20" i="14632"/>
  <c r="I27" i="14632" s="1"/>
  <c r="J6" i="14633" s="1"/>
  <c r="B20" i="14632"/>
  <c r="B27" i="14632" s="1"/>
  <c r="C6" i="14633" s="1"/>
  <c r="E20" i="14632"/>
  <c r="E27" i="14632" s="1"/>
  <c r="F6" i="14633" s="1"/>
  <c r="H20" i="14632"/>
  <c r="H27" i="14632" s="1"/>
  <c r="I6" i="14633" s="1"/>
  <c r="G20" i="14632"/>
  <c r="G27" i="14632" s="1"/>
  <c r="H6" i="14633" s="1"/>
  <c r="F20" i="14632"/>
  <c r="F27" i="14632" s="1"/>
  <c r="G6" i="14633" s="1"/>
  <c r="J20" i="14632"/>
  <c r="J27" i="14632" s="1"/>
  <c r="K6" i="14633" s="1"/>
  <c r="C20" i="14632"/>
  <c r="C27" i="14632" s="1"/>
  <c r="D6" i="14633" s="1"/>
  <c r="M20" i="14632"/>
  <c r="M27" i="14632" s="1"/>
  <c r="N6" i="14633" s="1"/>
  <c r="D20" i="14632"/>
  <c r="D27" i="14632" s="1"/>
  <c r="E6" i="14633" s="1"/>
  <c r="K20" i="14632"/>
  <c r="K27" i="14632" s="1"/>
  <c r="L6" i="14633" s="1"/>
  <c r="L20" i="14632"/>
  <c r="L27" i="14632" s="1"/>
  <c r="M6" i="14633" s="1"/>
  <c r="P23" i="14679"/>
  <c r="P27" i="14679" s="1"/>
  <c r="E23" i="14678"/>
  <c r="N23" i="14678"/>
  <c r="F23" i="14679"/>
  <c r="G23" i="14638"/>
  <c r="H23" i="14638"/>
  <c r="I23" i="14638"/>
  <c r="K23" i="14638"/>
  <c r="O23" i="14678"/>
  <c r="J23" i="14679"/>
  <c r="M23" i="14678"/>
  <c r="L23" i="14638"/>
  <c r="P23" i="14638"/>
  <c r="E23" i="14638"/>
  <c r="B47" i="14647"/>
  <c r="O6" i="14625"/>
  <c r="C8" i="14684" s="1"/>
  <c r="I20" i="14647"/>
  <c r="J20" i="14647" s="1"/>
  <c r="B12" i="14645"/>
  <c r="C23" i="14638"/>
  <c r="O27" i="14632"/>
  <c r="D23" i="14638"/>
  <c r="P27" i="14632"/>
  <c r="B23" i="14638"/>
  <c r="N27" i="14632"/>
  <c r="S29" i="14623"/>
  <c r="I21" i="14628"/>
  <c r="O21" i="14628" s="1"/>
  <c r="O20" i="14628"/>
  <c r="N16" i="14663"/>
  <c r="M9" i="14624"/>
  <c r="L22" i="14624"/>
  <c r="L16" i="14624"/>
  <c r="L15" i="14624"/>
  <c r="M14" i="14624"/>
  <c r="N17" i="14663"/>
  <c r="L21" i="14624"/>
  <c r="L11" i="14624"/>
  <c r="L12" i="14624"/>
  <c r="I69" i="14645"/>
  <c r="I70" i="14645" s="1"/>
  <c r="J20" i="14625" s="1"/>
  <c r="J69" i="14645"/>
  <c r="J70" i="14645" s="1"/>
  <c r="K20" i="14625" s="1"/>
  <c r="H69" i="14645"/>
  <c r="H70" i="14645" s="1"/>
  <c r="I20" i="14625" s="1"/>
  <c r="S55" i="14623"/>
  <c r="H46" i="14632"/>
  <c r="H53" i="14632" s="1"/>
  <c r="I14" i="14633" s="1"/>
  <c r="F46" i="14632"/>
  <c r="F53" i="14632" s="1"/>
  <c r="G14" i="14633" s="1"/>
  <c r="C46" i="14632"/>
  <c r="C53" i="14632" s="1"/>
  <c r="D14" i="14633" s="1"/>
  <c r="K46" i="14632"/>
  <c r="K53" i="14632" s="1"/>
  <c r="L14" i="14633" s="1"/>
  <c r="I46" i="14632"/>
  <c r="I53" i="14632" s="1"/>
  <c r="J14" i="14633" s="1"/>
  <c r="J46" i="14632"/>
  <c r="J53" i="14632" s="1"/>
  <c r="K14" i="14633" s="1"/>
  <c r="I80" i="14647"/>
  <c r="J80" i="14647" s="1"/>
  <c r="G46" i="14632"/>
  <c r="G53" i="14632" s="1"/>
  <c r="H14" i="14633" s="1"/>
  <c r="D46" i="14632"/>
  <c r="D53" i="14632" s="1"/>
  <c r="E14" i="14633" s="1"/>
  <c r="E46" i="14632"/>
  <c r="E53" i="14632" s="1"/>
  <c r="F14" i="14633" s="1"/>
  <c r="M46" i="14632"/>
  <c r="M53" i="14632" s="1"/>
  <c r="N14" i="14633" s="1"/>
  <c r="B46" i="14632"/>
  <c r="B53" i="14632" s="1"/>
  <c r="C14" i="14633" s="1"/>
  <c r="L46" i="14632"/>
  <c r="L53" i="14632" s="1"/>
  <c r="M14" i="14633" s="1"/>
  <c r="C51" i="14638"/>
  <c r="O53" i="14632"/>
  <c r="D51" i="14638"/>
  <c r="P53" i="14632"/>
  <c r="O14" i="14625"/>
  <c r="G69" i="14645"/>
  <c r="G70" i="14645" s="1"/>
  <c r="H20" i="14625" s="1"/>
  <c r="C67" i="14647"/>
  <c r="G52" i="14678"/>
  <c r="S53" i="14638"/>
  <c r="M51" i="14678"/>
  <c r="I51" i="14678"/>
  <c r="Q51" i="14638"/>
  <c r="G51" i="14638"/>
  <c r="I51" i="14638"/>
  <c r="N51" i="14638"/>
  <c r="K51" i="14679"/>
  <c r="H51" i="14679"/>
  <c r="L51" i="14679"/>
  <c r="Q51" i="14679"/>
  <c r="Q53" i="14679" s="1"/>
  <c r="B51" i="14638"/>
  <c r="N53" i="14632"/>
  <c r="E51" i="14638"/>
  <c r="Q53" i="14632"/>
  <c r="F51" i="14638"/>
  <c r="R53" i="14632"/>
  <c r="J51" i="14638"/>
  <c r="B95" i="14647"/>
  <c r="S53" i="14678"/>
  <c r="G52" i="14679"/>
  <c r="R51" i="14678"/>
  <c r="K51" i="14678"/>
  <c r="J51" i="14678"/>
  <c r="G51" i="14678"/>
  <c r="L51" i="14678"/>
  <c r="N51" i="14678"/>
  <c r="M51" i="14679"/>
  <c r="H51" i="14678"/>
  <c r="R51" i="14638"/>
  <c r="H51" i="14638"/>
  <c r="N51" i="14679"/>
  <c r="N53" i="14679" s="1"/>
  <c r="F17" i="14704"/>
  <c r="N17" i="14617"/>
  <c r="G9" i="14701"/>
  <c r="G7" i="14701" s="1"/>
  <c r="B7" i="14705" s="1"/>
  <c r="L7" i="14667"/>
  <c r="E17" i="14704"/>
  <c r="K17" i="14617"/>
  <c r="O17" i="14617"/>
  <c r="C17" i="14649"/>
  <c r="M13" i="14675"/>
  <c r="L14" i="14671" s="1"/>
  <c r="K13" i="14675"/>
  <c r="J14" i="14671" s="1"/>
  <c r="D20" i="14675"/>
  <c r="D21" i="14675" s="1"/>
  <c r="D13" i="14675"/>
  <c r="C14" i="14671" s="1"/>
  <c r="E20" i="14675"/>
  <c r="E21" i="14675" s="1"/>
  <c r="E13" i="14675"/>
  <c r="D14" i="14671" s="1"/>
  <c r="J32" i="14667"/>
  <c r="L33" i="14667"/>
  <c r="F33" i="14701"/>
  <c r="F32" i="14701" s="1"/>
  <c r="B15" i="14705" s="1"/>
  <c r="C20" i="14675"/>
  <c r="C13" i="14675"/>
  <c r="N8" i="14675"/>
  <c r="N16" i="14677"/>
  <c r="O16" i="14677" s="1"/>
  <c r="N54" i="14694"/>
  <c r="G7" i="14625"/>
  <c r="I24" i="14628"/>
  <c r="I21" i="14625" s="1"/>
  <c r="B9" i="14704"/>
  <c r="O12" i="14617"/>
  <c r="K12" i="14617"/>
  <c r="F9" i="14617"/>
  <c r="C9" i="14617"/>
  <c r="C9" i="14704"/>
  <c r="D12" i="14617"/>
  <c r="I9" i="14617"/>
  <c r="E9" i="14617"/>
  <c r="N12" i="14617"/>
  <c r="E12" i="14704"/>
  <c r="B5" i="14706"/>
  <c r="H2" i="14705"/>
  <c r="B43" i="14701"/>
  <c r="B46" i="14701"/>
  <c r="C43" i="14667"/>
  <c r="B48" i="14667"/>
  <c r="L9" i="14617"/>
  <c r="H9" i="14617"/>
  <c r="G12" i="14617"/>
  <c r="D9" i="14704"/>
  <c r="B6" i="14706"/>
  <c r="F12" i="14704"/>
  <c r="C26" i="14626"/>
  <c r="C19" i="14626" s="1"/>
  <c r="C29" i="14626" s="1"/>
  <c r="G31" i="14626" s="1"/>
  <c r="B29" i="14625"/>
  <c r="B32" i="11"/>
  <c r="B33" i="11" s="1"/>
  <c r="E14" i="14694"/>
  <c r="B23" i="14622"/>
  <c r="B21" i="14667"/>
  <c r="H29" i="14667"/>
  <c r="G29" i="14689"/>
  <c r="G33" i="14689" s="1"/>
  <c r="D29" i="14701"/>
  <c r="C28" i="14667"/>
  <c r="C42" i="14667"/>
  <c r="C38" i="14667"/>
  <c r="C30" i="14667"/>
  <c r="C37" i="14667"/>
  <c r="C33" i="14667"/>
  <c r="C32" i="14667"/>
  <c r="C41" i="14667"/>
  <c r="C34" i="14667"/>
  <c r="C26" i="14667"/>
  <c r="C40" i="14667"/>
  <c r="C39" i="14667"/>
  <c r="C36" i="14667"/>
  <c r="C44" i="14667"/>
  <c r="C27" i="14667"/>
  <c r="C29" i="14667"/>
  <c r="Q53" i="14678" l="1"/>
  <c r="S29" i="14679"/>
  <c r="L17" i="14667" s="1"/>
  <c r="G17" i="14701" s="1"/>
  <c r="H32" i="14632"/>
  <c r="H19" i="14632"/>
  <c r="H45" i="14632" s="1"/>
  <c r="H19" i="14638"/>
  <c r="H45" i="14638" s="1"/>
  <c r="H32" i="14638"/>
  <c r="H16" i="14668"/>
  <c r="H50" i="14668"/>
  <c r="H30" i="14668"/>
  <c r="I18" i="14634"/>
  <c r="I30" i="14634"/>
  <c r="H30" i="14630"/>
  <c r="H16" i="14630"/>
  <c r="H50" i="14630"/>
  <c r="H19" i="14623"/>
  <c r="H45" i="14623" s="1"/>
  <c r="H32" i="14623"/>
  <c r="I30" i="14628"/>
  <c r="I18" i="14628"/>
  <c r="J7" i="14645"/>
  <c r="J64" i="14645" s="1"/>
  <c r="J51" i="14645"/>
  <c r="J18" i="14645"/>
  <c r="J75" i="14645" s="1"/>
  <c r="J40" i="14645"/>
  <c r="J29" i="14645"/>
  <c r="J86" i="14645" s="1"/>
  <c r="L7" i="14655"/>
  <c r="J4" i="14641"/>
  <c r="I4" i="8"/>
  <c r="J4" i="14633"/>
  <c r="I4" i="14640"/>
  <c r="I4" i="14670"/>
  <c r="I6" i="14623"/>
  <c r="I4" i="14653"/>
  <c r="I6" i="14679"/>
  <c r="I4" i="14630"/>
  <c r="J7" i="14673"/>
  <c r="J26" i="14673" s="1"/>
  <c r="J7" i="14629"/>
  <c r="J26" i="14629" s="1"/>
  <c r="J4" i="14677"/>
  <c r="I4" i="14669"/>
  <c r="I8" i="14681"/>
  <c r="I6" i="14632"/>
  <c r="I6" i="14678"/>
  <c r="J4" i="14628"/>
  <c r="J4" i="14676"/>
  <c r="J4" i="14674"/>
  <c r="J4" i="14675"/>
  <c r="J7" i="14672"/>
  <c r="J26" i="14672" s="1"/>
  <c r="J7" i="14636"/>
  <c r="J26" i="14636" s="1"/>
  <c r="J4" i="14625"/>
  <c r="I4" i="7"/>
  <c r="I4" i="14631"/>
  <c r="I6" i="14638"/>
  <c r="J4" i="14634"/>
  <c r="I4" i="14671"/>
  <c r="J10" i="14663"/>
  <c r="J7" i="14624"/>
  <c r="J26" i="14624" s="1"/>
  <c r="J4" i="14639"/>
  <c r="I4" i="14637"/>
  <c r="I4" i="14668"/>
  <c r="H30" i="14669"/>
  <c r="H16" i="14669"/>
  <c r="H50" i="14669"/>
  <c r="H16" i="14637"/>
  <c r="H50" i="14637"/>
  <c r="H30" i="14637"/>
  <c r="H63" i="14653"/>
  <c r="H24" i="14653"/>
  <c r="H11" i="14653"/>
  <c r="H50" i="14653"/>
  <c r="H37" i="14653"/>
  <c r="H19" i="14678"/>
  <c r="H45" i="14678" s="1"/>
  <c r="H32" i="14678"/>
  <c r="H19" i="14679"/>
  <c r="H45" i="14679" s="1"/>
  <c r="H32" i="14679"/>
  <c r="B55" i="14665"/>
  <c r="M57" i="14665" s="1"/>
  <c r="A56" i="14665"/>
  <c r="H50" i="7"/>
  <c r="H97" i="14645"/>
  <c r="H16" i="7"/>
  <c r="H30" i="7"/>
  <c r="H108" i="14645"/>
  <c r="I43" i="14663"/>
  <c r="I32" i="14663"/>
  <c r="I54" i="14663"/>
  <c r="I48" i="14663"/>
  <c r="I21" i="14663"/>
  <c r="I37" i="14663"/>
  <c r="I15" i="14663"/>
  <c r="I59" i="14663"/>
  <c r="I26" i="14663"/>
  <c r="I30" i="14639"/>
  <c r="I18" i="14639"/>
  <c r="I18" i="14675"/>
  <c r="I30" i="14675"/>
  <c r="I18" i="14674"/>
  <c r="I30" i="14674"/>
  <c r="H44" i="14681"/>
  <c r="H35" i="14681"/>
  <c r="H26" i="14681"/>
  <c r="H17" i="14681"/>
  <c r="E16" i="14704"/>
  <c r="K16" i="14617"/>
  <c r="O53" i="14638"/>
  <c r="C23" i="14678"/>
  <c r="P53" i="14678"/>
  <c r="B23" i="14678"/>
  <c r="N27" i="14638"/>
  <c r="D23" i="14679"/>
  <c r="P27" i="14678"/>
  <c r="S29" i="14632"/>
  <c r="F17" i="14667" s="1"/>
  <c r="O53" i="14678"/>
  <c r="L22" i="14628"/>
  <c r="O22" i="14628" s="1"/>
  <c r="P53" i="14638"/>
  <c r="B13" i="14645"/>
  <c r="N12" i="14645"/>
  <c r="D17" i="14667" s="1"/>
  <c r="O6" i="14633"/>
  <c r="D8" i="14684" s="1"/>
  <c r="I47" i="14647"/>
  <c r="J47" i="14647" s="1"/>
  <c r="L20" i="14678"/>
  <c r="L27" i="14678" s="1"/>
  <c r="M6" i="14676" s="1"/>
  <c r="K20" i="14678"/>
  <c r="K27" i="14678" s="1"/>
  <c r="L6" i="14676" s="1"/>
  <c r="M20" i="14678"/>
  <c r="M27" i="14678" s="1"/>
  <c r="N6" i="14676" s="1"/>
  <c r="J20" i="14638"/>
  <c r="J27" i="14638" s="1"/>
  <c r="K6" i="14641" s="1"/>
  <c r="M20" i="14638"/>
  <c r="M27" i="14638" s="1"/>
  <c r="N6" i="14641" s="1"/>
  <c r="L20" i="14638"/>
  <c r="L27" i="14638" s="1"/>
  <c r="M6" i="14641" s="1"/>
  <c r="F20" i="14638"/>
  <c r="F27" i="14638" s="1"/>
  <c r="G6" i="14641" s="1"/>
  <c r="C20" i="14679"/>
  <c r="J20" i="14679"/>
  <c r="J27" i="14679" s="1"/>
  <c r="K6" i="14677" s="1"/>
  <c r="H20" i="14678"/>
  <c r="H27" i="14678" s="1"/>
  <c r="I6" i="14676" s="1"/>
  <c r="I20" i="14638"/>
  <c r="I27" i="14638" s="1"/>
  <c r="J6" i="14641" s="1"/>
  <c r="B20" i="14638"/>
  <c r="B27" i="14638" s="1"/>
  <c r="C6" i="14641" s="1"/>
  <c r="B20" i="14678"/>
  <c r="B27" i="14678" s="1"/>
  <c r="C6" i="14676" s="1"/>
  <c r="D20" i="14638"/>
  <c r="D27" i="14638" s="1"/>
  <c r="E6" i="14641" s="1"/>
  <c r="H20" i="14638"/>
  <c r="H27" i="14638" s="1"/>
  <c r="I6" i="14641" s="1"/>
  <c r="B20" i="14679"/>
  <c r="G20" i="14638"/>
  <c r="G27" i="14638" s="1"/>
  <c r="H6" i="14641" s="1"/>
  <c r="G20" i="14678"/>
  <c r="G27" i="14678" s="1"/>
  <c r="H6" i="14676" s="1"/>
  <c r="D20" i="14678"/>
  <c r="M20" i="14679"/>
  <c r="M27" i="14679" s="1"/>
  <c r="N6" i="14677" s="1"/>
  <c r="K20" i="14638"/>
  <c r="K27" i="14638" s="1"/>
  <c r="L6" i="14641" s="1"/>
  <c r="F20" i="14678"/>
  <c r="F27" i="14678" s="1"/>
  <c r="G6" i="14676" s="1"/>
  <c r="F20" i="14679"/>
  <c r="F27" i="14679" s="1"/>
  <c r="G6" i="14677" s="1"/>
  <c r="H20" i="14679"/>
  <c r="H27" i="14679" s="1"/>
  <c r="I6" i="14677" s="1"/>
  <c r="E20" i="14679"/>
  <c r="E27" i="14679" s="1"/>
  <c r="F6" i="14677" s="1"/>
  <c r="K20" i="14679"/>
  <c r="K27" i="14679" s="1"/>
  <c r="L6" i="14677" s="1"/>
  <c r="D20" i="14679"/>
  <c r="D27" i="14679" s="1"/>
  <c r="E6" i="14677" s="1"/>
  <c r="E20" i="14638"/>
  <c r="E27" i="14638" s="1"/>
  <c r="F6" i="14641" s="1"/>
  <c r="J20" i="14678"/>
  <c r="J27" i="14678" s="1"/>
  <c r="K6" i="14676" s="1"/>
  <c r="L20" i="14679"/>
  <c r="L27" i="14679" s="1"/>
  <c r="M6" i="14677" s="1"/>
  <c r="G20" i="14679"/>
  <c r="G27" i="14679" s="1"/>
  <c r="H6" i="14677" s="1"/>
  <c r="C20" i="14678"/>
  <c r="I20" i="14679"/>
  <c r="I27" i="14679" s="1"/>
  <c r="J6" i="14677" s="1"/>
  <c r="I20" i="14678"/>
  <c r="I27" i="14678" s="1"/>
  <c r="J6" i="14676" s="1"/>
  <c r="E20" i="14678"/>
  <c r="E27" i="14678" s="1"/>
  <c r="F6" i="14676" s="1"/>
  <c r="C20" i="14638"/>
  <c r="C27" i="14638" s="1"/>
  <c r="D6" i="14641" s="1"/>
  <c r="D23" i="14678"/>
  <c r="P27" i="14638"/>
  <c r="S29" i="14638" s="1"/>
  <c r="H17" i="14667" s="1"/>
  <c r="C23" i="14679"/>
  <c r="O27" i="14678"/>
  <c r="B23" i="14679"/>
  <c r="N27" i="14678"/>
  <c r="E69" i="14645"/>
  <c r="E70" i="14645" s="1"/>
  <c r="F20" i="14625" s="1"/>
  <c r="B69" i="14645"/>
  <c r="B70" i="14645" s="1"/>
  <c r="C20" i="14625" s="1"/>
  <c r="M11" i="14624"/>
  <c r="M12" i="14624"/>
  <c r="M21" i="14624"/>
  <c r="K19" i="14657"/>
  <c r="B27" i="14663"/>
  <c r="C27" i="14663" s="1"/>
  <c r="N9" i="14624"/>
  <c r="O9" i="14624" s="1"/>
  <c r="O16" i="14663"/>
  <c r="L18" i="14624"/>
  <c r="M16" i="14624"/>
  <c r="M15" i="14624"/>
  <c r="M18" i="14624" s="1"/>
  <c r="M22" i="14624"/>
  <c r="C57" i="14648"/>
  <c r="C59" i="14648" s="1"/>
  <c r="O17" i="14663"/>
  <c r="T29" i="14695" s="1"/>
  <c r="T35" i="14695" s="1"/>
  <c r="B28" i="14695" s="1"/>
  <c r="N14" i="14624"/>
  <c r="B28" i="14663"/>
  <c r="C28" i="14663" s="1"/>
  <c r="S55" i="14679"/>
  <c r="L39" i="14667" s="1"/>
  <c r="G39" i="14701" s="1"/>
  <c r="C16" i="14684"/>
  <c r="AB21" i="14709" s="1"/>
  <c r="O14" i="14633"/>
  <c r="B51" i="14679"/>
  <c r="N53" i="14678"/>
  <c r="I95" i="14647"/>
  <c r="J95" i="14647" s="1"/>
  <c r="J46" i="14638"/>
  <c r="J53" i="14638" s="1"/>
  <c r="K14" i="14641" s="1"/>
  <c r="J46" i="14678"/>
  <c r="J53" i="14678" s="1"/>
  <c r="K14" i="14676" s="1"/>
  <c r="B46" i="14638"/>
  <c r="B53" i="14638" s="1"/>
  <c r="C14" i="14641" s="1"/>
  <c r="L46" i="14679"/>
  <c r="L53" i="14679" s="1"/>
  <c r="M14" i="14677" s="1"/>
  <c r="D46" i="14638"/>
  <c r="D53" i="14638" s="1"/>
  <c r="E14" i="14641" s="1"/>
  <c r="E46" i="14638"/>
  <c r="E53" i="14638" s="1"/>
  <c r="F14" i="14641" s="1"/>
  <c r="F46" i="14678"/>
  <c r="H46" i="14678"/>
  <c r="H53" i="14678" s="1"/>
  <c r="I14" i="14676" s="1"/>
  <c r="J46" i="14679"/>
  <c r="J53" i="14679" s="1"/>
  <c r="K14" i="14677" s="1"/>
  <c r="F46" i="14638"/>
  <c r="F53" i="14638" s="1"/>
  <c r="G14" i="14641" s="1"/>
  <c r="G46" i="14678"/>
  <c r="G53" i="14678" s="1"/>
  <c r="H14" i="14676" s="1"/>
  <c r="D46" i="14679"/>
  <c r="D53" i="14679" s="1"/>
  <c r="E14" i="14677" s="1"/>
  <c r="H46" i="14679"/>
  <c r="H53" i="14679" s="1"/>
  <c r="I14" i="14677" s="1"/>
  <c r="D46" i="14678"/>
  <c r="D53" i="14678" s="1"/>
  <c r="E14" i="14676" s="1"/>
  <c r="H46" i="14638"/>
  <c r="H53" i="14638" s="1"/>
  <c r="I14" i="14641" s="1"/>
  <c r="I46" i="14679"/>
  <c r="I53" i="14679" s="1"/>
  <c r="J14" i="14677" s="1"/>
  <c r="M46" i="14679"/>
  <c r="M53" i="14679" s="1"/>
  <c r="N14" i="14677" s="1"/>
  <c r="F46" i="14679"/>
  <c r="E46" i="14678"/>
  <c r="L46" i="14638"/>
  <c r="L53" i="14638" s="1"/>
  <c r="M14" i="14641" s="1"/>
  <c r="C46" i="14678"/>
  <c r="C53" i="14678" s="1"/>
  <c r="D14" i="14676" s="1"/>
  <c r="L46" i="14678"/>
  <c r="L53" i="14678" s="1"/>
  <c r="M14" i="14676" s="1"/>
  <c r="G46" i="14679"/>
  <c r="G53" i="14679" s="1"/>
  <c r="H14" i="14677" s="1"/>
  <c r="I46" i="14638"/>
  <c r="I53" i="14638" s="1"/>
  <c r="J14" i="14641" s="1"/>
  <c r="E46" i="14679"/>
  <c r="E53" i="14679" s="1"/>
  <c r="F14" i="14677" s="1"/>
  <c r="G46" i="14638"/>
  <c r="G53" i="14638" s="1"/>
  <c r="H14" i="14641" s="1"/>
  <c r="B46" i="14678"/>
  <c r="M46" i="14678"/>
  <c r="M53" i="14678" s="1"/>
  <c r="N14" i="14676" s="1"/>
  <c r="K46" i="14638"/>
  <c r="K53" i="14638" s="1"/>
  <c r="L14" i="14641" s="1"/>
  <c r="B46" i="14679"/>
  <c r="K46" i="14678"/>
  <c r="K53" i="14678" s="1"/>
  <c r="L14" i="14676" s="1"/>
  <c r="C46" i="14679"/>
  <c r="C53" i="14679" s="1"/>
  <c r="D14" i="14677" s="1"/>
  <c r="M46" i="14638"/>
  <c r="M53" i="14638" s="1"/>
  <c r="N14" i="14641" s="1"/>
  <c r="I46" i="14678"/>
  <c r="I53" i="14678" s="1"/>
  <c r="J14" i="14676" s="1"/>
  <c r="C46" i="14638"/>
  <c r="C53" i="14638" s="1"/>
  <c r="D14" i="14641" s="1"/>
  <c r="K46" i="14679"/>
  <c r="K53" i="14679" s="1"/>
  <c r="L14" i="14677" s="1"/>
  <c r="B51" i="14678"/>
  <c r="N53" i="14638"/>
  <c r="F69" i="14645"/>
  <c r="I67" i="14647"/>
  <c r="J67" i="14647" s="1"/>
  <c r="S55" i="14632"/>
  <c r="F39" i="14667" s="1"/>
  <c r="F51" i="14678"/>
  <c r="R53" i="14638"/>
  <c r="F51" i="14679"/>
  <c r="R53" i="14678"/>
  <c r="E51" i="14678"/>
  <c r="Q53" i="14638"/>
  <c r="E13" i="14686"/>
  <c r="E15" i="14693"/>
  <c r="L32" i="14667"/>
  <c r="G33" i="14701"/>
  <c r="G32" i="14701" s="1"/>
  <c r="B16" i="14705" s="1"/>
  <c r="N9" i="14675"/>
  <c r="O8" i="14675"/>
  <c r="O9" i="14675" s="1"/>
  <c r="B14" i="14671"/>
  <c r="C21" i="14675"/>
  <c r="C46" i="14667"/>
  <c r="E72" i="14688"/>
  <c r="E74" i="14688" s="1"/>
  <c r="B21" i="14701"/>
  <c r="B14" i="14667"/>
  <c r="B4" i="14706"/>
  <c r="D12" i="14704"/>
  <c r="L12" i="14617"/>
  <c r="H12" i="14617"/>
  <c r="E5" i="14706"/>
  <c r="B12" i="14704"/>
  <c r="B2" i="14706"/>
  <c r="H29" i="14689"/>
  <c r="H33" i="14689" s="1"/>
  <c r="E29" i="14701"/>
  <c r="J29" i="14667"/>
  <c r="A25" i="14622"/>
  <c r="B26" i="14622"/>
  <c r="C55" i="14649"/>
  <c r="D55" i="14649"/>
  <c r="B28" i="14684"/>
  <c r="AB27" i="14709" s="1"/>
  <c r="E6" i="14706"/>
  <c r="D64" i="14649"/>
  <c r="B48" i="14701"/>
  <c r="E12" i="14617"/>
  <c r="I12" i="14617"/>
  <c r="C12" i="14704"/>
  <c r="B3" i="14706"/>
  <c r="C12" i="14617"/>
  <c r="F12" i="14617"/>
  <c r="K28" i="14695" l="1"/>
  <c r="B53" i="14679"/>
  <c r="C14" i="14677" s="1"/>
  <c r="K18" i="14645"/>
  <c r="K75" i="14645" s="1"/>
  <c r="K51" i="14645"/>
  <c r="M7" i="14655"/>
  <c r="K7" i="14645"/>
  <c r="K64" i="14645" s="1"/>
  <c r="K40" i="14645"/>
  <c r="K29" i="14645"/>
  <c r="K86" i="14645" s="1"/>
  <c r="I16" i="14668"/>
  <c r="I30" i="14668"/>
  <c r="I50" i="14668"/>
  <c r="J26" i="14663"/>
  <c r="J32" i="14663"/>
  <c r="J37" i="14663"/>
  <c r="J48" i="14663"/>
  <c r="J21" i="14663"/>
  <c r="J54" i="14663"/>
  <c r="J15" i="14663"/>
  <c r="J59" i="14663"/>
  <c r="J43" i="14663"/>
  <c r="J30" i="14628"/>
  <c r="J18" i="14628"/>
  <c r="I50" i="14669"/>
  <c r="I30" i="14669"/>
  <c r="I16" i="14669"/>
  <c r="I16" i="14630"/>
  <c r="I50" i="14630"/>
  <c r="I30" i="14630"/>
  <c r="I16" i="14637"/>
  <c r="I50" i="14637"/>
  <c r="I30" i="14637"/>
  <c r="I30" i="7"/>
  <c r="I50" i="7"/>
  <c r="I16" i="7"/>
  <c r="I97" i="14645"/>
  <c r="I108" i="14645"/>
  <c r="J30" i="14675"/>
  <c r="J18" i="14675"/>
  <c r="I32" i="14678"/>
  <c r="I19" i="14678"/>
  <c r="I45" i="14678" s="1"/>
  <c r="I32" i="14679"/>
  <c r="I19" i="14679"/>
  <c r="I45" i="14679" s="1"/>
  <c r="J4" i="14671"/>
  <c r="J6" i="14632"/>
  <c r="K4" i="14677"/>
  <c r="J4" i="14670"/>
  <c r="J4" i="14640"/>
  <c r="J6" i="14678"/>
  <c r="K4" i="14625"/>
  <c r="J4" i="7"/>
  <c r="K4" i="14633"/>
  <c r="J6" i="14679"/>
  <c r="J4" i="14630"/>
  <c r="J4" i="14668"/>
  <c r="K4" i="14641"/>
  <c r="J4" i="14631"/>
  <c r="K4" i="14674"/>
  <c r="J4" i="14653"/>
  <c r="J4" i="14669"/>
  <c r="K7" i="14636"/>
  <c r="K26" i="14636" s="1"/>
  <c r="K7" i="14672"/>
  <c r="K26" i="14672" s="1"/>
  <c r="K4" i="14639"/>
  <c r="J4" i="14637"/>
  <c r="J4" i="8"/>
  <c r="J8" i="14681"/>
  <c r="K4" i="14634"/>
  <c r="K4" i="14628"/>
  <c r="J6" i="14623"/>
  <c r="K4" i="14676"/>
  <c r="K4" i="14675"/>
  <c r="K10" i="14663"/>
  <c r="K7" i="14624"/>
  <c r="K26" i="14624" s="1"/>
  <c r="K7" i="14629"/>
  <c r="K26" i="14629" s="1"/>
  <c r="K7" i="14673"/>
  <c r="K26" i="14673" s="1"/>
  <c r="J6" i="14638"/>
  <c r="J30" i="14639"/>
  <c r="J18" i="14639"/>
  <c r="J30" i="14634"/>
  <c r="J18" i="14634"/>
  <c r="J30" i="14674"/>
  <c r="J18" i="14674"/>
  <c r="I19" i="14632"/>
  <c r="I45" i="14632" s="1"/>
  <c r="I32" i="14632"/>
  <c r="I63" i="14653"/>
  <c r="I24" i="14653"/>
  <c r="I37" i="14653"/>
  <c r="I50" i="14653"/>
  <c r="I11" i="14653"/>
  <c r="A57" i="14665"/>
  <c r="B57" i="14665" s="1"/>
  <c r="O57" i="14665" s="1"/>
  <c r="B56" i="14665"/>
  <c r="N57" i="14665" s="1"/>
  <c r="I32" i="14638"/>
  <c r="I19" i="14638"/>
  <c r="I45" i="14638" s="1"/>
  <c r="I17" i="14681"/>
  <c r="I26" i="14681"/>
  <c r="I44" i="14681"/>
  <c r="I35" i="14681"/>
  <c r="I32" i="14623"/>
  <c r="I19" i="14623"/>
  <c r="I45" i="14623" s="1"/>
  <c r="Q28" i="14709"/>
  <c r="D17" i="14701"/>
  <c r="N30" i="14709"/>
  <c r="C27" i="14678"/>
  <c r="D6" i="14676" s="1"/>
  <c r="L24" i="14628"/>
  <c r="L21" i="14625" s="1"/>
  <c r="O21" i="14625" s="1"/>
  <c r="C22" i="14684" s="1"/>
  <c r="M30" i="14709"/>
  <c r="S29" i="14678"/>
  <c r="J17" i="14667" s="1"/>
  <c r="F24" i="4128" s="1"/>
  <c r="F24" i="14708" s="1"/>
  <c r="G54" i="14688"/>
  <c r="L30" i="14709"/>
  <c r="C17" i="14701"/>
  <c r="D24" i="4128"/>
  <c r="D24" i="14708" s="1"/>
  <c r="F54" i="14688"/>
  <c r="C24" i="4128"/>
  <c r="C24" i="14708" s="1"/>
  <c r="E24" i="4128"/>
  <c r="E24" i="14708" s="1"/>
  <c r="E17" i="14701"/>
  <c r="D27" i="14678"/>
  <c r="E6" i="14676" s="1"/>
  <c r="C7" i="14625"/>
  <c r="O7" i="14625" s="1"/>
  <c r="C9" i="14684" s="1"/>
  <c r="N13" i="14645"/>
  <c r="B27" i="14679"/>
  <c r="C6" i="14677" s="1"/>
  <c r="O6" i="14641"/>
  <c r="E8" i="14684" s="1"/>
  <c r="C27" i="14679"/>
  <c r="D6" i="14677" s="1"/>
  <c r="B8" i="14682"/>
  <c r="C14" i="14629"/>
  <c r="C15" i="14629" s="1"/>
  <c r="C18" i="14629" s="1"/>
  <c r="D28" i="14663"/>
  <c r="B20" i="8"/>
  <c r="B22" i="8" s="1"/>
  <c r="C9" i="14625"/>
  <c r="D27" i="14663"/>
  <c r="C9" i="14629"/>
  <c r="O14" i="14624"/>
  <c r="B12" i="14682" s="1"/>
  <c r="N15" i="14624"/>
  <c r="O15" i="14624" s="1"/>
  <c r="B13" i="14682" s="1"/>
  <c r="C13" i="14712" s="1"/>
  <c r="N22" i="14624"/>
  <c r="O22" i="14624" s="1"/>
  <c r="B20" i="14682" s="1"/>
  <c r="N16" i="14624"/>
  <c r="O16" i="14624" s="1"/>
  <c r="B14" i="14682" s="1"/>
  <c r="N12" i="14624"/>
  <c r="O12" i="14624" s="1"/>
  <c r="B10" i="14682" s="1"/>
  <c r="N11" i="14624"/>
  <c r="N21" i="14624"/>
  <c r="O21" i="14624" s="1"/>
  <c r="B19" i="14682" s="1"/>
  <c r="D16" i="14684"/>
  <c r="AC21" i="14709" s="1"/>
  <c r="S55" i="14638"/>
  <c r="H39" i="14667" s="1"/>
  <c r="F53" i="14679"/>
  <c r="G14" i="14677" s="1"/>
  <c r="G65" i="14689"/>
  <c r="D39" i="14701"/>
  <c r="F70" i="14645"/>
  <c r="N69" i="14645"/>
  <c r="D39" i="14667" s="1"/>
  <c r="B53" i="14678"/>
  <c r="C14" i="14676" s="1"/>
  <c r="E53" i="14678"/>
  <c r="F14" i="14676" s="1"/>
  <c r="F53" i="14678"/>
  <c r="G14" i="14676" s="1"/>
  <c r="O14" i="14641"/>
  <c r="S55" i="14678"/>
  <c r="J39" i="14667" s="1"/>
  <c r="N12" i="14675"/>
  <c r="O24" i="14628"/>
  <c r="D40" i="14667" s="1"/>
  <c r="D20" i="14667"/>
  <c r="C22" i="14634"/>
  <c r="E2" i="14706"/>
  <c r="B14" i="14701"/>
  <c r="E3" i="14706"/>
  <c r="L29" i="14667"/>
  <c r="F29" i="14701"/>
  <c r="E4" i="14706"/>
  <c r="B23" i="14667"/>
  <c r="O14" i="14677" l="1"/>
  <c r="G16" i="14684" s="1"/>
  <c r="O6" i="14676"/>
  <c r="F8" i="14684" s="1"/>
  <c r="L7" i="14645"/>
  <c r="L64" i="14645" s="1"/>
  <c r="L29" i="14645"/>
  <c r="L86" i="14645" s="1"/>
  <c r="L51" i="14645"/>
  <c r="L18" i="14645"/>
  <c r="L75" i="14645" s="1"/>
  <c r="L40" i="14645"/>
  <c r="N7" i="14655"/>
  <c r="K18" i="14675"/>
  <c r="K30" i="14675"/>
  <c r="K18" i="14634"/>
  <c r="K30" i="14634"/>
  <c r="K18" i="14639"/>
  <c r="K30" i="14639"/>
  <c r="J50" i="14653"/>
  <c r="J24" i="14653"/>
  <c r="J63" i="14653"/>
  <c r="J37" i="14653"/>
  <c r="J11" i="14653"/>
  <c r="J30" i="14668"/>
  <c r="J16" i="14668"/>
  <c r="J50" i="14668"/>
  <c r="J16" i="7"/>
  <c r="J50" i="7"/>
  <c r="J108" i="14645"/>
  <c r="J97" i="14645"/>
  <c r="J30" i="7"/>
  <c r="M7" i="14645"/>
  <c r="M64" i="14645" s="1"/>
  <c r="O7" i="14655"/>
  <c r="F5" i="14667"/>
  <c r="G7" i="14705"/>
  <c r="D7" i="14705"/>
  <c r="A16" i="14705"/>
  <c r="L5" i="14702"/>
  <c r="M18" i="14645"/>
  <c r="M75" i="14645" s="1"/>
  <c r="D5" i="14701"/>
  <c r="M29" i="14645"/>
  <c r="M86" i="14645" s="1"/>
  <c r="H5" i="14702"/>
  <c r="E5" i="14701"/>
  <c r="F5" i="14701"/>
  <c r="D5" i="14702"/>
  <c r="C5" i="14701"/>
  <c r="J5" i="14702"/>
  <c r="D16" i="14705"/>
  <c r="M51" i="14645"/>
  <c r="D5" i="14667"/>
  <c r="M40" i="14645"/>
  <c r="G5" i="14701"/>
  <c r="H5" i="14667"/>
  <c r="A7" i="14705"/>
  <c r="F5" i="14702"/>
  <c r="J5" i="14667"/>
  <c r="L5" i="14667"/>
  <c r="J44" i="14681"/>
  <c r="J35" i="14681"/>
  <c r="J26" i="14681"/>
  <c r="J17" i="14681"/>
  <c r="K30" i="14674"/>
  <c r="K18" i="14674"/>
  <c r="J50" i="14630"/>
  <c r="J30" i="14630"/>
  <c r="J16" i="14630"/>
  <c r="L4" i="14628"/>
  <c r="K4" i="7"/>
  <c r="K4" i="14670"/>
  <c r="K6" i="14632"/>
  <c r="K8" i="14681"/>
  <c r="K6" i="14678"/>
  <c r="K4" i="14637"/>
  <c r="L7" i="14672"/>
  <c r="L26" i="14672" s="1"/>
  <c r="K4" i="14631"/>
  <c r="K4" i="14640"/>
  <c r="K4" i="8"/>
  <c r="K4" i="14671"/>
  <c r="L4" i="14674"/>
  <c r="L4" i="14634"/>
  <c r="L4" i="14641"/>
  <c r="K4" i="14653"/>
  <c r="L7" i="14673"/>
  <c r="L26" i="14673" s="1"/>
  <c r="L4" i="14639"/>
  <c r="L4" i="14676"/>
  <c r="L10" i="14663"/>
  <c r="K6" i="14679"/>
  <c r="L4" i="14677"/>
  <c r="K4" i="14630"/>
  <c r="L4" i="14633"/>
  <c r="K4" i="14668"/>
  <c r="L4" i="14675"/>
  <c r="L7" i="14636"/>
  <c r="L26" i="14636" s="1"/>
  <c r="K4" i="14669"/>
  <c r="K6" i="14623"/>
  <c r="L4" i="14625"/>
  <c r="L7" i="14629"/>
  <c r="L26" i="14629" s="1"/>
  <c r="L7" i="14624"/>
  <c r="L26" i="14624" s="1"/>
  <c r="K6" i="14638"/>
  <c r="J19" i="14623"/>
  <c r="J45" i="14623" s="1"/>
  <c r="J32" i="14623"/>
  <c r="J19" i="14679"/>
  <c r="J45" i="14679" s="1"/>
  <c r="J32" i="14679"/>
  <c r="J19" i="14678"/>
  <c r="J45" i="14678" s="1"/>
  <c r="J32" i="14678"/>
  <c r="J19" i="14632"/>
  <c r="J45" i="14632" s="1"/>
  <c r="J32" i="14632"/>
  <c r="J32" i="14638"/>
  <c r="J19" i="14638"/>
  <c r="J45" i="14638" s="1"/>
  <c r="K43" i="14663"/>
  <c r="K37" i="14663"/>
  <c r="K21" i="14663"/>
  <c r="K48" i="14663"/>
  <c r="K15" i="14663"/>
  <c r="K32" i="14663"/>
  <c r="K26" i="14663"/>
  <c r="K54" i="14663"/>
  <c r="K59" i="14663"/>
  <c r="K30" i="14628"/>
  <c r="K18" i="14628"/>
  <c r="J16" i="14637"/>
  <c r="J50" i="14637"/>
  <c r="J30" i="14637"/>
  <c r="J16" i="14669"/>
  <c r="J50" i="14669"/>
  <c r="J30" i="14669"/>
  <c r="C24" i="14709"/>
  <c r="C27" i="14709" s="1"/>
  <c r="P28" i="14709"/>
  <c r="C40" i="14701"/>
  <c r="C14" i="14667"/>
  <c r="C10" i="14625"/>
  <c r="F17" i="14701"/>
  <c r="G24" i="4128"/>
  <c r="G24" i="14708" s="1"/>
  <c r="O6" i="14677"/>
  <c r="G8" i="14684" s="1"/>
  <c r="O11" i="14624"/>
  <c r="B9" i="14682" s="1"/>
  <c r="C11" i="14712" s="1"/>
  <c r="E28" i="14663"/>
  <c r="D14" i="14629"/>
  <c r="D15" i="14629" s="1"/>
  <c r="D18" i="14629" s="1"/>
  <c r="N18" i="14624"/>
  <c r="C31" i="14708"/>
  <c r="D9" i="14629"/>
  <c r="E27" i="14663"/>
  <c r="C31" i="4128"/>
  <c r="B36" i="14649" s="1"/>
  <c r="C11" i="14629"/>
  <c r="E25" i="4128"/>
  <c r="E25" i="14708" s="1"/>
  <c r="R28" i="14709"/>
  <c r="D25" i="4128"/>
  <c r="D25" i="14708" s="1"/>
  <c r="C25" i="4128"/>
  <c r="C25" i="14708" s="1"/>
  <c r="F39" i="14701"/>
  <c r="G25" i="4128"/>
  <c r="G25" i="14708" s="1"/>
  <c r="F25" i="4128"/>
  <c r="F25" i="14708" s="1"/>
  <c r="E16" i="14684"/>
  <c r="AD21" i="14709" s="1"/>
  <c r="C39" i="14701"/>
  <c r="F65" i="14689"/>
  <c r="E39" i="14701"/>
  <c r="H65" i="14689"/>
  <c r="N70" i="14645"/>
  <c r="G20" i="14625"/>
  <c r="O14" i="14676"/>
  <c r="F16" i="14684" s="1"/>
  <c r="E76" i="14688"/>
  <c r="E77" i="14688" s="1"/>
  <c r="E79" i="14689"/>
  <c r="E80" i="14689" s="1"/>
  <c r="N20" i="14675"/>
  <c r="O12" i="14675"/>
  <c r="N13" i="14675"/>
  <c r="C20" i="14701"/>
  <c r="C24" i="14634"/>
  <c r="C21" i="14633" s="1"/>
  <c r="F22" i="14634"/>
  <c r="B23" i="14701"/>
  <c r="E2" i="14705"/>
  <c r="C19" i="14667"/>
  <c r="C16" i="14667"/>
  <c r="C15" i="14667"/>
  <c r="C7" i="14667"/>
  <c r="C9" i="14667"/>
  <c r="C18" i="14667"/>
  <c r="C20" i="14667"/>
  <c r="C17" i="14667"/>
  <c r="C12" i="14667"/>
  <c r="C11" i="14667"/>
  <c r="C10" i="14667"/>
  <c r="C8" i="14667"/>
  <c r="B50" i="14667"/>
  <c r="C48" i="14667"/>
  <c r="C21" i="14667"/>
  <c r="G29" i="14701"/>
  <c r="D15" i="14705" l="1"/>
  <c r="A6" i="14705"/>
  <c r="G6" i="14705"/>
  <c r="A15" i="14705"/>
  <c r="D6" i="14705"/>
  <c r="K16" i="14669"/>
  <c r="K30" i="14669"/>
  <c r="K50" i="14669"/>
  <c r="L54" i="14663"/>
  <c r="L43" i="14663"/>
  <c r="L48" i="14663"/>
  <c r="L26" i="14663"/>
  <c r="L15" i="14663"/>
  <c r="L59" i="14663"/>
  <c r="L32" i="14663"/>
  <c r="L21" i="14663"/>
  <c r="L37" i="14663"/>
  <c r="K50" i="14653"/>
  <c r="K37" i="14653"/>
  <c r="K24" i="14653"/>
  <c r="K63" i="14653"/>
  <c r="K11" i="14653"/>
  <c r="K32" i="14632"/>
  <c r="K19" i="14632"/>
  <c r="K45" i="14632" s="1"/>
  <c r="D12" i="14705"/>
  <c r="D3" i="14705"/>
  <c r="A12" i="14705"/>
  <c r="A3" i="14705"/>
  <c r="G3" i="14705"/>
  <c r="L18" i="14675"/>
  <c r="L30" i="14675"/>
  <c r="L18" i="14634"/>
  <c r="L30" i="14634"/>
  <c r="K16" i="7"/>
  <c r="K50" i="7"/>
  <c r="K30" i="7"/>
  <c r="K97" i="14645"/>
  <c r="K108" i="14645"/>
  <c r="G4" i="14705"/>
  <c r="D4" i="14705"/>
  <c r="A13" i="14705"/>
  <c r="D13" i="14705"/>
  <c r="A4" i="14705"/>
  <c r="L4" i="14637"/>
  <c r="L6" i="14679"/>
  <c r="M7" i="14624"/>
  <c r="M26" i="14624" s="1"/>
  <c r="M4" i="14675"/>
  <c r="M7" i="14636"/>
  <c r="M26" i="14636" s="1"/>
  <c r="M4" i="14677"/>
  <c r="L4" i="7"/>
  <c r="L6" i="14638"/>
  <c r="L4" i="14669"/>
  <c r="M4" i="14674"/>
  <c r="L6" i="14678"/>
  <c r="L4" i="14671"/>
  <c r="M4" i="14676"/>
  <c r="M4" i="14633"/>
  <c r="L4" i="8"/>
  <c r="M4" i="14625"/>
  <c r="M4" i="14641"/>
  <c r="L4" i="14670"/>
  <c r="L4" i="14668"/>
  <c r="L4" i="14631"/>
  <c r="L4" i="14653"/>
  <c r="M4" i="14634"/>
  <c r="M10" i="14663"/>
  <c r="M7" i="14673"/>
  <c r="M26" i="14673" s="1"/>
  <c r="M7" i="14672"/>
  <c r="M26" i="14672" s="1"/>
  <c r="L6" i="14632"/>
  <c r="L6" i="14623"/>
  <c r="L4" i="14640"/>
  <c r="L8" i="14681"/>
  <c r="M4" i="14628"/>
  <c r="M4" i="14639"/>
  <c r="L4" i="14630"/>
  <c r="M7" i="14629"/>
  <c r="M26" i="14629" s="1"/>
  <c r="K16" i="14630"/>
  <c r="K50" i="14630"/>
  <c r="K30" i="14630"/>
  <c r="K16" i="14637"/>
  <c r="K30" i="14637"/>
  <c r="K50" i="14637"/>
  <c r="M4" i="7"/>
  <c r="M4" i="14631"/>
  <c r="M4" i="14637"/>
  <c r="M6" i="14679"/>
  <c r="N7" i="14624"/>
  <c r="N26" i="14624" s="1"/>
  <c r="N4" i="14625"/>
  <c r="M6" i="14678"/>
  <c r="N4" i="14677"/>
  <c r="N4" i="14641"/>
  <c r="N4" i="14634"/>
  <c r="N4" i="14676"/>
  <c r="M4" i="14630"/>
  <c r="N7" i="14673"/>
  <c r="N26" i="14673" s="1"/>
  <c r="M6" i="14623"/>
  <c r="M4" i="8"/>
  <c r="N10" i="14663"/>
  <c r="N4" i="14628"/>
  <c r="M6" i="14632"/>
  <c r="M4" i="14640"/>
  <c r="N4" i="14674"/>
  <c r="N4" i="14639"/>
  <c r="M6" i="14638"/>
  <c r="N4" i="14675"/>
  <c r="N4" i="14633"/>
  <c r="M4" i="14670"/>
  <c r="N7" i="14672"/>
  <c r="N26" i="14672" s="1"/>
  <c r="M4" i="14671"/>
  <c r="M8" i="14681"/>
  <c r="M4" i="14669"/>
  <c r="M4" i="14653"/>
  <c r="N7" i="14636"/>
  <c r="N26" i="14636" s="1"/>
  <c r="M4" i="14668"/>
  <c r="N7" i="14629"/>
  <c r="N26" i="14629" s="1"/>
  <c r="L30" i="14639"/>
  <c r="L18" i="14639"/>
  <c r="K19" i="14678"/>
  <c r="K45" i="14678" s="1"/>
  <c r="K32" i="14678"/>
  <c r="K32" i="14638"/>
  <c r="K19" i="14638"/>
  <c r="K45" i="14638" s="1"/>
  <c r="K32" i="14623"/>
  <c r="K19" i="14623"/>
  <c r="K45" i="14623" s="1"/>
  <c r="K50" i="14668"/>
  <c r="K30" i="14668"/>
  <c r="K16" i="14668"/>
  <c r="K19" i="14679"/>
  <c r="K45" i="14679" s="1"/>
  <c r="K32" i="14679"/>
  <c r="L18" i="14674"/>
  <c r="L30" i="14674"/>
  <c r="K35" i="14681"/>
  <c r="K44" i="14681"/>
  <c r="K17" i="14681"/>
  <c r="K26" i="14681"/>
  <c r="L18" i="14628"/>
  <c r="L30" i="14628"/>
  <c r="A14" i="14705"/>
  <c r="D5" i="14705"/>
  <c r="D14" i="14705"/>
  <c r="A5" i="14705"/>
  <c r="G5" i="14705"/>
  <c r="D24" i="14709"/>
  <c r="G7" i="14709"/>
  <c r="D9" i="14709"/>
  <c r="D21" i="14709"/>
  <c r="D12" i="14709"/>
  <c r="D8" i="14709"/>
  <c r="D19" i="14709"/>
  <c r="D10" i="14709"/>
  <c r="D11" i="14709"/>
  <c r="D23" i="14709"/>
  <c r="D14" i="14709"/>
  <c r="D22" i="14709"/>
  <c r="D13" i="14709"/>
  <c r="D18" i="14709"/>
  <c r="D20" i="14709"/>
  <c r="C23" i="14667"/>
  <c r="O18" i="14624"/>
  <c r="F28" i="14663"/>
  <c r="E14" i="14629"/>
  <c r="D11" i="14629"/>
  <c r="E9" i="14629"/>
  <c r="F27" i="14663"/>
  <c r="O20" i="14625"/>
  <c r="C21" i="14684" s="1"/>
  <c r="M14" i="14671"/>
  <c r="N14" i="14671" s="1"/>
  <c r="O13" i="14675"/>
  <c r="M16" i="14617" s="1"/>
  <c r="N21" i="14675"/>
  <c r="O21" i="14675" s="1"/>
  <c r="O20" i="14675"/>
  <c r="F24" i="14634"/>
  <c r="F21" i="14633" s="1"/>
  <c r="I22" i="14634"/>
  <c r="B34" i="11"/>
  <c r="B35" i="11" s="1"/>
  <c r="C64" i="14649"/>
  <c r="B50" i="14701"/>
  <c r="M30" i="14630" l="1"/>
  <c r="M50" i="14630"/>
  <c r="M16" i="14630"/>
  <c r="M32" i="14663"/>
  <c r="M59" i="14663"/>
  <c r="M15" i="14663"/>
  <c r="M26" i="14663"/>
  <c r="M54" i="14663"/>
  <c r="M37" i="14663"/>
  <c r="M43" i="14663"/>
  <c r="M21" i="14663"/>
  <c r="M48" i="14663"/>
  <c r="L32" i="14678"/>
  <c r="L19" i="14678"/>
  <c r="L45" i="14678" s="1"/>
  <c r="L30" i="7"/>
  <c r="L16" i="7"/>
  <c r="L108" i="14645"/>
  <c r="L97" i="14645"/>
  <c r="L50" i="7"/>
  <c r="M50" i="14653"/>
  <c r="M24" i="14653"/>
  <c r="M63" i="14653"/>
  <c r="M37" i="14653"/>
  <c r="M11" i="14653"/>
  <c r="M32" i="14638"/>
  <c r="M19" i="14638"/>
  <c r="M45" i="14638" s="1"/>
  <c r="M32" i="14632"/>
  <c r="M19" i="14632"/>
  <c r="M45" i="14632" s="1"/>
  <c r="M32" i="14623"/>
  <c r="M19" i="14623"/>
  <c r="M45" i="14623" s="1"/>
  <c r="N30" i="14634"/>
  <c r="N18" i="14634"/>
  <c r="L44" i="14681"/>
  <c r="L35" i="14681"/>
  <c r="L26" i="14681"/>
  <c r="L17" i="14681"/>
  <c r="L63" i="14653"/>
  <c r="L11" i="14653"/>
  <c r="L37" i="14653"/>
  <c r="L50" i="14653"/>
  <c r="L24" i="14653"/>
  <c r="L50" i="14669"/>
  <c r="L16" i="14669"/>
  <c r="L30" i="14669"/>
  <c r="L30" i="14637"/>
  <c r="L50" i="14637"/>
  <c r="L16" i="14637"/>
  <c r="M30" i="14668"/>
  <c r="M16" i="14668"/>
  <c r="M50" i="14668"/>
  <c r="N21" i="14663"/>
  <c r="N59" i="14663"/>
  <c r="N48" i="14663"/>
  <c r="N43" i="14663"/>
  <c r="N32" i="14663"/>
  <c r="N26" i="14663"/>
  <c r="N15" i="14663"/>
  <c r="N54" i="14663"/>
  <c r="N37" i="14663"/>
  <c r="M19" i="14679"/>
  <c r="M45" i="14679" s="1"/>
  <c r="M32" i="14679"/>
  <c r="M18" i="14639"/>
  <c r="M30" i="14639"/>
  <c r="L50" i="14668"/>
  <c r="L30" i="14668"/>
  <c r="L16" i="14668"/>
  <c r="M30" i="14669"/>
  <c r="M16" i="14669"/>
  <c r="M50" i="14669"/>
  <c r="N30" i="14639"/>
  <c r="N18" i="14639"/>
  <c r="N30" i="14628"/>
  <c r="N18" i="14628"/>
  <c r="M16" i="7"/>
  <c r="M50" i="7"/>
  <c r="M97" i="14645"/>
  <c r="M108" i="14645"/>
  <c r="M30" i="7"/>
  <c r="L16" i="14630"/>
  <c r="L30" i="14630"/>
  <c r="L50" i="14630"/>
  <c r="L19" i="14638"/>
  <c r="L45" i="14638" s="1"/>
  <c r="L32" i="14638"/>
  <c r="M18" i="14675"/>
  <c r="M30" i="14675"/>
  <c r="M26" i="14681"/>
  <c r="M35" i="14681"/>
  <c r="M44" i="14681"/>
  <c r="M17" i="14681"/>
  <c r="N30" i="14674"/>
  <c r="N18" i="14674"/>
  <c r="L32" i="14623"/>
  <c r="L19" i="14623"/>
  <c r="L45" i="14623" s="1"/>
  <c r="N30" i="14675"/>
  <c r="N18" i="14675"/>
  <c r="M32" i="14678"/>
  <c r="M19" i="14678"/>
  <c r="M45" i="14678" s="1"/>
  <c r="M30" i="14637"/>
  <c r="M16" i="14637"/>
  <c r="M50" i="14637"/>
  <c r="M30" i="14628"/>
  <c r="M18" i="14628"/>
  <c r="L19" i="14632"/>
  <c r="L45" i="14632" s="1"/>
  <c r="L32" i="14632"/>
  <c r="M30" i="14634"/>
  <c r="M18" i="14634"/>
  <c r="M30" i="14674"/>
  <c r="M18" i="14674"/>
  <c r="L32" i="14679"/>
  <c r="L19" i="14679"/>
  <c r="L45" i="14679" s="1"/>
  <c r="D27" i="14709"/>
  <c r="G9" i="14709"/>
  <c r="H8" i="14709" s="1"/>
  <c r="D16" i="14629"/>
  <c r="E15" i="14629"/>
  <c r="E18" i="14629" s="1"/>
  <c r="B16" i="14682"/>
  <c r="C14" i="14712" s="1"/>
  <c r="F9" i="14629"/>
  <c r="G27" i="14663"/>
  <c r="E11" i="14629"/>
  <c r="D12" i="14629"/>
  <c r="F14" i="14629"/>
  <c r="G28" i="14663"/>
  <c r="N16" i="14617"/>
  <c r="F16" i="14704"/>
  <c r="O16" i="14617"/>
  <c r="I24" i="14634"/>
  <c r="I21" i="14633" s="1"/>
  <c r="L22" i="14634"/>
  <c r="H7" i="14709" l="1"/>
  <c r="H9" i="14709" s="1"/>
  <c r="P34" i="14709"/>
  <c r="E16" i="14629"/>
  <c r="F15" i="14629"/>
  <c r="F18" i="14629" s="1"/>
  <c r="F11" i="14629"/>
  <c r="E12" i="14629"/>
  <c r="G14" i="14629"/>
  <c r="H28" i="14663"/>
  <c r="H27" i="14663"/>
  <c r="G9" i="14629"/>
  <c r="O22" i="14634"/>
  <c r="L24" i="14634"/>
  <c r="L21" i="14633" s="1"/>
  <c r="O21" i="14633" s="1"/>
  <c r="D22" i="14684" s="1"/>
  <c r="G15" i="14629" l="1"/>
  <c r="G18" i="14629" s="1"/>
  <c r="F16" i="14629"/>
  <c r="F12" i="14629"/>
  <c r="G11" i="14629"/>
  <c r="I28" i="14663"/>
  <c r="H14" i="14629"/>
  <c r="H15" i="14629" s="1"/>
  <c r="H18" i="14629" s="1"/>
  <c r="H9" i="14629"/>
  <c r="I27" i="14663"/>
  <c r="O24" i="14634"/>
  <c r="F40" i="14667" s="1"/>
  <c r="C22" i="14639"/>
  <c r="F20" i="14667"/>
  <c r="D20" i="14701" s="1"/>
  <c r="D40" i="14701" l="1"/>
  <c r="I9" i="14629"/>
  <c r="J27" i="14663"/>
  <c r="H11" i="14629"/>
  <c r="J28" i="14663"/>
  <c r="I14" i="14629"/>
  <c r="F22" i="14639"/>
  <c r="C24" i="14639"/>
  <c r="C21" i="14641" s="1"/>
  <c r="H16" i="14629" l="1"/>
  <c r="I15" i="14629"/>
  <c r="I18" i="14629" s="1"/>
  <c r="I11" i="14629"/>
  <c r="H12" i="14629"/>
  <c r="J9" i="14629"/>
  <c r="K27" i="14663"/>
  <c r="K28" i="14663"/>
  <c r="J14" i="14629"/>
  <c r="J15" i="14629" s="1"/>
  <c r="J18" i="14629" s="1"/>
  <c r="I22" i="14639"/>
  <c r="F24" i="14639"/>
  <c r="F21" i="14641" s="1"/>
  <c r="J11" i="14629" l="1"/>
  <c r="L27" i="14663"/>
  <c r="K9" i="14629"/>
  <c r="K14" i="14629"/>
  <c r="L28" i="14663"/>
  <c r="L22" i="14639"/>
  <c r="I24" i="14639"/>
  <c r="I21" i="14641" s="1"/>
  <c r="J16" i="14629" l="1"/>
  <c r="K15" i="14629"/>
  <c r="K18" i="14629" s="1"/>
  <c r="L9" i="14629"/>
  <c r="M27" i="14663"/>
  <c r="L14" i="14629"/>
  <c r="M28" i="14663"/>
  <c r="K11" i="14629"/>
  <c r="J12" i="14629"/>
  <c r="O22" i="14639"/>
  <c r="L24" i="14639"/>
  <c r="L21" i="14641" s="1"/>
  <c r="O21" i="14641" s="1"/>
  <c r="E22" i="14684" s="1"/>
  <c r="K16" i="14629" l="1"/>
  <c r="L15" i="14629"/>
  <c r="K12" i="14629"/>
  <c r="L11" i="14629"/>
  <c r="M14" i="14629"/>
  <c r="N28" i="14663"/>
  <c r="N27" i="14663"/>
  <c r="O27" i="14663" s="1"/>
  <c r="M9" i="14629"/>
  <c r="O24" i="14639"/>
  <c r="H40" i="14667" s="1"/>
  <c r="H20" i="14667"/>
  <c r="E20" i="14701" s="1"/>
  <c r="C22" i="14674"/>
  <c r="E40" i="14701" l="1"/>
  <c r="L19" i="14657"/>
  <c r="N9" i="14629"/>
  <c r="B38" i="14663"/>
  <c r="C38" i="14663" s="1"/>
  <c r="M11" i="14629"/>
  <c r="L12" i="14629"/>
  <c r="N14" i="14629"/>
  <c r="B39" i="14663"/>
  <c r="C39" i="14663" s="1"/>
  <c r="O28" i="14663"/>
  <c r="U29" i="14695" s="1"/>
  <c r="C28" i="14695" s="1"/>
  <c r="L16" i="14629"/>
  <c r="M15" i="14629"/>
  <c r="M18" i="14629" s="1"/>
  <c r="L18" i="14629"/>
  <c r="F22" i="14674"/>
  <c r="C24" i="14674"/>
  <c r="C21" i="14676" s="1"/>
  <c r="L28" i="14695" l="1"/>
  <c r="C14" i="14636"/>
  <c r="C15" i="14636" s="1"/>
  <c r="C18" i="14636" s="1"/>
  <c r="D39" i="14663"/>
  <c r="N15" i="14629"/>
  <c r="O14" i="14629"/>
  <c r="C9" i="14636"/>
  <c r="D38" i="14663"/>
  <c r="N11" i="14629"/>
  <c r="O9" i="14629"/>
  <c r="F24" i="14674"/>
  <c r="F21" i="14676" s="1"/>
  <c r="I22" i="14674"/>
  <c r="N12" i="14629" l="1"/>
  <c r="O12" i="14629" s="1"/>
  <c r="C10" i="14682" s="1"/>
  <c r="D31" i="4128"/>
  <c r="C36" i="14649" s="1"/>
  <c r="D31" i="14708"/>
  <c r="C8" i="14682"/>
  <c r="C11" i="14636"/>
  <c r="N18" i="14629"/>
  <c r="O15" i="14629"/>
  <c r="C13" i="14682" s="1"/>
  <c r="D13" i="14712" s="1"/>
  <c r="O11" i="14629"/>
  <c r="C9" i="14682" s="1"/>
  <c r="D11" i="14712" s="1"/>
  <c r="D14" i="14636"/>
  <c r="D15" i="14636" s="1"/>
  <c r="D18" i="14636" s="1"/>
  <c r="E39" i="14663"/>
  <c r="E38" i="14663"/>
  <c r="D9" i="14636"/>
  <c r="N16" i="14629"/>
  <c r="O16" i="14629" s="1"/>
  <c r="C14" i="14682" s="1"/>
  <c r="C12" i="14682"/>
  <c r="I24" i="14674"/>
  <c r="I21" i="14676" s="1"/>
  <c r="L22" i="14674"/>
  <c r="F39" i="14663" l="1"/>
  <c r="E14" i="14636"/>
  <c r="D11" i="14636"/>
  <c r="O18" i="14629"/>
  <c r="F38" i="14663"/>
  <c r="E9" i="14636"/>
  <c r="O22" i="14674"/>
  <c r="L24" i="14674"/>
  <c r="L21" i="14676" s="1"/>
  <c r="O21" i="14676" s="1"/>
  <c r="F22" i="14684" s="1"/>
  <c r="G39" i="14663" l="1"/>
  <c r="F14" i="14636"/>
  <c r="C16" i="14682"/>
  <c r="E15" i="14636"/>
  <c r="E18" i="14636" s="1"/>
  <c r="D16" i="14636"/>
  <c r="D12" i="14636"/>
  <c r="E11" i="14636"/>
  <c r="G38" i="14663"/>
  <c r="F9" i="14636"/>
  <c r="J20" i="14667"/>
  <c r="F20" i="14701" s="1"/>
  <c r="O24" i="14674"/>
  <c r="J40" i="14667" s="1"/>
  <c r="F40" i="14701" s="1"/>
  <c r="C22" i="14675"/>
  <c r="Q34" i="14709" l="1"/>
  <c r="D14" i="14712"/>
  <c r="G9" i="14636"/>
  <c r="H38" i="14663"/>
  <c r="E12" i="14636"/>
  <c r="F11" i="14636"/>
  <c r="H39" i="14663"/>
  <c r="G14" i="14636"/>
  <c r="F15" i="14636"/>
  <c r="F18" i="14636" s="1"/>
  <c r="E16" i="14636"/>
  <c r="C24" i="14675"/>
  <c r="C21" i="14677" s="1"/>
  <c r="F22" i="14675"/>
  <c r="G11" i="14636" l="1"/>
  <c r="F12" i="14636"/>
  <c r="H9" i="14636"/>
  <c r="I38" i="14663"/>
  <c r="F16" i="14636"/>
  <c r="G15" i="14636"/>
  <c r="G18" i="14636" s="1"/>
  <c r="I39" i="14663"/>
  <c r="H14" i="14636"/>
  <c r="H15" i="14636" s="1"/>
  <c r="H18" i="14636" s="1"/>
  <c r="F24" i="14675"/>
  <c r="F21" i="14677" s="1"/>
  <c r="I22" i="14675"/>
  <c r="I14" i="14636" l="1"/>
  <c r="J39" i="14663"/>
  <c r="J38" i="14663"/>
  <c r="I9" i="14636"/>
  <c r="H11" i="14636"/>
  <c r="L22" i="14675"/>
  <c r="I24" i="14675"/>
  <c r="I21" i="14677" s="1"/>
  <c r="J9" i="14636" l="1"/>
  <c r="K38" i="14663"/>
  <c r="H16" i="14636"/>
  <c r="I15" i="14636"/>
  <c r="I18" i="14636" s="1"/>
  <c r="I11" i="14636"/>
  <c r="H12" i="14636"/>
  <c r="J14" i="14636"/>
  <c r="J15" i="14636" s="1"/>
  <c r="J18" i="14636" s="1"/>
  <c r="K39" i="14663"/>
  <c r="L24" i="14675"/>
  <c r="L21" i="14677" s="1"/>
  <c r="O21" i="14677" s="1"/>
  <c r="G22" i="14684" s="1"/>
  <c r="O22" i="14675"/>
  <c r="L39" i="14663" l="1"/>
  <c r="K14" i="14636"/>
  <c r="J11" i="14636"/>
  <c r="K9" i="14636"/>
  <c r="L38" i="14663"/>
  <c r="O24" i="14675"/>
  <c r="L40" i="14667" s="1"/>
  <c r="G40" i="14701" s="1"/>
  <c r="L20" i="14667"/>
  <c r="G20" i="14701" s="1"/>
  <c r="J12" i="14636" l="1"/>
  <c r="K11" i="14636"/>
  <c r="K15" i="14636"/>
  <c r="J16" i="14636"/>
  <c r="M38" i="14663"/>
  <c r="L9" i="14636"/>
  <c r="M39" i="14663"/>
  <c r="L14" i="14636"/>
  <c r="L11" i="14636" l="1"/>
  <c r="K12" i="14636"/>
  <c r="L15" i="14636"/>
  <c r="L18" i="14636" s="1"/>
  <c r="K16" i="14636"/>
  <c r="N39" i="14663"/>
  <c r="M14" i="14636"/>
  <c r="N38" i="14663"/>
  <c r="O38" i="14663" s="1"/>
  <c r="M9" i="14636"/>
  <c r="K18" i="14636"/>
  <c r="M19" i="14657" l="1"/>
  <c r="N9" i="14636"/>
  <c r="O9" i="14636" s="1"/>
  <c r="B49" i="14663"/>
  <c r="C49" i="14663" s="1"/>
  <c r="L12" i="14636"/>
  <c r="M11" i="14636"/>
  <c r="N14" i="14636"/>
  <c r="N15" i="14636" s="1"/>
  <c r="N18" i="14636" s="1"/>
  <c r="B50" i="14663"/>
  <c r="C50" i="14663" s="1"/>
  <c r="M15" i="14636"/>
  <c r="L16" i="14636"/>
  <c r="O39" i="14663"/>
  <c r="V29" i="14695" s="1"/>
  <c r="M28" i="14695" l="1"/>
  <c r="V35" i="14695"/>
  <c r="O14" i="14636"/>
  <c r="E31" i="14708" s="1"/>
  <c r="N12" i="14636"/>
  <c r="O12" i="14636" s="1"/>
  <c r="D10" i="14682" s="1"/>
  <c r="D8" i="14682"/>
  <c r="C14" i="14672"/>
  <c r="C15" i="14672" s="1"/>
  <c r="C18" i="14672" s="1"/>
  <c r="D50" i="14663"/>
  <c r="D49" i="14663"/>
  <c r="C9" i="14672"/>
  <c r="M18" i="14636"/>
  <c r="O15" i="14636"/>
  <c r="D13" i="14682" s="1"/>
  <c r="N11" i="14636"/>
  <c r="O11" i="14636" s="1"/>
  <c r="D9" i="14682" s="1"/>
  <c r="W35" i="14695" l="1"/>
  <c r="D28" i="14695"/>
  <c r="B19" i="14636" s="1"/>
  <c r="N16" i="14636"/>
  <c r="O16" i="14636" s="1"/>
  <c r="D14" i="14682" s="1"/>
  <c r="E31" i="4128"/>
  <c r="D36" i="14649" s="1"/>
  <c r="D12" i="14682"/>
  <c r="E49" i="14663"/>
  <c r="D9" i="14672"/>
  <c r="C11" i="14672"/>
  <c r="O18" i="14636"/>
  <c r="D16" i="14682" s="1"/>
  <c r="E50" i="14663"/>
  <c r="D14" i="14672"/>
  <c r="D15" i="14672" s="1"/>
  <c r="D18" i="14672" s="1"/>
  <c r="C19" i="14636" l="1"/>
  <c r="D19" i="14636"/>
  <c r="E19" i="14636"/>
  <c r="F19" i="14636"/>
  <c r="G19" i="14636"/>
  <c r="H19" i="14636"/>
  <c r="I19" i="14636"/>
  <c r="J19" i="14636"/>
  <c r="K19" i="14636"/>
  <c r="L19" i="14636"/>
  <c r="M19" i="14636"/>
  <c r="N19" i="14636"/>
  <c r="X35" i="14695"/>
  <c r="F28" i="14695" s="1"/>
  <c r="B19" i="14673" s="1"/>
  <c r="E28" i="14695"/>
  <c r="B19" i="14672" s="1"/>
  <c r="C19" i="14672" s="1"/>
  <c r="B13" i="14670" s="1"/>
  <c r="F49" i="14663"/>
  <c r="E9" i="14672"/>
  <c r="D11" i="14672"/>
  <c r="F50" i="14663"/>
  <c r="E14" i="14672"/>
  <c r="D19" i="14672" l="1"/>
  <c r="C13" i="14670" s="1"/>
  <c r="C24" i="14672"/>
  <c r="C48" i="14672" s="1"/>
  <c r="C13" i="14676" s="1"/>
  <c r="O19" i="14636"/>
  <c r="D17" i="14682" s="1"/>
  <c r="M13" i="14640"/>
  <c r="M24" i="14636"/>
  <c r="M48" i="14636" s="1"/>
  <c r="M13" i="14641" s="1"/>
  <c r="L13" i="14640"/>
  <c r="K13" i="14640"/>
  <c r="L24" i="14636"/>
  <c r="K24" i="14636"/>
  <c r="J13" i="14640"/>
  <c r="I13" i="14640"/>
  <c r="J24" i="14636"/>
  <c r="I24" i="14636"/>
  <c r="H13" i="14640"/>
  <c r="G13" i="14640"/>
  <c r="H24" i="14636"/>
  <c r="F13" i="14640"/>
  <c r="G24" i="14636"/>
  <c r="E13" i="14640"/>
  <c r="F24" i="14636"/>
  <c r="N24" i="14636"/>
  <c r="D13" i="14640"/>
  <c r="E24" i="14636"/>
  <c r="C13" i="14640"/>
  <c r="D24" i="14636"/>
  <c r="B13" i="14640"/>
  <c r="C24" i="14636"/>
  <c r="F9" i="14672"/>
  <c r="G49" i="14663"/>
  <c r="E11" i="14672"/>
  <c r="D12" i="14672"/>
  <c r="E19" i="14672"/>
  <c r="F14" i="14672"/>
  <c r="G50" i="14663"/>
  <c r="D16" i="14672"/>
  <c r="E15" i="14672"/>
  <c r="E18" i="14672" s="1"/>
  <c r="B12" i="14670" l="1"/>
  <c r="B16" i="14670" s="1"/>
  <c r="B18" i="14670" s="1"/>
  <c r="N13" i="14640"/>
  <c r="G15" i="14617" s="1"/>
  <c r="L12" i="14640"/>
  <c r="L16" i="14640" s="1"/>
  <c r="L18" i="14640" s="1"/>
  <c r="E48" i="14636"/>
  <c r="E13" i="14641" s="1"/>
  <c r="D12" i="14640"/>
  <c r="D16" i="14640" s="1"/>
  <c r="D18" i="14640" s="1"/>
  <c r="O24" i="14636"/>
  <c r="E12" i="14640"/>
  <c r="E16" i="14640" s="1"/>
  <c r="E18" i="14640" s="1"/>
  <c r="F48" i="14636"/>
  <c r="F13" i="14641" s="1"/>
  <c r="M12" i="14640"/>
  <c r="M16" i="14640" s="1"/>
  <c r="M18" i="14640" s="1"/>
  <c r="N48" i="14636"/>
  <c r="N13" i="14641" s="1"/>
  <c r="F12" i="14640"/>
  <c r="F16" i="14640" s="1"/>
  <c r="F18" i="14640" s="1"/>
  <c r="G48" i="14636"/>
  <c r="G13" i="14641" s="1"/>
  <c r="D48" i="14636"/>
  <c r="D13" i="14641" s="1"/>
  <c r="C12" i="14640"/>
  <c r="C16" i="14640" s="1"/>
  <c r="C18" i="14640" s="1"/>
  <c r="I48" i="14636"/>
  <c r="I13" i="14641" s="1"/>
  <c r="H12" i="14640"/>
  <c r="H16" i="14640" s="1"/>
  <c r="H18" i="14640" s="1"/>
  <c r="I12" i="14640"/>
  <c r="I16" i="14640" s="1"/>
  <c r="I18" i="14640" s="1"/>
  <c r="J48" i="14636"/>
  <c r="J13" i="14641" s="1"/>
  <c r="K48" i="14636"/>
  <c r="K13" i="14641" s="1"/>
  <c r="J12" i="14640"/>
  <c r="J16" i="14640" s="1"/>
  <c r="J18" i="14640" s="1"/>
  <c r="L48" i="14636"/>
  <c r="L13" i="14641" s="1"/>
  <c r="K12" i="14640"/>
  <c r="K16" i="14640" s="1"/>
  <c r="K18" i="14640" s="1"/>
  <c r="G12" i="14640"/>
  <c r="G16" i="14640" s="1"/>
  <c r="G18" i="14640" s="1"/>
  <c r="H48" i="14636"/>
  <c r="H13" i="14641" s="1"/>
  <c r="B12" i="14640"/>
  <c r="B16" i="14640" s="1"/>
  <c r="B18" i="14640" s="1"/>
  <c r="C48" i="14636"/>
  <c r="C13" i="14641" s="1"/>
  <c r="AD13" i="14709"/>
  <c r="D21" i="14682"/>
  <c r="D13" i="14670"/>
  <c r="D24" i="14672"/>
  <c r="C12" i="14670" s="1"/>
  <c r="C16" i="14670" s="1"/>
  <c r="C18" i="14670" s="1"/>
  <c r="E12" i="14672"/>
  <c r="F11" i="14672"/>
  <c r="F19" i="14672"/>
  <c r="H49" i="14663"/>
  <c r="G9" i="14672"/>
  <c r="F15" i="14672"/>
  <c r="F18" i="14672" s="1"/>
  <c r="E16" i="14672"/>
  <c r="H50" i="14663"/>
  <c r="G14" i="14672"/>
  <c r="G19" i="14691" l="1"/>
  <c r="N18" i="14640"/>
  <c r="H15" i="14617"/>
  <c r="D15" i="14704"/>
  <c r="N12" i="14640"/>
  <c r="G14" i="14617" s="1"/>
  <c r="G18" i="14691" s="1"/>
  <c r="G20" i="14691" s="1"/>
  <c r="O13" i="14641"/>
  <c r="E15" i="14684" s="1"/>
  <c r="D48" i="14682"/>
  <c r="AD12" i="14709"/>
  <c r="E8" i="14643"/>
  <c r="E11" i="14643" s="1"/>
  <c r="E17" i="14643" s="1"/>
  <c r="O48" i="14636"/>
  <c r="E15" i="14657"/>
  <c r="N16" i="14640"/>
  <c r="D48" i="14672"/>
  <c r="D13" i="14676" s="1"/>
  <c r="E24" i="14672"/>
  <c r="H14" i="14672"/>
  <c r="H15" i="14672" s="1"/>
  <c r="H18" i="14672" s="1"/>
  <c r="I50" i="14663"/>
  <c r="I49" i="14663"/>
  <c r="H9" i="14672"/>
  <c r="F16" i="14672"/>
  <c r="G15" i="14672"/>
  <c r="G18" i="14672" s="1"/>
  <c r="F12" i="14672"/>
  <c r="G11" i="14672"/>
  <c r="G19" i="14672"/>
  <c r="E13" i="14670"/>
  <c r="G18" i="14617" l="1"/>
  <c r="H18" i="14617" s="1"/>
  <c r="X20" i="14709"/>
  <c r="H14" i="14617"/>
  <c r="D14" i="14704"/>
  <c r="D18" i="14704" s="1"/>
  <c r="D20" i="14704" s="1"/>
  <c r="B12" i="14706" s="1"/>
  <c r="E29" i="14643"/>
  <c r="E18" i="14643"/>
  <c r="E26" i="14643"/>
  <c r="P24" i="14636"/>
  <c r="P48" i="14636"/>
  <c r="P29" i="14636"/>
  <c r="P19" i="14636"/>
  <c r="P43" i="14636"/>
  <c r="P28" i="14636"/>
  <c r="P40" i="14636"/>
  <c r="P32" i="14636"/>
  <c r="P12" i="14636"/>
  <c r="P27" i="14636"/>
  <c r="P34" i="14636"/>
  <c r="P42" i="14636"/>
  <c r="P11" i="14636"/>
  <c r="P35" i="14636"/>
  <c r="P33" i="14636"/>
  <c r="P21" i="14636"/>
  <c r="P41" i="14636"/>
  <c r="P31" i="14636"/>
  <c r="P38" i="14636"/>
  <c r="P22" i="14636"/>
  <c r="P18" i="14636"/>
  <c r="P30" i="14636"/>
  <c r="P16" i="14636"/>
  <c r="P36" i="14636"/>
  <c r="P46" i="14636"/>
  <c r="P15" i="14636"/>
  <c r="P37" i="14636"/>
  <c r="P39" i="14636"/>
  <c r="P44" i="14636"/>
  <c r="P45" i="14636"/>
  <c r="F13" i="14670"/>
  <c r="I14" i="14672"/>
  <c r="J50" i="14663"/>
  <c r="I9" i="14672"/>
  <c r="J49" i="14663"/>
  <c r="H11" i="14672"/>
  <c r="H19" i="14672"/>
  <c r="G13" i="14670" s="1"/>
  <c r="D12" i="14670"/>
  <c r="D16" i="14670" s="1"/>
  <c r="D18" i="14670" s="1"/>
  <c r="E48" i="14672"/>
  <c r="E13" i="14676" s="1"/>
  <c r="F24" i="14672"/>
  <c r="G24" i="14672"/>
  <c r="G20" i="14617" l="1"/>
  <c r="H20" i="14617" s="1"/>
  <c r="E32" i="14708"/>
  <c r="E32" i="4128"/>
  <c r="D31" i="14649"/>
  <c r="H4" i="14706"/>
  <c r="E33" i="14708"/>
  <c r="D49" i="14649"/>
  <c r="E33" i="4128"/>
  <c r="D40" i="14649" s="1"/>
  <c r="F48" i="14672"/>
  <c r="F13" i="14676" s="1"/>
  <c r="E12" i="14670"/>
  <c r="E16" i="14670" s="1"/>
  <c r="E18" i="14670" s="1"/>
  <c r="I15" i="14672"/>
  <c r="I18" i="14672" s="1"/>
  <c r="H16" i="14672"/>
  <c r="F12" i="14670"/>
  <c r="F16" i="14670" s="1"/>
  <c r="F18" i="14670" s="1"/>
  <c r="G48" i="14672"/>
  <c r="G13" i="14676" s="1"/>
  <c r="J14" i="14672"/>
  <c r="J15" i="14672" s="1"/>
  <c r="J18" i="14672" s="1"/>
  <c r="K50" i="14663"/>
  <c r="I19" i="14672"/>
  <c r="I11" i="14672"/>
  <c r="H12" i="14672"/>
  <c r="J9" i="14672"/>
  <c r="K49" i="14663"/>
  <c r="H24" i="14672" l="1"/>
  <c r="H48" i="14672" s="1"/>
  <c r="H13" i="14676" s="1"/>
  <c r="I24" i="14672"/>
  <c r="H13" i="14670"/>
  <c r="L49" i="14663"/>
  <c r="K9" i="14672"/>
  <c r="J19" i="14672"/>
  <c r="I13" i="14670" s="1"/>
  <c r="J11" i="14672"/>
  <c r="L50" i="14663"/>
  <c r="K14" i="14672"/>
  <c r="G12" i="14670" l="1"/>
  <c r="G16" i="14670" s="1"/>
  <c r="G18" i="14670" s="1"/>
  <c r="M50" i="14663"/>
  <c r="L14" i="14672"/>
  <c r="M49" i="14663"/>
  <c r="L9" i="14672"/>
  <c r="I48" i="14672"/>
  <c r="I13" i="14676" s="1"/>
  <c r="H12" i="14670"/>
  <c r="H16" i="14670" s="1"/>
  <c r="H18" i="14670" s="1"/>
  <c r="J16" i="14672"/>
  <c r="K15" i="14672"/>
  <c r="K19" i="14672"/>
  <c r="K11" i="14672"/>
  <c r="J12" i="14672"/>
  <c r="J24" i="14672" l="1"/>
  <c r="J48" i="14672" s="1"/>
  <c r="J13" i="14676" s="1"/>
  <c r="N50" i="14663"/>
  <c r="M14" i="14672"/>
  <c r="K16" i="14672"/>
  <c r="L15" i="14672"/>
  <c r="L18" i="14672" s="1"/>
  <c r="M9" i="14672"/>
  <c r="N49" i="14663"/>
  <c r="O49" i="14663" s="1"/>
  <c r="K18" i="14672"/>
  <c r="K12" i="14672"/>
  <c r="L19" i="14672"/>
  <c r="L11" i="14672"/>
  <c r="I12" i="14670" l="1"/>
  <c r="I16" i="14670" s="1"/>
  <c r="I18" i="14670" s="1"/>
  <c r="K13" i="14670"/>
  <c r="N19" i="14657"/>
  <c r="N9" i="14672"/>
  <c r="B60" i="14663"/>
  <c r="C60" i="14663" s="1"/>
  <c r="K24" i="14672"/>
  <c r="J13" i="14670"/>
  <c r="O50" i="14663"/>
  <c r="W29" i="14695" s="1"/>
  <c r="N28" i="14695" s="1"/>
  <c r="N14" i="14672"/>
  <c r="B61" i="14663"/>
  <c r="C61" i="14663" s="1"/>
  <c r="L12" i="14672"/>
  <c r="M11" i="14672"/>
  <c r="M19" i="14672"/>
  <c r="M15" i="14672"/>
  <c r="M18" i="14672" s="1"/>
  <c r="L16" i="14672"/>
  <c r="C14" i="14673" l="1"/>
  <c r="C15" i="14673" s="1"/>
  <c r="C18" i="14673" s="1"/>
  <c r="D61" i="14663"/>
  <c r="L13" i="14670"/>
  <c r="O9" i="14672"/>
  <c r="N19" i="14672"/>
  <c r="O19" i="14672" s="1"/>
  <c r="E17" i="14682" s="1"/>
  <c r="N11" i="14672"/>
  <c r="O11" i="14672" s="1"/>
  <c r="E9" i="14682" s="1"/>
  <c r="L24" i="14672"/>
  <c r="M24" i="14672"/>
  <c r="C9" i="14673"/>
  <c r="D60" i="14663"/>
  <c r="N15" i="14672"/>
  <c r="O14" i="14672"/>
  <c r="K48" i="14672"/>
  <c r="K13" i="14676" s="1"/>
  <c r="J12" i="14670"/>
  <c r="J16" i="14670" s="1"/>
  <c r="J18" i="14670" s="1"/>
  <c r="N18" i="14672" l="1"/>
  <c r="O15" i="14672"/>
  <c r="M48" i="14672"/>
  <c r="M13" i="14676" s="1"/>
  <c r="L12" i="14670"/>
  <c r="L16" i="14670" s="1"/>
  <c r="L18" i="14670" s="1"/>
  <c r="E12" i="14682"/>
  <c r="N16" i="14672"/>
  <c r="O16" i="14672" s="1"/>
  <c r="E61" i="14663"/>
  <c r="D14" i="14673"/>
  <c r="D15" i="14673" s="1"/>
  <c r="D18" i="14673" s="1"/>
  <c r="C11" i="14673"/>
  <c r="C19" i="14673"/>
  <c r="B13" i="14671" s="1"/>
  <c r="L48" i="14672"/>
  <c r="L13" i="14676" s="1"/>
  <c r="K12" i="14670"/>
  <c r="E60" i="14663"/>
  <c r="D9" i="14673"/>
  <c r="N12" i="14672"/>
  <c r="O12" i="14672" s="1"/>
  <c r="F31" i="14708"/>
  <c r="E8" i="14682"/>
  <c r="F31" i="4128"/>
  <c r="E36" i="14649" s="1"/>
  <c r="C24" i="14673" l="1"/>
  <c r="B12" i="14671" s="1"/>
  <c r="B16" i="14671" s="1"/>
  <c r="B18" i="14671" s="1"/>
  <c r="K16" i="14670"/>
  <c r="M13" i="14670"/>
  <c r="N13" i="14670" s="1"/>
  <c r="J15" i="14617" s="1"/>
  <c r="L15" i="14617" s="1"/>
  <c r="O18" i="14672"/>
  <c r="N24" i="14672"/>
  <c r="E9" i="14673"/>
  <c r="F60" i="14663"/>
  <c r="E14" i="14682"/>
  <c r="E13" i="14682"/>
  <c r="D11" i="14673"/>
  <c r="D19" i="14673"/>
  <c r="C13" i="14671" s="1"/>
  <c r="E14" i="14673"/>
  <c r="F61" i="14663"/>
  <c r="E10" i="14682"/>
  <c r="C48" i="14673" l="1"/>
  <c r="C13" i="14677" s="1"/>
  <c r="E15" i="14673"/>
  <c r="E18" i="14673" s="1"/>
  <c r="D16" i="14673"/>
  <c r="G61" i="14663"/>
  <c r="F14" i="14673"/>
  <c r="O24" i="14672"/>
  <c r="N48" i="14672"/>
  <c r="N13" i="14676" s="1"/>
  <c r="O13" i="14676" s="1"/>
  <c r="F15" i="14684" s="1"/>
  <c r="M12" i="14670"/>
  <c r="K18" i="14670"/>
  <c r="E11" i="14673"/>
  <c r="E19" i="14673"/>
  <c r="D12" i="14673"/>
  <c r="F9" i="14673"/>
  <c r="G60" i="14663"/>
  <c r="E15" i="14704"/>
  <c r="K15" i="14617"/>
  <c r="E16" i="14682"/>
  <c r="E21" i="14682" s="1"/>
  <c r="E48" i="14682" s="1"/>
  <c r="D13" i="14671" l="1"/>
  <c r="D24" i="14673"/>
  <c r="C12" i="14671" s="1"/>
  <c r="C16" i="14671" s="1"/>
  <c r="C18" i="14671" s="1"/>
  <c r="F15" i="14657"/>
  <c r="F8" i="14643"/>
  <c r="F11" i="14643" s="1"/>
  <c r="F17" i="14643" s="1"/>
  <c r="O48" i="14672"/>
  <c r="E12" i="14673"/>
  <c r="F19" i="14673"/>
  <c r="F11" i="14673"/>
  <c r="H60" i="14663"/>
  <c r="G9" i="14673"/>
  <c r="M16" i="14670"/>
  <c r="N12" i="14670"/>
  <c r="J14" i="14617" s="1"/>
  <c r="L14" i="14617" s="1"/>
  <c r="H61" i="14663"/>
  <c r="G14" i="14673"/>
  <c r="F15" i="14673"/>
  <c r="F18" i="14673" s="1"/>
  <c r="E16" i="14673"/>
  <c r="D48" i="14673" l="1"/>
  <c r="D13" i="14677" s="1"/>
  <c r="E13" i="14671"/>
  <c r="G15" i="14673"/>
  <c r="G18" i="14673" s="1"/>
  <c r="F16" i="14673"/>
  <c r="G11" i="14673"/>
  <c r="G19" i="14673"/>
  <c r="F12" i="14673"/>
  <c r="E24" i="14673"/>
  <c r="F18" i="14643"/>
  <c r="F26" i="14643"/>
  <c r="F29" i="14643"/>
  <c r="P11" i="14672"/>
  <c r="P44" i="14672"/>
  <c r="P39" i="14672"/>
  <c r="P48" i="14672"/>
  <c r="P38" i="14672"/>
  <c r="P37" i="14672"/>
  <c r="P42" i="14672"/>
  <c r="P30" i="14672"/>
  <c r="P28" i="14672"/>
  <c r="P41" i="14672"/>
  <c r="P22" i="14672"/>
  <c r="P29" i="14672"/>
  <c r="P27" i="14672"/>
  <c r="P21" i="14672"/>
  <c r="P31" i="14672"/>
  <c r="P32" i="14672"/>
  <c r="P43" i="14672"/>
  <c r="P33" i="14672"/>
  <c r="P46" i="14672"/>
  <c r="P19" i="14672"/>
  <c r="P35" i="14672"/>
  <c r="P45" i="14672"/>
  <c r="P36" i="14672"/>
  <c r="P34" i="14672"/>
  <c r="P40" i="14672"/>
  <c r="P16" i="14672"/>
  <c r="P12" i="14672"/>
  <c r="P15" i="14672"/>
  <c r="P18" i="14672"/>
  <c r="M18" i="14670"/>
  <c r="N18" i="14670" s="1"/>
  <c r="N16" i="14670"/>
  <c r="K14" i="14617"/>
  <c r="J18" i="14617"/>
  <c r="L18" i="14617" s="1"/>
  <c r="E14" i="14704"/>
  <c r="E18" i="14704" s="1"/>
  <c r="H14" i="14673"/>
  <c r="H15" i="14673" s="1"/>
  <c r="H18" i="14673" s="1"/>
  <c r="I61" i="14663"/>
  <c r="I60" i="14663"/>
  <c r="H9" i="14673"/>
  <c r="P24" i="14672"/>
  <c r="G24" i="14673" l="1"/>
  <c r="G48" i="14673" s="1"/>
  <c r="G13" i="14677" s="1"/>
  <c r="F13" i="14671"/>
  <c r="F24" i="14673"/>
  <c r="F48" i="14673" s="1"/>
  <c r="F13" i="14677" s="1"/>
  <c r="J61" i="14663"/>
  <c r="I14" i="14673"/>
  <c r="F33" i="14708"/>
  <c r="D50" i="14649"/>
  <c r="F33" i="4128"/>
  <c r="E40" i="14649" s="1"/>
  <c r="I9" i="14673"/>
  <c r="J60" i="14663"/>
  <c r="F32" i="14708"/>
  <c r="E31" i="14649"/>
  <c r="J20" i="14617"/>
  <c r="K18" i="14617"/>
  <c r="F32" i="4128"/>
  <c r="E48" i="14673"/>
  <c r="E13" i="14677" s="1"/>
  <c r="D12" i="14671"/>
  <c r="D16" i="14671" s="1"/>
  <c r="D18" i="14671" s="1"/>
  <c r="H11" i="14673"/>
  <c r="H19" i="14673"/>
  <c r="G13" i="14671" s="1"/>
  <c r="E20" i="14704"/>
  <c r="B13" i="14706" s="1"/>
  <c r="H5" i="14706"/>
  <c r="F12" i="14671" l="1"/>
  <c r="F16" i="14671" s="1"/>
  <c r="F18" i="14671" s="1"/>
  <c r="E12" i="14671"/>
  <c r="E16" i="14671" s="1"/>
  <c r="E18" i="14671" s="1"/>
  <c r="K20" i="14617"/>
  <c r="L20" i="14617"/>
  <c r="J9" i="14673"/>
  <c r="K60" i="14663"/>
  <c r="K61" i="14663"/>
  <c r="J14" i="14673"/>
  <c r="J15" i="14673" s="1"/>
  <c r="J18" i="14673" s="1"/>
  <c r="H16" i="14673"/>
  <c r="I15" i="14673"/>
  <c r="I18" i="14673" s="1"/>
  <c r="H12" i="14673"/>
  <c r="I19" i="14673"/>
  <c r="I11" i="14673"/>
  <c r="H24" i="14673" l="1"/>
  <c r="H48" i="14673" s="1"/>
  <c r="H13" i="14677" s="1"/>
  <c r="I24" i="14673"/>
  <c r="H13" i="14671"/>
  <c r="J11" i="14673"/>
  <c r="J19" i="14673"/>
  <c r="I13" i="14671" s="1"/>
  <c r="K9" i="14673"/>
  <c r="L60" i="14663"/>
  <c r="L61" i="14663"/>
  <c r="K14" i="14673"/>
  <c r="G12" i="14671" l="1"/>
  <c r="G16" i="14671" s="1"/>
  <c r="G18" i="14671" s="1"/>
  <c r="H12" i="14671"/>
  <c r="H16" i="14671" s="1"/>
  <c r="H18" i="14671" s="1"/>
  <c r="I48" i="14673"/>
  <c r="I13" i="14677" s="1"/>
  <c r="M61" i="14663"/>
  <c r="L14" i="14673"/>
  <c r="K11" i="14673"/>
  <c r="K19" i="14673"/>
  <c r="J12" i="14673"/>
  <c r="J16" i="14673"/>
  <c r="K15" i="14673"/>
  <c r="M60" i="14663"/>
  <c r="L9" i="14673"/>
  <c r="J24" i="14673" l="1"/>
  <c r="J48" i="14673" s="1"/>
  <c r="J13" i="14677" s="1"/>
  <c r="M14" i="14673"/>
  <c r="N61" i="14663"/>
  <c r="L15" i="14673"/>
  <c r="L18" i="14673" s="1"/>
  <c r="K16" i="14673"/>
  <c r="N60" i="14663"/>
  <c r="N9" i="14673" s="1"/>
  <c r="M9" i="14673"/>
  <c r="L11" i="14673"/>
  <c r="K12" i="14673"/>
  <c r="L19" i="14673"/>
  <c r="K18" i="14673"/>
  <c r="O9" i="14673" l="1"/>
  <c r="F8" i="14682" s="1"/>
  <c r="O60" i="14663"/>
  <c r="I12" i="14671"/>
  <c r="I16" i="14671" s="1"/>
  <c r="I18" i="14671" s="1"/>
  <c r="O19" i="14657"/>
  <c r="K13" i="14671"/>
  <c r="L12" i="14673"/>
  <c r="M19" i="14673"/>
  <c r="M11" i="14673"/>
  <c r="M15" i="14673"/>
  <c r="L16" i="14673"/>
  <c r="J13" i="14671"/>
  <c r="N14" i="14673"/>
  <c r="N15" i="14673" s="1"/>
  <c r="N18" i="14673" s="1"/>
  <c r="O61" i="14663"/>
  <c r="X29" i="14695" s="1"/>
  <c r="O28" i="14695" s="1"/>
  <c r="N19" i="14673"/>
  <c r="N11" i="14673"/>
  <c r="K24" i="14673"/>
  <c r="N12" i="14673" l="1"/>
  <c r="O12" i="14673" s="1"/>
  <c r="F10" i="14682" s="1"/>
  <c r="L19" i="14662"/>
  <c r="M19" i="14662" s="1"/>
  <c r="M41" i="14662" s="1"/>
  <c r="O11" i="14673"/>
  <c r="F9" i="14682" s="1"/>
  <c r="M13" i="14671"/>
  <c r="O19" i="14673"/>
  <c r="F17" i="14682" s="1"/>
  <c r="K48" i="14673"/>
  <c r="K13" i="14677" s="1"/>
  <c r="J12" i="14671"/>
  <c r="J16" i="14671" s="1"/>
  <c r="J18" i="14671" s="1"/>
  <c r="O14" i="14673"/>
  <c r="M18" i="14673"/>
  <c r="M24" i="14673" s="1"/>
  <c r="O15" i="14673"/>
  <c r="F13" i="14682" s="1"/>
  <c r="L24" i="14673"/>
  <c r="L41" i="14662" l="1"/>
  <c r="N16" i="14673"/>
  <c r="F12" i="14682"/>
  <c r="G31" i="14708"/>
  <c r="G31" i="4128"/>
  <c r="F36" i="14649" s="1"/>
  <c r="M48" i="14673"/>
  <c r="M13" i="14677" s="1"/>
  <c r="K12" i="14671"/>
  <c r="L48" i="14673"/>
  <c r="L13" i="14677" s="1"/>
  <c r="L13" i="14671"/>
  <c r="N13" i="14671" s="1"/>
  <c r="M15" i="14617" s="1"/>
  <c r="O15" i="14617" s="1"/>
  <c r="O18" i="14673"/>
  <c r="F15" i="14704" l="1"/>
  <c r="N15" i="14617"/>
  <c r="O16" i="14673"/>
  <c r="N24" i="14673"/>
  <c r="L12" i="14671"/>
  <c r="L16" i="14671" s="1"/>
  <c r="L18" i="14671" s="1"/>
  <c r="F16" i="14682"/>
  <c r="K16" i="14671"/>
  <c r="F14" i="14682" l="1"/>
  <c r="F21" i="14682" s="1"/>
  <c r="F48" i="14682" s="1"/>
  <c r="K18" i="14671"/>
  <c r="O24" i="14673"/>
  <c r="M12" i="14671"/>
  <c r="N48" i="14673"/>
  <c r="N13" i="14677" s="1"/>
  <c r="O13" i="14677" s="1"/>
  <c r="G15" i="14684" s="1"/>
  <c r="G15" i="14657" l="1"/>
  <c r="O48" i="14673"/>
  <c r="G8" i="14643"/>
  <c r="G11" i="14643" s="1"/>
  <c r="G17" i="14643" s="1"/>
  <c r="M16" i="14671"/>
  <c r="N12" i="14671"/>
  <c r="M14" i="14617" s="1"/>
  <c r="O14" i="14617" s="1"/>
  <c r="F14" i="14704" l="1"/>
  <c r="F18" i="14704" s="1"/>
  <c r="M18" i="14617"/>
  <c r="O18" i="14617" s="1"/>
  <c r="N14" i="14617"/>
  <c r="P24" i="14673"/>
  <c r="P48" i="14673"/>
  <c r="P38" i="14673"/>
  <c r="P21" i="14673"/>
  <c r="P35" i="14673"/>
  <c r="P33" i="14673"/>
  <c r="P36" i="14673"/>
  <c r="P40" i="14673"/>
  <c r="P12" i="14673"/>
  <c r="P42" i="14673"/>
  <c r="P46" i="14673"/>
  <c r="P32" i="14673"/>
  <c r="P22" i="14673"/>
  <c r="P31" i="14673"/>
  <c r="P34" i="14673"/>
  <c r="P28" i="14673"/>
  <c r="P43" i="14673"/>
  <c r="P37" i="14673"/>
  <c r="P41" i="14673"/>
  <c r="P44" i="14673"/>
  <c r="P45" i="14673"/>
  <c r="P11" i="14673"/>
  <c r="P39" i="14673"/>
  <c r="P15" i="14673"/>
  <c r="P30" i="14673"/>
  <c r="P27" i="14673"/>
  <c r="P29" i="14673"/>
  <c r="P19" i="14673"/>
  <c r="P18" i="14673"/>
  <c r="P16" i="14673"/>
  <c r="G29" i="14643"/>
  <c r="G26" i="14643"/>
  <c r="G18" i="14643"/>
  <c r="M18" i="14671"/>
  <c r="N18" i="14671" s="1"/>
  <c r="N16" i="14671"/>
  <c r="H6" i="14706" l="1"/>
  <c r="F20" i="14704"/>
  <c r="B14" i="14706" s="1"/>
  <c r="D51" i="14649"/>
  <c r="G33" i="14708"/>
  <c r="G33" i="4128"/>
  <c r="F40" i="14649" s="1"/>
  <c r="F31" i="14649"/>
  <c r="G32" i="14708"/>
  <c r="M20" i="14617"/>
  <c r="G32" i="4128"/>
  <c r="N18" i="14617"/>
  <c r="N20" i="14617" l="1"/>
  <c r="O20" i="14617"/>
  <c r="U35" i="14695" l="1"/>
  <c r="B19" i="14629" l="1"/>
  <c r="K19" i="14629" l="1"/>
  <c r="J13" i="14631" s="1"/>
  <c r="L19" i="14629"/>
  <c r="K13" i="14631" s="1"/>
  <c r="G19" i="14629"/>
  <c r="G24" i="14629" s="1"/>
  <c r="I19" i="14629"/>
  <c r="I24" i="14629" s="1"/>
  <c r="F19" i="14629"/>
  <c r="E13" i="14631" s="1"/>
  <c r="N19" i="14629"/>
  <c r="N24" i="14629" s="1"/>
  <c r="E19" i="14629"/>
  <c r="D13" i="14631" s="1"/>
  <c r="D19" i="14629"/>
  <c r="C13" i="14631" s="1"/>
  <c r="C19" i="14629"/>
  <c r="C24" i="14629" s="1"/>
  <c r="M19" i="14629"/>
  <c r="L13" i="14631" s="1"/>
  <c r="H19" i="14629"/>
  <c r="G13" i="14631" s="1"/>
  <c r="J19" i="14629"/>
  <c r="I13" i="14631" s="1"/>
  <c r="H24" i="14629" l="1"/>
  <c r="H48" i="14629" s="1"/>
  <c r="L24" i="14629"/>
  <c r="K12" i="14631" s="1"/>
  <c r="K16" i="14631" s="1"/>
  <c r="K18" i="14631" s="1"/>
  <c r="F13" i="14631"/>
  <c r="F12" i="14631" s="1"/>
  <c r="F16" i="14631" s="1"/>
  <c r="F18" i="14631" s="1"/>
  <c r="E24" i="14629"/>
  <c r="D12" i="14631" s="1"/>
  <c r="D16" i="14631" s="1"/>
  <c r="D18" i="14631" s="1"/>
  <c r="M24" i="14629"/>
  <c r="L12" i="14631" s="1"/>
  <c r="L16" i="14631" s="1"/>
  <c r="L18" i="14631" s="1"/>
  <c r="M13" i="14631"/>
  <c r="M12" i="14631" s="1"/>
  <c r="M16" i="14631" s="1"/>
  <c r="M18" i="14631" s="1"/>
  <c r="K24" i="14629"/>
  <c r="K48" i="14629" s="1"/>
  <c r="H13" i="14631"/>
  <c r="H12" i="14631" s="1"/>
  <c r="H16" i="14631" s="1"/>
  <c r="H18" i="14631" s="1"/>
  <c r="J24" i="14629"/>
  <c r="I12" i="14631" s="1"/>
  <c r="I16" i="14631" s="1"/>
  <c r="I18" i="14631" s="1"/>
  <c r="D24" i="14629"/>
  <c r="D48" i="14629" s="1"/>
  <c r="B13" i="14631"/>
  <c r="B12" i="14631" s="1"/>
  <c r="F24" i="14629"/>
  <c r="O19" i="14629"/>
  <c r="C17" i="14682" s="1"/>
  <c r="D12" i="14712" s="1"/>
  <c r="C48" i="14629"/>
  <c r="N48" i="14629"/>
  <c r="G48" i="14629"/>
  <c r="I48" i="14629"/>
  <c r="G12" i="14631" l="1"/>
  <c r="G16" i="14631" s="1"/>
  <c r="G18" i="14631" s="1"/>
  <c r="L48" i="14629"/>
  <c r="L13" i="14633" s="1"/>
  <c r="E48" i="14629"/>
  <c r="E13" i="14633" s="1"/>
  <c r="J12" i="14631"/>
  <c r="J16" i="14631" s="1"/>
  <c r="J18" i="14631" s="1"/>
  <c r="M48" i="14629"/>
  <c r="M13" i="14633" s="1"/>
  <c r="J48" i="14629"/>
  <c r="J13" i="14633" s="1"/>
  <c r="O24" i="14629"/>
  <c r="D8" i="14643" s="1"/>
  <c r="D11" i="14643" s="1"/>
  <c r="C12" i="14631"/>
  <c r="C16" i="14631" s="1"/>
  <c r="C18" i="14631" s="1"/>
  <c r="E12" i="14631"/>
  <c r="E16" i="14631" s="1"/>
  <c r="E18" i="14631" s="1"/>
  <c r="F48" i="14629"/>
  <c r="F13" i="14633" s="1"/>
  <c r="N13" i="14631"/>
  <c r="D15" i="14617" s="1"/>
  <c r="I13" i="14633"/>
  <c r="H13" i="14633"/>
  <c r="B16" i="14631"/>
  <c r="K13" i="14633"/>
  <c r="N13" i="14633"/>
  <c r="C13" i="14633"/>
  <c r="D13" i="14633"/>
  <c r="G13" i="14633"/>
  <c r="C21" i="14682"/>
  <c r="AC13" i="14709"/>
  <c r="E15" i="14617" l="1"/>
  <c r="D55" i="14712"/>
  <c r="D67" i="14712" s="1"/>
  <c r="D15" i="14657"/>
  <c r="O48" i="14629"/>
  <c r="P24" i="14629" s="1"/>
  <c r="N12" i="14631"/>
  <c r="D14" i="14617" s="1"/>
  <c r="D54" i="14712" s="1"/>
  <c r="F19" i="14691"/>
  <c r="C15" i="14704"/>
  <c r="I15" i="14617"/>
  <c r="O13" i="14633"/>
  <c r="AC12" i="14709"/>
  <c r="C48" i="14682"/>
  <c r="B18" i="14631"/>
  <c r="N16" i="14631"/>
  <c r="D17" i="14643"/>
  <c r="D66" i="14712" l="1"/>
  <c r="P35" i="14629"/>
  <c r="P28" i="14629"/>
  <c r="W20" i="14709"/>
  <c r="P32" i="14629"/>
  <c r="P39" i="14629"/>
  <c r="P46" i="14629"/>
  <c r="P34" i="14629"/>
  <c r="P21" i="14629"/>
  <c r="D18" i="14617"/>
  <c r="D32" i="4128" s="1"/>
  <c r="I14" i="14617"/>
  <c r="E14" i="14617"/>
  <c r="C14" i="14704"/>
  <c r="C18" i="14704" s="1"/>
  <c r="C20" i="14704" s="1"/>
  <c r="F18" i="14691"/>
  <c r="F20" i="14691" s="1"/>
  <c r="P16" i="14629"/>
  <c r="P37" i="14629"/>
  <c r="P41" i="14629"/>
  <c r="P29" i="14629"/>
  <c r="P36" i="14629"/>
  <c r="P15" i="14629"/>
  <c r="P38" i="14629"/>
  <c r="P31" i="14629"/>
  <c r="P22" i="14629"/>
  <c r="P33" i="14629"/>
  <c r="P11" i="14629"/>
  <c r="P27" i="14629"/>
  <c r="P44" i="14629"/>
  <c r="P40" i="14629"/>
  <c r="P19" i="14629"/>
  <c r="P45" i="14629"/>
  <c r="P30" i="14629"/>
  <c r="P43" i="14629"/>
  <c r="P42" i="14629"/>
  <c r="P18" i="14629"/>
  <c r="P48" i="14629"/>
  <c r="P12" i="14629"/>
  <c r="D26" i="14643"/>
  <c r="D29" i="14643"/>
  <c r="D18" i="14643"/>
  <c r="D15" i="14684"/>
  <c r="N18" i="14631"/>
  <c r="D32" i="14708" l="1"/>
  <c r="D20" i="14617"/>
  <c r="E20" i="14617" s="1"/>
  <c r="C31" i="14649"/>
  <c r="E18" i="14617"/>
  <c r="I18" i="14617"/>
  <c r="H3" i="14706"/>
  <c r="B11" i="14706"/>
  <c r="D48" i="14649"/>
  <c r="D33" i="14708"/>
  <c r="D33" i="4128"/>
  <c r="C40" i="14649" s="1"/>
  <c r="I20" i="14617" l="1"/>
  <c r="B19" i="14624" l="1"/>
  <c r="G19" i="14624" l="1"/>
  <c r="J19" i="14624"/>
  <c r="L19" i="14624"/>
  <c r="M19" i="14624"/>
  <c r="K19" i="14624"/>
  <c r="C19" i="14624"/>
  <c r="D19" i="14624"/>
  <c r="N19" i="14624"/>
  <c r="E19" i="14624"/>
  <c r="F19" i="14624"/>
  <c r="I19" i="14624"/>
  <c r="H19" i="14624"/>
  <c r="H24" i="14624" l="1"/>
  <c r="G13" i="8"/>
  <c r="N24" i="14624"/>
  <c r="M13" i="8"/>
  <c r="L13" i="8"/>
  <c r="M24" i="14624"/>
  <c r="H13" i="8"/>
  <c r="I24" i="14624"/>
  <c r="C13" i="8"/>
  <c r="D24" i="14624"/>
  <c r="K13" i="8"/>
  <c r="L24" i="14624"/>
  <c r="E13" i="8"/>
  <c r="F24" i="14624"/>
  <c r="O19" i="14624"/>
  <c r="B13" i="8"/>
  <c r="C24" i="14624"/>
  <c r="I13" i="8"/>
  <c r="J24" i="14624"/>
  <c r="D13" i="8"/>
  <c r="E24" i="14624"/>
  <c r="J13" i="8"/>
  <c r="K24" i="14624"/>
  <c r="F13" i="8"/>
  <c r="G24" i="14624"/>
  <c r="B12" i="8" l="1"/>
  <c r="O24" i="14624"/>
  <c r="C48" i="14624"/>
  <c r="N13" i="8"/>
  <c r="B15" i="14617" s="1"/>
  <c r="C55" i="14712" s="1"/>
  <c r="C67" i="14712" s="1"/>
  <c r="L48" i="14624"/>
  <c r="L13" i="14625" s="1"/>
  <c r="K12" i="8"/>
  <c r="K16" i="8" s="1"/>
  <c r="K18" i="8" s="1"/>
  <c r="I48" i="14624"/>
  <c r="I13" i="14625" s="1"/>
  <c r="H12" i="8"/>
  <c r="H16" i="8" s="1"/>
  <c r="H18" i="8" s="1"/>
  <c r="G48" i="14624"/>
  <c r="F12" i="8"/>
  <c r="F16" i="8" s="1"/>
  <c r="F18" i="8" s="1"/>
  <c r="K48" i="14624"/>
  <c r="K13" i="14625" s="1"/>
  <c r="J12" i="8"/>
  <c r="J16" i="8" s="1"/>
  <c r="J18" i="8" s="1"/>
  <c r="I12" i="8"/>
  <c r="I16" i="8" s="1"/>
  <c r="I18" i="8" s="1"/>
  <c r="J48" i="14624"/>
  <c r="J13" i="14625" s="1"/>
  <c r="B17" i="14682"/>
  <c r="C12" i="14712" s="1"/>
  <c r="N48" i="14624"/>
  <c r="M12" i="8"/>
  <c r="M16" i="8" s="1"/>
  <c r="M18" i="8" s="1"/>
  <c r="E48" i="14624"/>
  <c r="E13" i="14625" s="1"/>
  <c r="D12" i="8"/>
  <c r="D16" i="8" s="1"/>
  <c r="D18" i="8" s="1"/>
  <c r="G12" i="8"/>
  <c r="G16" i="8" s="1"/>
  <c r="G18" i="8" s="1"/>
  <c r="H48" i="14624"/>
  <c r="E12" i="8"/>
  <c r="E16" i="8" s="1"/>
  <c r="E18" i="8" s="1"/>
  <c r="F48" i="14624"/>
  <c r="C12" i="8"/>
  <c r="C16" i="8" s="1"/>
  <c r="C18" i="8" s="1"/>
  <c r="D48" i="14624"/>
  <c r="M48" i="14624"/>
  <c r="L12" i="8"/>
  <c r="L16" i="8" s="1"/>
  <c r="L18" i="8" s="1"/>
  <c r="N13" i="14625" l="1"/>
  <c r="G13" i="14625"/>
  <c r="B16" i="8"/>
  <c r="N12" i="8"/>
  <c r="B14" i="14617" s="1"/>
  <c r="C54" i="14712" s="1"/>
  <c r="F13" i="14625"/>
  <c r="F15" i="14617"/>
  <c r="E19" i="14691"/>
  <c r="B15" i="14704"/>
  <c r="C15" i="14617"/>
  <c r="B21" i="14682"/>
  <c r="AB13" i="14709"/>
  <c r="B10" i="14681"/>
  <c r="C13" i="14625"/>
  <c r="M13" i="14625"/>
  <c r="D13" i="14625"/>
  <c r="H13" i="14625"/>
  <c r="O48" i="14624"/>
  <c r="C15" i="14657"/>
  <c r="C8" i="14643"/>
  <c r="C11" i="14643" s="1"/>
  <c r="C66" i="14712" l="1"/>
  <c r="C23" i="14625"/>
  <c r="C25" i="14625" s="1"/>
  <c r="O13" i="14625"/>
  <c r="F14" i="14617"/>
  <c r="C14" i="14617"/>
  <c r="B14" i="14704"/>
  <c r="B18" i="14704" s="1"/>
  <c r="V20" i="14709"/>
  <c r="B18" i="14617"/>
  <c r="E18" i="14691"/>
  <c r="E20" i="14691" s="1"/>
  <c r="C17" i="14643"/>
  <c r="B48" i="14682"/>
  <c r="AB12" i="14709"/>
  <c r="P12" i="14624"/>
  <c r="P48" i="14624"/>
  <c r="P45" i="14624"/>
  <c r="P38" i="14624"/>
  <c r="P36" i="14624"/>
  <c r="P46" i="14624"/>
  <c r="P27" i="14624"/>
  <c r="P11" i="14624"/>
  <c r="P44" i="14624"/>
  <c r="P15" i="14624"/>
  <c r="P34" i="14624"/>
  <c r="P18" i="14624"/>
  <c r="P40" i="14624"/>
  <c r="P28" i="14624"/>
  <c r="P16" i="14624"/>
  <c r="P32" i="14624"/>
  <c r="P37" i="14624"/>
  <c r="P43" i="14624"/>
  <c r="P29" i="14624"/>
  <c r="P21" i="14624"/>
  <c r="P41" i="14624"/>
  <c r="P22" i="14624"/>
  <c r="P42" i="14624"/>
  <c r="P30" i="14624"/>
  <c r="P31" i="14624"/>
  <c r="P39" i="14624"/>
  <c r="P35" i="14624"/>
  <c r="P33" i="14624"/>
  <c r="P19" i="14624"/>
  <c r="P24" i="14624"/>
  <c r="B18" i="8"/>
  <c r="N16" i="8"/>
  <c r="N18" i="8" l="1"/>
  <c r="B24" i="8"/>
  <c r="C32" i="4128"/>
  <c r="B31" i="14649"/>
  <c r="C18" i="14617"/>
  <c r="B20" i="14617"/>
  <c r="F18" i="14617"/>
  <c r="C32" i="14708"/>
  <c r="C15" i="14684"/>
  <c r="C18" i="14643"/>
  <c r="C29" i="14643"/>
  <c r="C26" i="14643"/>
  <c r="B20" i="14704"/>
  <c r="H2" i="14706"/>
  <c r="C27" i="14625"/>
  <c r="C29" i="14625" s="1"/>
  <c r="B10" i="14706" l="1"/>
  <c r="D57" i="14648"/>
  <c r="B40" i="14684"/>
  <c r="C9" i="14648"/>
  <c r="D11" i="14648" s="1"/>
  <c r="C33" i="4128"/>
  <c r="B40" i="14649" s="1"/>
  <c r="D47" i="14649"/>
  <c r="C33" i="14708"/>
  <c r="F20" i="14617"/>
  <c r="C20" i="14617"/>
  <c r="B26" i="8"/>
  <c r="D15" i="14648" l="1"/>
  <c r="D59" i="14648"/>
  <c r="D15" i="14625" l="1"/>
  <c r="C21" i="8"/>
  <c r="C10" i="14681"/>
  <c r="C20" i="8"/>
  <c r="D9" i="14625"/>
  <c r="D10" i="14625" l="1"/>
  <c r="D23" i="14625"/>
  <c r="C22" i="8"/>
  <c r="C24" i="8" l="1"/>
  <c r="D25" i="14625"/>
  <c r="D27" i="14625" l="1"/>
  <c r="D29" i="14625" s="1"/>
  <c r="C26" i="8"/>
  <c r="E57" i="14648" l="1"/>
  <c r="C40" i="14684"/>
  <c r="D9" i="14648"/>
  <c r="E11" i="14648" s="1"/>
  <c r="E15" i="14648" l="1"/>
  <c r="E59" i="14648"/>
  <c r="D21" i="8" l="1"/>
  <c r="E15" i="14625"/>
  <c r="D10" i="14681"/>
  <c r="D20" i="8"/>
  <c r="E9" i="14625"/>
  <c r="D22" i="8" l="1"/>
  <c r="E11" i="14681"/>
  <c r="E13" i="14681" s="1"/>
  <c r="E10" i="14625"/>
  <c r="E23" i="14625"/>
  <c r="F22" i="14625" l="1"/>
  <c r="D24" i="8"/>
  <c r="E25" i="14625"/>
  <c r="E27" i="14625" s="1"/>
  <c r="D26" i="8" l="1"/>
  <c r="E29" i="14625"/>
  <c r="E9" i="14648"/>
  <c r="F11" i="14648" s="1"/>
  <c r="F15" i="14648" l="1"/>
  <c r="F57" i="14648"/>
  <c r="D40" i="14684"/>
  <c r="F15" i="14625" l="1"/>
  <c r="E21" i="8"/>
  <c r="F59" i="14648"/>
  <c r="E10" i="14681" s="1"/>
  <c r="F23" i="14625" l="1"/>
  <c r="F9" i="14625"/>
  <c r="E20" i="8"/>
  <c r="E22" i="8" l="1"/>
  <c r="F10" i="14625"/>
  <c r="E24" i="8" l="1"/>
  <c r="F25" i="14625"/>
  <c r="F27" i="14625" s="1"/>
  <c r="F29" i="14625" l="1"/>
  <c r="F9" i="14648"/>
  <c r="G11" i="14648" s="1"/>
  <c r="E26" i="8"/>
  <c r="E40" i="14684" l="1"/>
  <c r="G57" i="14648"/>
  <c r="G15" i="14648"/>
  <c r="F21" i="8" l="1"/>
  <c r="G15" i="14625"/>
  <c r="G59" i="14648"/>
  <c r="F10" i="14681" s="1"/>
  <c r="F20" i="8" l="1"/>
  <c r="G9" i="14625"/>
  <c r="G23" i="14625"/>
  <c r="F22" i="8" l="1"/>
  <c r="G10" i="14625"/>
  <c r="F24" i="8" l="1"/>
  <c r="G25" i="14625"/>
  <c r="G27" i="14625" s="1"/>
  <c r="G29" i="14625" l="1"/>
  <c r="G9" i="14648"/>
  <c r="H11" i="14648" s="1"/>
  <c r="F26" i="8"/>
  <c r="H57" i="14648" l="1"/>
  <c r="F40" i="14684"/>
  <c r="H15" i="14648"/>
  <c r="H59" i="14648" l="1"/>
  <c r="G10" i="14681" s="1"/>
  <c r="H11" i="14681" s="1"/>
  <c r="H13" i="14681" s="1"/>
  <c r="H15" i="14625"/>
  <c r="G21" i="8"/>
  <c r="G20" i="8" l="1"/>
  <c r="H9" i="14625"/>
  <c r="H23" i="14625"/>
  <c r="I22" i="14625"/>
  <c r="G22" i="8" l="1"/>
  <c r="H10" i="14625"/>
  <c r="G24" i="8" l="1"/>
  <c r="G26" i="8" s="1"/>
  <c r="H25" i="14625"/>
  <c r="H27" i="14625" l="1"/>
  <c r="H9" i="14648" s="1"/>
  <c r="I11" i="14648" s="1"/>
  <c r="I15" i="14648" s="1"/>
  <c r="I15" i="14625" l="1"/>
  <c r="I23" i="14625" s="1"/>
  <c r="H21" i="8"/>
  <c r="H29" i="14625"/>
  <c r="G40" i="14684" l="1"/>
  <c r="I57" i="14648"/>
  <c r="I59" i="14648" s="1"/>
  <c r="H10" i="14681" l="1"/>
  <c r="I9" i="14625"/>
  <c r="I10" i="14625" s="1"/>
  <c r="I25" i="14625" s="1"/>
  <c r="H20" i="8"/>
  <c r="H22" i="8" s="1"/>
  <c r="H24" i="8" s="1"/>
  <c r="H26" i="8" s="1"/>
  <c r="I27" i="14625" l="1"/>
  <c r="I9" i="14648" s="1"/>
  <c r="J11" i="14648" s="1"/>
  <c r="J15" i="14648" s="1"/>
  <c r="J15" i="14625" l="1"/>
  <c r="J23" i="14625" s="1"/>
  <c r="I21" i="8"/>
  <c r="I29" i="14625"/>
  <c r="J57" i="14648" l="1"/>
  <c r="J59" i="14648" s="1"/>
  <c r="H40" i="14684"/>
  <c r="I10" i="14681" l="1"/>
  <c r="I20" i="8"/>
  <c r="I22" i="8" s="1"/>
  <c r="I24" i="8" s="1"/>
  <c r="I26" i="8" s="1"/>
  <c r="J9" i="14625"/>
  <c r="J10" i="14625" s="1"/>
  <c r="J25" i="14625" s="1"/>
  <c r="J27" i="14625" l="1"/>
  <c r="J9" i="14648" s="1"/>
  <c r="K11" i="14648" s="1"/>
  <c r="K15" i="14648" s="1"/>
  <c r="K15" i="14625" l="1"/>
  <c r="K23" i="14625" s="1"/>
  <c r="J21" i="8"/>
  <c r="J29" i="14625"/>
  <c r="K57" i="14648" l="1"/>
  <c r="K59" i="14648" s="1"/>
  <c r="I40" i="14684"/>
  <c r="J10" i="14681" l="1"/>
  <c r="K11" i="14681" s="1"/>
  <c r="K13" i="14681" s="1"/>
  <c r="J20" i="8"/>
  <c r="J22" i="8" s="1"/>
  <c r="J24" i="8" s="1"/>
  <c r="J26" i="8" s="1"/>
  <c r="K9" i="14625"/>
  <c r="K10" i="14625" s="1"/>
  <c r="K25" i="14625" s="1"/>
  <c r="K27" i="14625" l="1"/>
  <c r="K9" i="14648" s="1"/>
  <c r="L11" i="14648" s="1"/>
  <c r="L15" i="14648" s="1"/>
  <c r="L22" i="14625"/>
  <c r="O22" i="14625" s="1"/>
  <c r="C23" i="14684" s="1"/>
  <c r="AB22" i="14709" s="1"/>
  <c r="K21" i="8" l="1"/>
  <c r="L15" i="14625"/>
  <c r="L23" i="14625" s="1"/>
  <c r="K29" i="14625"/>
  <c r="L57" i="14648" l="1"/>
  <c r="L59" i="14648" s="1"/>
  <c r="J40" i="14684"/>
  <c r="K10" i="14681" l="1"/>
  <c r="L9" i="14625"/>
  <c r="L10" i="14625" s="1"/>
  <c r="L25" i="14625" s="1"/>
  <c r="K20" i="8"/>
  <c r="K22" i="8" s="1"/>
  <c r="K24" i="8" s="1"/>
  <c r="K26" i="8" s="1"/>
  <c r="L27" i="14625" l="1"/>
  <c r="L9" i="14648" s="1"/>
  <c r="M11" i="14648" s="1"/>
  <c r="M15" i="14648" s="1"/>
  <c r="L21" i="8" l="1"/>
  <c r="M15" i="14625"/>
  <c r="M23" i="14625" s="1"/>
  <c r="L29" i="14625"/>
  <c r="K40" i="14684" l="1"/>
  <c r="M57" i="14648"/>
  <c r="M59" i="14648" s="1"/>
  <c r="L20" i="8" l="1"/>
  <c r="L22" i="8" s="1"/>
  <c r="L24" i="8" s="1"/>
  <c r="L26" i="8" s="1"/>
  <c r="M9" i="14625"/>
  <c r="M10" i="14625" s="1"/>
  <c r="M25" i="14625" s="1"/>
  <c r="L10" i="14681"/>
  <c r="M27" i="14625" l="1"/>
  <c r="M9" i="14648" s="1"/>
  <c r="N11" i="14648" s="1"/>
  <c r="M29" i="14625" l="1"/>
  <c r="L40" i="14684" s="1"/>
  <c r="N15" i="14648"/>
  <c r="O11" i="14648"/>
  <c r="N57" i="14648" l="1"/>
  <c r="N59" i="14648" s="1"/>
  <c r="M10" i="14681" s="1"/>
  <c r="N15" i="14625"/>
  <c r="M21" i="8"/>
  <c r="N21" i="8" s="1"/>
  <c r="B23" i="14617" s="1"/>
  <c r="C59" i="14712" s="1"/>
  <c r="AB17" i="14709"/>
  <c r="AB25" i="14709" s="1"/>
  <c r="O15" i="14648"/>
  <c r="V21" i="14709" s="1"/>
  <c r="V27" i="14709" s="1"/>
  <c r="C71" i="14712" l="1"/>
  <c r="C74" i="14712" s="1"/>
  <c r="C62" i="14712"/>
  <c r="O57" i="14648"/>
  <c r="O59" i="14648" s="1"/>
  <c r="V11" i="14709" s="1"/>
  <c r="V12" i="14709" s="1"/>
  <c r="V28" i="14709" s="1"/>
  <c r="N11" i="14681"/>
  <c r="N13" i="14681" s="1"/>
  <c r="N10" i="14681"/>
  <c r="N23" i="14625"/>
  <c r="O15" i="14625"/>
  <c r="N9" i="14625"/>
  <c r="M20" i="8"/>
  <c r="C23" i="14617"/>
  <c r="E33" i="14691"/>
  <c r="E35" i="14691" s="1"/>
  <c r="B23" i="14704"/>
  <c r="C17" i="14684" l="1"/>
  <c r="C24" i="14684" s="1"/>
  <c r="O23" i="14625"/>
  <c r="M22" i="8"/>
  <c r="N20" i="8"/>
  <c r="B22" i="14617" s="1"/>
  <c r="N10" i="14625"/>
  <c r="O9" i="14625"/>
  <c r="C11" i="14684" s="1"/>
  <c r="C12" i="14684" s="1"/>
  <c r="B22" i="14681"/>
  <c r="C22" i="14633" s="1"/>
  <c r="C25" i="14657"/>
  <c r="C26" i="14657" s="1"/>
  <c r="K24" i="14657" s="1"/>
  <c r="C42" i="14712" l="1"/>
  <c r="C44" i="14712" s="1"/>
  <c r="C4" i="14712" s="1"/>
  <c r="C27" i="14712"/>
  <c r="C28" i="14712"/>
  <c r="C26" i="14684"/>
  <c r="AB9" i="14709"/>
  <c r="AB10" i="14709" s="1"/>
  <c r="AB26" i="14709" s="1"/>
  <c r="AB28" i="14709" s="1"/>
  <c r="E33" i="14690"/>
  <c r="E35" i="14690" s="1"/>
  <c r="F22" i="14617"/>
  <c r="C22" i="14617"/>
  <c r="B22" i="14704"/>
  <c r="N25" i="14625"/>
  <c r="O10" i="14625"/>
  <c r="O25" i="14625" s="1"/>
  <c r="M24" i="8"/>
  <c r="N22" i="8"/>
  <c r="C9" i="14712"/>
  <c r="C25" i="14712"/>
  <c r="C10" i="14712"/>
  <c r="C48" i="14712" l="1"/>
  <c r="C50" i="14712" s="1"/>
  <c r="C29" i="14712"/>
  <c r="B24" i="14704"/>
  <c r="B24" i="14617"/>
  <c r="N24" i="8"/>
  <c r="M26" i="8"/>
  <c r="AC27" i="14709"/>
  <c r="P35" i="14709"/>
  <c r="L35" i="14709"/>
  <c r="L34" i="14709" s="1"/>
  <c r="N27" i="14625"/>
  <c r="B27" i="14633" l="1"/>
  <c r="B18" i="14648" s="1"/>
  <c r="C20" i="14648" s="1"/>
  <c r="N9" i="14648"/>
  <c r="D38" i="14667"/>
  <c r="C32" i="14625"/>
  <c r="E10" i="14706"/>
  <c r="B26" i="14704"/>
  <c r="H10" i="14706" s="1"/>
  <c r="C26" i="14712"/>
  <c r="C30" i="14712" s="1"/>
  <c r="N29" i="14625"/>
  <c r="C24" i="14617"/>
  <c r="C18" i="14657"/>
  <c r="C19" i="14657" s="1"/>
  <c r="C21" i="14657" s="1"/>
  <c r="K20" i="14657" s="1"/>
  <c r="K22" i="14657" s="1"/>
  <c r="B32" i="14649"/>
  <c r="C13" i="14643"/>
  <c r="C35" i="4128"/>
  <c r="B33" i="14649" s="1"/>
  <c r="B26" i="14617"/>
  <c r="C35" i="14708"/>
  <c r="C20" i="14643" l="1"/>
  <c r="C27" i="14643"/>
  <c r="M40" i="14684"/>
  <c r="B29" i="14633"/>
  <c r="D21" i="14667"/>
  <c r="C28" i="14684"/>
  <c r="C33" i="14625"/>
  <c r="C34" i="14625"/>
  <c r="D56" i="14649"/>
  <c r="E56" i="14649" s="1"/>
  <c r="C56" i="14649"/>
  <c r="C31" i="14684"/>
  <c r="D32" i="14625"/>
  <c r="C32" i="14684" s="1"/>
  <c r="C24" i="14648"/>
  <c r="F59" i="14689"/>
  <c r="C38" i="14701"/>
  <c r="B9" i="14659"/>
  <c r="B11" i="14659" s="1"/>
  <c r="B18" i="14659" s="1"/>
  <c r="B7" i="14659"/>
  <c r="C26" i="14617"/>
  <c r="C47" i="14649"/>
  <c r="B38" i="14695"/>
  <c r="C31" i="14712" l="1"/>
  <c r="D30" i="14667"/>
  <c r="P12" i="14709" s="1"/>
  <c r="C11" i="14659"/>
  <c r="B24" i="14659"/>
  <c r="B21" i="14631"/>
  <c r="C15" i="14633"/>
  <c r="C21" i="14701"/>
  <c r="F72" i="14688"/>
  <c r="C9" i="14659"/>
  <c r="D34" i="14625"/>
  <c r="C34" i="14684" s="1"/>
  <c r="C33" i="14684"/>
  <c r="C62" i="14648"/>
  <c r="C30" i="14643"/>
  <c r="C31" i="14643" s="1"/>
  <c r="C21" i="14643"/>
  <c r="C36" i="14708"/>
  <c r="B34" i="14649"/>
  <c r="C36" i="4128"/>
  <c r="M43" i="4128" s="1"/>
  <c r="K26" i="14657"/>
  <c r="K23" i="14657"/>
  <c r="B31" i="14659" l="1"/>
  <c r="B30" i="14659"/>
  <c r="D16" i="14659"/>
  <c r="G14" i="14659"/>
  <c r="B20" i="14659"/>
  <c r="D15" i="14659"/>
  <c r="C18" i="14659"/>
  <c r="B22" i="14659"/>
  <c r="C10" i="4128" s="1"/>
  <c r="C10" i="14708" s="1"/>
  <c r="D25" i="14667"/>
  <c r="F27" i="14667"/>
  <c r="F25" i="14689"/>
  <c r="F28" i="14689" s="1"/>
  <c r="C30" i="14701"/>
  <c r="C25" i="14701" s="1"/>
  <c r="C64" i="14648"/>
  <c r="B28" i="14617"/>
  <c r="K28" i="14657"/>
  <c r="K27" i="14657"/>
  <c r="I7" i="14633"/>
  <c r="H22" i="14633"/>
  <c r="D18" i="14667"/>
  <c r="D41" i="14667"/>
  <c r="C23" i="14633"/>
  <c r="E15" i="14659" l="1"/>
  <c r="I15" i="14659"/>
  <c r="F19" i="14667"/>
  <c r="D19" i="14701" s="1"/>
  <c r="C30" i="14659"/>
  <c r="M22" i="14645"/>
  <c r="C20" i="14659"/>
  <c r="E16" i="14659"/>
  <c r="I16" i="14659"/>
  <c r="N22" i="14633"/>
  <c r="L14" i="14659"/>
  <c r="H77" i="14645"/>
  <c r="M77" i="14645"/>
  <c r="M81" i="14645" s="1"/>
  <c r="N20" i="14633" s="1"/>
  <c r="C31" i="14659"/>
  <c r="F31" i="14659"/>
  <c r="D43" i="14667"/>
  <c r="C6" i="4128"/>
  <c r="F67" i="14689"/>
  <c r="F74" i="14689" s="1"/>
  <c r="F76" i="14689" s="1"/>
  <c r="P33" i="14709"/>
  <c r="P36" i="14709" s="1"/>
  <c r="C41" i="14701"/>
  <c r="C36" i="14701" s="1"/>
  <c r="C46" i="14701" s="1"/>
  <c r="D36" i="14667"/>
  <c r="D46" i="14667" s="1"/>
  <c r="E25" i="14667" s="1"/>
  <c r="C9" i="14633"/>
  <c r="B20" i="14631"/>
  <c r="B19" i="14681"/>
  <c r="H3" i="14705"/>
  <c r="C43" i="14701"/>
  <c r="C48" i="14701" s="1"/>
  <c r="L33" i="14709"/>
  <c r="L36" i="14709" s="1"/>
  <c r="C18" i="14701"/>
  <c r="C14" i="14701" s="1"/>
  <c r="F59" i="14688"/>
  <c r="F61" i="14688" s="1"/>
  <c r="F74" i="14688" s="1"/>
  <c r="D14" i="14667"/>
  <c r="C28" i="14617"/>
  <c r="B28" i="14704"/>
  <c r="B30" i="14704" s="1"/>
  <c r="E43" i="14691"/>
  <c r="B30" i="14617"/>
  <c r="G21" i="14689"/>
  <c r="D27" i="14701"/>
  <c r="H81" i="14645" l="1"/>
  <c r="N77" i="14645"/>
  <c r="N22" i="14645"/>
  <c r="M24" i="14645"/>
  <c r="E41" i="14667"/>
  <c r="B22" i="14631"/>
  <c r="E3" i="14705"/>
  <c r="C23" i="14701"/>
  <c r="C50" i="14701" s="1"/>
  <c r="C10" i="14633"/>
  <c r="E12" i="14705"/>
  <c r="C44" i="14701"/>
  <c r="E36" i="14667"/>
  <c r="E32" i="14667"/>
  <c r="E29" i="14667"/>
  <c r="E39" i="14667"/>
  <c r="E40" i="14667"/>
  <c r="E33" i="14667"/>
  <c r="E34" i="14667"/>
  <c r="E37" i="14667"/>
  <c r="E26" i="14667"/>
  <c r="E42" i="14667"/>
  <c r="E28" i="14667"/>
  <c r="E27" i="14667"/>
  <c r="E38" i="14667"/>
  <c r="E30" i="14667"/>
  <c r="C19" i="4128"/>
  <c r="C19" i="14708" s="1"/>
  <c r="D44" i="14667"/>
  <c r="C6" i="14708"/>
  <c r="B38" i="14649"/>
  <c r="E45" i="14691"/>
  <c r="E46" i="14691" s="1"/>
  <c r="C30" i="14617"/>
  <c r="E42" i="14690"/>
  <c r="E43" i="14690" s="1"/>
  <c r="D23" i="14667"/>
  <c r="D50" i="14667" s="1"/>
  <c r="C65" i="14649" s="1"/>
  <c r="C20" i="4128"/>
  <c r="C20" i="14708" s="1"/>
  <c r="C29" i="4128"/>
  <c r="C15" i="4128"/>
  <c r="C15" i="14708" s="1"/>
  <c r="C29" i="14708"/>
  <c r="C23" i="4128"/>
  <c r="C23" i="14708" s="1"/>
  <c r="D48" i="14667"/>
  <c r="E43" i="14667"/>
  <c r="N7" i="14633" l="1"/>
  <c r="O7" i="14633" s="1"/>
  <c r="D9" i="14684" s="1"/>
  <c r="N24" i="14645"/>
  <c r="I20" i="14633"/>
  <c r="O20" i="14633" s="1"/>
  <c r="D21" i="14684" s="1"/>
  <c r="N81" i="14645"/>
  <c r="E46" i="14667"/>
  <c r="B24" i="14631"/>
  <c r="Q11" i="14709"/>
  <c r="D65" i="14649"/>
  <c r="E48" i="14667"/>
  <c r="E14" i="14667"/>
  <c r="E17" i="14667"/>
  <c r="E15" i="14667"/>
  <c r="E7" i="14667"/>
  <c r="E9" i="14667"/>
  <c r="F79" i="14689"/>
  <c r="F80" i="14689" s="1"/>
  <c r="E12" i="14667"/>
  <c r="C8" i="4128"/>
  <c r="B39" i="14649" s="1"/>
  <c r="E8" i="14667"/>
  <c r="C14" i="4128"/>
  <c r="C14" i="14708" s="1"/>
  <c r="E10" i="14667"/>
  <c r="E11" i="14667"/>
  <c r="E20" i="14667"/>
  <c r="E19" i="14667"/>
  <c r="E16" i="14667"/>
  <c r="F76" i="14688"/>
  <c r="F77" i="14688" s="1"/>
  <c r="C22" i="4128"/>
  <c r="C22" i="14708" s="1"/>
  <c r="E21" i="14667"/>
  <c r="E18" i="14667"/>
  <c r="C21" i="4128"/>
  <c r="C21" i="14708" s="1"/>
  <c r="E44" i="14667"/>
  <c r="C25" i="14633"/>
  <c r="C27" i="14633" s="1"/>
  <c r="E23" i="14667" l="1"/>
  <c r="C26" i="4128"/>
  <c r="C26" i="14708" s="1"/>
  <c r="C29" i="14633"/>
  <c r="C18" i="14648"/>
  <c r="D20" i="14648" s="1"/>
  <c r="T9" i="14709"/>
  <c r="S11" i="14709"/>
  <c r="Q10" i="14709" s="1"/>
  <c r="B26" i="14631"/>
  <c r="D24" i="14648" l="1"/>
  <c r="B41" i="14684"/>
  <c r="D62" i="14648"/>
  <c r="D15" i="14633" l="1"/>
  <c r="C21" i="14631"/>
  <c r="D64" i="14648"/>
  <c r="D9" i="14633" l="1"/>
  <c r="C20" i="14631"/>
  <c r="D23" i="14633"/>
  <c r="C19" i="14681"/>
  <c r="C22" i="14631" l="1"/>
  <c r="D10" i="14633"/>
  <c r="D25" i="14633" l="1"/>
  <c r="C24" i="14631"/>
  <c r="C26" i="14631" l="1"/>
  <c r="D27" i="14633"/>
  <c r="D29" i="14633" s="1"/>
  <c r="E62" i="14648" l="1"/>
  <c r="C41" i="14684"/>
  <c r="D18" i="14648"/>
  <c r="E20" i="14648" s="1"/>
  <c r="E24" i="14648" l="1"/>
  <c r="E64" i="14648"/>
  <c r="E9" i="14633" l="1"/>
  <c r="D20" i="14631"/>
  <c r="E15" i="14633"/>
  <c r="D21" i="14631"/>
  <c r="D19" i="14681"/>
  <c r="E20" i="14681" s="1"/>
  <c r="E22" i="14681" s="1"/>
  <c r="E23" i="14633" l="1"/>
  <c r="D22" i="14631"/>
  <c r="F22" i="14633"/>
  <c r="E10" i="14633"/>
  <c r="E25" i="14633" l="1"/>
  <c r="D24" i="14631"/>
  <c r="D26" i="14631" l="1"/>
  <c r="E27" i="14633"/>
  <c r="E29" i="14633" s="1"/>
  <c r="F62" i="14648" l="1"/>
  <c r="D41" i="14684"/>
  <c r="E18" i="14648"/>
  <c r="F20" i="14648" s="1"/>
  <c r="F24" i="14648" l="1"/>
  <c r="F64" i="14648"/>
  <c r="E20" i="14631" l="1"/>
  <c r="F9" i="14633"/>
  <c r="F15" i="14633"/>
  <c r="E21" i="14631"/>
  <c r="E19" i="14681"/>
  <c r="F23" i="14633" l="1"/>
  <c r="F10" i="14633"/>
  <c r="E22" i="14631"/>
  <c r="F25" i="14633" l="1"/>
  <c r="F27" i="14633" s="1"/>
  <c r="E24" i="14631"/>
  <c r="E26" i="14631" l="1"/>
  <c r="F29" i="14633"/>
  <c r="F18" i="14648"/>
  <c r="G20" i="14648" s="1"/>
  <c r="G24" i="14648" l="1"/>
  <c r="G62" i="14648"/>
  <c r="E41" i="14684"/>
  <c r="G64" i="14648" l="1"/>
  <c r="F19" i="14681" s="1"/>
  <c r="G15" i="14633"/>
  <c r="F21" i="14631"/>
  <c r="G23" i="14633" l="1"/>
  <c r="F20" i="14631"/>
  <c r="G9" i="14633"/>
  <c r="G10" i="14633" l="1"/>
  <c r="F22" i="14631"/>
  <c r="F24" i="14631" l="1"/>
  <c r="G25" i="14633"/>
  <c r="G27" i="14633" s="1"/>
  <c r="G29" i="14633" l="1"/>
  <c r="G18" i="14648"/>
  <c r="H20" i="14648" s="1"/>
  <c r="H24" i="14648" s="1"/>
  <c r="F26" i="14631"/>
  <c r="G21" i="14631" l="1"/>
  <c r="H15" i="14633"/>
  <c r="H23" i="14633" s="1"/>
  <c r="H62" i="14648"/>
  <c r="H64" i="14648" s="1"/>
  <c r="F41" i="14684"/>
  <c r="H9" i="14633" l="1"/>
  <c r="H10" i="14633" s="1"/>
  <c r="H25" i="14633" s="1"/>
  <c r="G20" i="14631"/>
  <c r="G22" i="14631" s="1"/>
  <c r="G24" i="14631" s="1"/>
  <c r="G26" i="14631" s="1"/>
  <c r="G19" i="14681"/>
  <c r="H20" i="14681" s="1"/>
  <c r="H22" i="14681" s="1"/>
  <c r="I22" i="14633" l="1"/>
  <c r="H27" i="14633"/>
  <c r="H18" i="14648" s="1"/>
  <c r="I20" i="14648" s="1"/>
  <c r="I24" i="14648" s="1"/>
  <c r="H29" i="14633" l="1"/>
  <c r="I62" i="14648" s="1"/>
  <c r="I64" i="14648" s="1"/>
  <c r="H19" i="14681" s="1"/>
  <c r="I15" i="14633"/>
  <c r="I23" i="14633" s="1"/>
  <c r="H21" i="14631"/>
  <c r="G41" i="14684" l="1"/>
  <c r="H20" i="14631"/>
  <c r="H22" i="14631" s="1"/>
  <c r="H24" i="14631" s="1"/>
  <c r="H26" i="14631" s="1"/>
  <c r="I9" i="14633"/>
  <c r="I10" i="14633" s="1"/>
  <c r="I25" i="14633" s="1"/>
  <c r="I27" i="14633" l="1"/>
  <c r="I18" i="14648" s="1"/>
  <c r="J20" i="14648" s="1"/>
  <c r="J24" i="14648" s="1"/>
  <c r="I29" i="14633" l="1"/>
  <c r="J62" i="14648" s="1"/>
  <c r="J64" i="14648" s="1"/>
  <c r="I21" i="14631"/>
  <c r="J15" i="14633"/>
  <c r="J23" i="14633" s="1"/>
  <c r="H41" i="14684" l="1"/>
  <c r="I19" i="14681"/>
  <c r="J9" i="14633"/>
  <c r="J10" i="14633" s="1"/>
  <c r="J25" i="14633" s="1"/>
  <c r="I20" i="14631"/>
  <c r="I22" i="14631" s="1"/>
  <c r="I24" i="14631" s="1"/>
  <c r="I26" i="14631" s="1"/>
  <c r="J27" i="14633" l="1"/>
  <c r="J18" i="14648" s="1"/>
  <c r="K20" i="14648" s="1"/>
  <c r="K24" i="14648" s="1"/>
  <c r="J29" i="14633" l="1"/>
  <c r="K62" i="14648" s="1"/>
  <c r="K64" i="14648" s="1"/>
  <c r="J21" i="14631"/>
  <c r="K15" i="14633"/>
  <c r="K23" i="14633" s="1"/>
  <c r="I41" i="14684" l="1"/>
  <c r="J19" i="14681"/>
  <c r="K20" i="14681" s="1"/>
  <c r="K22" i="14681" s="1"/>
  <c r="J20" i="14631"/>
  <c r="J22" i="14631" s="1"/>
  <c r="J24" i="14631" s="1"/>
  <c r="J26" i="14631" s="1"/>
  <c r="K9" i="14633"/>
  <c r="K10" i="14633" s="1"/>
  <c r="K25" i="14633" s="1"/>
  <c r="K27" i="14633" l="1"/>
  <c r="K18" i="14648" s="1"/>
  <c r="L20" i="14648" s="1"/>
  <c r="L24" i="14648" s="1"/>
  <c r="L22" i="14633"/>
  <c r="O22" i="14633" s="1"/>
  <c r="D23" i="14684" s="1"/>
  <c r="AC22" i="14709" s="1"/>
  <c r="K29" i="14633" l="1"/>
  <c r="J41" i="14684" s="1"/>
  <c r="K21" i="14631"/>
  <c r="L15" i="14633"/>
  <c r="L23" i="14633" s="1"/>
  <c r="L62" i="14648" l="1"/>
  <c r="L64" i="14648" s="1"/>
  <c r="K19" i="14681" s="1"/>
  <c r="L9" i="14633" l="1"/>
  <c r="L10" i="14633" s="1"/>
  <c r="L25" i="14633" s="1"/>
  <c r="L27" i="14633" s="1"/>
  <c r="L18" i="14648" s="1"/>
  <c r="M20" i="14648" s="1"/>
  <c r="M24" i="14648" s="1"/>
  <c r="K20" i="14631"/>
  <c r="K22" i="14631" s="1"/>
  <c r="K24" i="14631" s="1"/>
  <c r="K26" i="14631" s="1"/>
  <c r="L29" i="14633" l="1"/>
  <c r="K41" i="14684" s="1"/>
  <c r="M15" i="14633"/>
  <c r="M23" i="14633" s="1"/>
  <c r="L21" i="14631"/>
  <c r="M62" i="14648" l="1"/>
  <c r="M64" i="14648" s="1"/>
  <c r="L20" i="14631" s="1"/>
  <c r="L22" i="14631" s="1"/>
  <c r="L24" i="14631" s="1"/>
  <c r="L26" i="14631" s="1"/>
  <c r="L19" i="14681" l="1"/>
  <c r="M9" i="14633"/>
  <c r="M10" i="14633" s="1"/>
  <c r="M25" i="14633" s="1"/>
  <c r="M27" i="14633" s="1"/>
  <c r="M18" i="14648" s="1"/>
  <c r="N20" i="14648" s="1"/>
  <c r="M29" i="14633" l="1"/>
  <c r="L41" i="14684" s="1"/>
  <c r="N24" i="14648"/>
  <c r="O20" i="14648"/>
  <c r="N62" i="14648" l="1"/>
  <c r="N64" i="14648" s="1"/>
  <c r="AC17" i="14709"/>
  <c r="AC25" i="14709" s="1"/>
  <c r="O24" i="14648"/>
  <c r="W21" i="14709" s="1"/>
  <c r="W27" i="14709" s="1"/>
  <c r="M21" i="14631"/>
  <c r="N21" i="14631" s="1"/>
  <c r="D23" i="14617" s="1"/>
  <c r="D59" i="14712" s="1"/>
  <c r="N15" i="14633"/>
  <c r="D71" i="14712" l="1"/>
  <c r="D74" i="14712" s="1"/>
  <c r="D62" i="14712"/>
  <c r="O62" i="14648"/>
  <c r="O64" i="14648" s="1"/>
  <c r="W11" i="14709" s="1"/>
  <c r="W12" i="14709" s="1"/>
  <c r="W28" i="14709" s="1"/>
  <c r="N23" i="14633"/>
  <c r="O15" i="14633"/>
  <c r="E23" i="14617"/>
  <c r="F33" i="14691"/>
  <c r="F35" i="14691" s="1"/>
  <c r="C23" i="14704"/>
  <c r="F23" i="14617"/>
  <c r="M19" i="14681"/>
  <c r="N19" i="14681" s="1"/>
  <c r="N20" i="14681" s="1"/>
  <c r="N22" i="14681" s="1"/>
  <c r="M20" i="14631"/>
  <c r="N9" i="14633"/>
  <c r="M22" i="14631" l="1"/>
  <c r="N20" i="14631"/>
  <c r="D22" i="14617" s="1"/>
  <c r="D17" i="14684"/>
  <c r="D24" i="14684" s="1"/>
  <c r="O23" i="14633"/>
  <c r="N10" i="14633"/>
  <c r="O9" i="14633"/>
  <c r="D11" i="14684" s="1"/>
  <c r="D12" i="14684" s="1"/>
  <c r="B31" i="14681"/>
  <c r="C22" i="14641"/>
  <c r="D25" i="14657"/>
  <c r="D26" i="14657" s="1"/>
  <c r="L24" i="14657" s="1"/>
  <c r="D42" i="14712" l="1"/>
  <c r="D48" i="14712" s="1"/>
  <c r="D50" i="14712" s="1"/>
  <c r="D27" i="14712"/>
  <c r="D26" i="14684"/>
  <c r="AC9" i="14709"/>
  <c r="AC10" i="14709" s="1"/>
  <c r="AC26" i="14709" s="1"/>
  <c r="AC28" i="14709" s="1"/>
  <c r="E22" i="14617"/>
  <c r="D24" i="14617"/>
  <c r="C22" i="14704"/>
  <c r="C24" i="14704" s="1"/>
  <c r="I22" i="14617"/>
  <c r="F33" i="14690"/>
  <c r="F35" i="14690" s="1"/>
  <c r="N25" i="14633"/>
  <c r="O10" i="14633"/>
  <c r="O25" i="14633" s="1"/>
  <c r="D28" i="14712"/>
  <c r="M24" i="14631"/>
  <c r="N22" i="14631"/>
  <c r="D9" i="14712"/>
  <c r="D10" i="14712"/>
  <c r="D25" i="14712"/>
  <c r="D29" i="14712" l="1"/>
  <c r="D44" i="14712"/>
  <c r="D4" i="14712" s="1"/>
  <c r="D35" i="14708"/>
  <c r="E24" i="14617"/>
  <c r="D35" i="4128"/>
  <c r="C33" i="14649" s="1"/>
  <c r="D26" i="14617"/>
  <c r="D11" i="14659" s="1"/>
  <c r="C32" i="14649"/>
  <c r="D13" i="14643"/>
  <c r="D18" i="14657"/>
  <c r="D19" i="14657" s="1"/>
  <c r="D21" i="14657" s="1"/>
  <c r="L20" i="14657" s="1"/>
  <c r="L22" i="14657" s="1"/>
  <c r="F24" i="14617"/>
  <c r="AD27" i="14709"/>
  <c r="M35" i="14709"/>
  <c r="M34" i="14709" s="1"/>
  <c r="Q35" i="14709"/>
  <c r="N24" i="14631"/>
  <c r="M26" i="14631"/>
  <c r="N27" i="14633"/>
  <c r="N29" i="14633" s="1"/>
  <c r="E11" i="14706"/>
  <c r="C26" i="14704"/>
  <c r="H11" i="14706" s="1"/>
  <c r="F11" i="14659" l="1"/>
  <c r="D18" i="14659"/>
  <c r="E11" i="14659"/>
  <c r="D24" i="14659"/>
  <c r="F24" i="14659" s="1"/>
  <c r="C33" i="14633"/>
  <c r="B29" i="14641"/>
  <c r="D28" i="14684"/>
  <c r="F21" i="14667"/>
  <c r="M41" i="14684"/>
  <c r="C34" i="14633"/>
  <c r="D9" i="14659"/>
  <c r="F9" i="14659" s="1"/>
  <c r="C48" i="14649"/>
  <c r="D7" i="14659"/>
  <c r="E26" i="14617"/>
  <c r="F26" i="14617"/>
  <c r="C38" i="14695"/>
  <c r="C39" i="14695" s="1"/>
  <c r="D20" i="14643"/>
  <c r="D27" i="14643"/>
  <c r="B27" i="14641"/>
  <c r="B27" i="14648" s="1"/>
  <c r="C29" i="14648" s="1"/>
  <c r="N18" i="14648"/>
  <c r="F38" i="14667"/>
  <c r="C32" i="14633"/>
  <c r="D22" i="14659" l="1"/>
  <c r="F22" i="14659" s="1"/>
  <c r="F18" i="14659"/>
  <c r="D26" i="14712"/>
  <c r="D30" i="14712" s="1"/>
  <c r="D31" i="14659"/>
  <c r="D30" i="14659"/>
  <c r="F30" i="14659" s="1"/>
  <c r="J14" i="14659"/>
  <c r="G16" i="14659"/>
  <c r="E18" i="14659"/>
  <c r="G15" i="14659"/>
  <c r="D20" i="14659"/>
  <c r="F20" i="14659" s="1"/>
  <c r="C33" i="14648"/>
  <c r="F30" i="14667"/>
  <c r="Q12" i="14709" s="1"/>
  <c r="D21" i="14701"/>
  <c r="G72" i="14688"/>
  <c r="E9" i="14659"/>
  <c r="G59" i="14689"/>
  <c r="D38" i="14701"/>
  <c r="D30" i="14643"/>
  <c r="D31" i="14643" s="1"/>
  <c r="D21" i="14643"/>
  <c r="D33" i="14684"/>
  <c r="D34" i="14633"/>
  <c r="D34" i="14684" s="1"/>
  <c r="C67" i="14648"/>
  <c r="C57" i="14649"/>
  <c r="D32" i="14633"/>
  <c r="D32" i="14684" s="1"/>
  <c r="D57" i="14649"/>
  <c r="E57" i="14649" s="1"/>
  <c r="D31" i="14684"/>
  <c r="L26" i="14657"/>
  <c r="L23" i="14657"/>
  <c r="D10" i="4128"/>
  <c r="D36" i="14708"/>
  <c r="C34" i="14649"/>
  <c r="D36" i="4128"/>
  <c r="N43" i="4128" s="1"/>
  <c r="D31" i="14712" l="1"/>
  <c r="L15" i="14659"/>
  <c r="H19" i="14667"/>
  <c r="E19" i="14701" s="1"/>
  <c r="L16" i="14659"/>
  <c r="N22" i="14641"/>
  <c r="E30" i="14659"/>
  <c r="M33" i="14645"/>
  <c r="O14" i="14659"/>
  <c r="E31" i="14659"/>
  <c r="I31" i="14659"/>
  <c r="H88" i="14645"/>
  <c r="M88" i="14645"/>
  <c r="M92" i="14645" s="1"/>
  <c r="N20" i="14641" s="1"/>
  <c r="F18" i="14667"/>
  <c r="H22" i="14641"/>
  <c r="L27" i="14657"/>
  <c r="I7" i="14641"/>
  <c r="F41" i="14667"/>
  <c r="D28" i="14617"/>
  <c r="L28" i="14657"/>
  <c r="C69" i="14648"/>
  <c r="B28" i="14681" s="1"/>
  <c r="D30" i="14701"/>
  <c r="D25" i="14701" s="1"/>
  <c r="G25" i="14689"/>
  <c r="G28" i="14689" s="1"/>
  <c r="F25" i="14667"/>
  <c r="H27" i="14667"/>
  <c r="D10" i="14708"/>
  <c r="C15" i="14641"/>
  <c r="B21" i="14640"/>
  <c r="N33" i="14645" l="1"/>
  <c r="M35" i="14645"/>
  <c r="H92" i="14645"/>
  <c r="N88" i="14645"/>
  <c r="B20" i="14640"/>
  <c r="C9" i="14641"/>
  <c r="E27" i="14701"/>
  <c r="H21" i="14689"/>
  <c r="C28" i="14704"/>
  <c r="C30" i="14704" s="1"/>
  <c r="F43" i="14691"/>
  <c r="E28" i="14617"/>
  <c r="F28" i="14617"/>
  <c r="D30" i="14617"/>
  <c r="C23" i="14641"/>
  <c r="F43" i="14667"/>
  <c r="D6" i="4128"/>
  <c r="D43" i="14701"/>
  <c r="D48" i="14701" s="1"/>
  <c r="H4" i="14705"/>
  <c r="G67" i="14689"/>
  <c r="G74" i="14689" s="1"/>
  <c r="G76" i="14689" s="1"/>
  <c r="D41" i="14701"/>
  <c r="D36" i="14701" s="1"/>
  <c r="D46" i="14701" s="1"/>
  <c r="Q33" i="14709"/>
  <c r="F36" i="14667"/>
  <c r="M33" i="14709"/>
  <c r="M36" i="14709" s="1"/>
  <c r="G59" i="14688"/>
  <c r="G61" i="14688" s="1"/>
  <c r="G74" i="14688" s="1"/>
  <c r="D18" i="14701"/>
  <c r="D14" i="14701" s="1"/>
  <c r="F14" i="14667"/>
  <c r="N7" i="14641" l="1"/>
  <c r="O7" i="14641" s="1"/>
  <c r="E9" i="14684" s="1"/>
  <c r="N35" i="14645"/>
  <c r="N92" i="14645"/>
  <c r="I20" i="14641"/>
  <c r="O20" i="14641" s="1"/>
  <c r="E21" i="14684" s="1"/>
  <c r="D20" i="4128"/>
  <c r="D20" i="14708" s="1"/>
  <c r="D15" i="4128"/>
  <c r="D15" i="14708" s="1"/>
  <c r="D19" i="4128"/>
  <c r="D19" i="14708" s="1"/>
  <c r="D29" i="14708"/>
  <c r="D29" i="4128"/>
  <c r="F23" i="14667"/>
  <c r="F44" i="14667"/>
  <c r="F48" i="14667"/>
  <c r="D23" i="4128"/>
  <c r="D23" i="14708" s="1"/>
  <c r="C10" i="14641"/>
  <c r="B22" i="14640"/>
  <c r="E4" i="14705"/>
  <c r="D23" i="14701"/>
  <c r="D50" i="14701" s="1"/>
  <c r="C38" i="14649"/>
  <c r="D6" i="14708"/>
  <c r="E30" i="14617"/>
  <c r="F45" i="14691"/>
  <c r="F46" i="14691" s="1"/>
  <c r="R11" i="14709"/>
  <c r="T11" i="14709" s="1"/>
  <c r="R10" i="14709" s="1"/>
  <c r="F42" i="14690"/>
  <c r="F43" i="14690" s="1"/>
  <c r="F30" i="14617"/>
  <c r="D44" i="14701"/>
  <c r="E13" i="14705"/>
  <c r="F46" i="14667"/>
  <c r="G14" i="14667" l="1"/>
  <c r="G10" i="14667"/>
  <c r="G20" i="14667"/>
  <c r="G12" i="14667"/>
  <c r="G76" i="14688"/>
  <c r="G77" i="14688" s="1"/>
  <c r="G9" i="14667"/>
  <c r="G15" i="14667"/>
  <c r="G19" i="14667"/>
  <c r="G16" i="14667"/>
  <c r="G17" i="14667"/>
  <c r="G7" i="14667"/>
  <c r="D14" i="4128"/>
  <c r="D14" i="14708" s="1"/>
  <c r="G79" i="14689"/>
  <c r="G80" i="14689" s="1"/>
  <c r="G11" i="14667"/>
  <c r="G8" i="14667"/>
  <c r="D22" i="4128"/>
  <c r="D22" i="14708" s="1"/>
  <c r="D8" i="4128"/>
  <c r="G21" i="14667"/>
  <c r="G18" i="14667"/>
  <c r="Q36" i="14709"/>
  <c r="D66" i="14649"/>
  <c r="G48" i="14667"/>
  <c r="G44" i="14667"/>
  <c r="D21" i="4128"/>
  <c r="D21" i="14708" s="1"/>
  <c r="C25" i="14641"/>
  <c r="G43" i="14667"/>
  <c r="G33" i="14667"/>
  <c r="F50" i="14667"/>
  <c r="C66" i="14649" s="1"/>
  <c r="G42" i="14667"/>
  <c r="G32" i="14667"/>
  <c r="G26" i="14667"/>
  <c r="G40" i="14667"/>
  <c r="G29" i="14667"/>
  <c r="G37" i="14667"/>
  <c r="G34" i="14667"/>
  <c r="G28" i="14667"/>
  <c r="G39" i="14667"/>
  <c r="G27" i="14667"/>
  <c r="G38" i="14667"/>
  <c r="G30" i="14667"/>
  <c r="G25" i="14667"/>
  <c r="G41" i="14667"/>
  <c r="B24" i="14640"/>
  <c r="G36" i="14667"/>
  <c r="G23" i="14667" l="1"/>
  <c r="D26" i="4128"/>
  <c r="D26" i="14708" s="1"/>
  <c r="C27" i="14641"/>
  <c r="C29" i="14641" s="1"/>
  <c r="B26" i="14640"/>
  <c r="G46" i="14667"/>
  <c r="C39" i="14649"/>
  <c r="D8" i="14708"/>
  <c r="C27" i="14648" l="1"/>
  <c r="D29" i="14648" s="1"/>
  <c r="B42" i="14684"/>
  <c r="D67" i="14648"/>
  <c r="D69" i="14648" l="1"/>
  <c r="D33" i="14648"/>
  <c r="D15" i="14641" l="1"/>
  <c r="C21" i="14640"/>
  <c r="C28" i="14681"/>
  <c r="D9" i="14641"/>
  <c r="C20" i="14640"/>
  <c r="D10" i="14641" l="1"/>
  <c r="C22" i="14640"/>
  <c r="D23" i="14641"/>
  <c r="C24" i="14640" l="1"/>
  <c r="D25" i="14641"/>
  <c r="D27" i="14641" l="1"/>
  <c r="D29" i="14641" s="1"/>
  <c r="C26" i="14640"/>
  <c r="C42" i="14684" l="1"/>
  <c r="E67" i="14648"/>
  <c r="D27" i="14648"/>
  <c r="E29" i="14648" s="1"/>
  <c r="E33" i="14648" l="1"/>
  <c r="E69" i="14648"/>
  <c r="E9" i="14641" l="1"/>
  <c r="D20" i="14640"/>
  <c r="E15" i="14641"/>
  <c r="D21" i="14640"/>
  <c r="D28" i="14681"/>
  <c r="E29" i="14681" s="1"/>
  <c r="E31" i="14681" s="1"/>
  <c r="E23" i="14641" l="1"/>
  <c r="D22" i="14640"/>
  <c r="F22" i="14641"/>
  <c r="E10" i="14641"/>
  <c r="E25" i="14641" l="1"/>
  <c r="E27" i="14641" s="1"/>
  <c r="D24" i="14640"/>
  <c r="D26" i="14640" l="1"/>
  <c r="E29" i="14641"/>
  <c r="E27" i="14648"/>
  <c r="F29" i="14648" s="1"/>
  <c r="F33" i="14648" l="1"/>
  <c r="D42" i="14684"/>
  <c r="F67" i="14648"/>
  <c r="F69" i="14648" l="1"/>
  <c r="E28" i="14681" s="1"/>
  <c r="F15" i="14641"/>
  <c r="E21" i="14640"/>
  <c r="F23" i="14641" l="1"/>
  <c r="E20" i="14640"/>
  <c r="F9" i="14641"/>
  <c r="F10" i="14641" l="1"/>
  <c r="E22" i="14640"/>
  <c r="E24" i="14640" l="1"/>
  <c r="F25" i="14641"/>
  <c r="F27" i="14641" s="1"/>
  <c r="F29" i="14641" l="1"/>
  <c r="F27" i="14648"/>
  <c r="G29" i="14648" s="1"/>
  <c r="E26" i="14640"/>
  <c r="G33" i="14648" l="1"/>
  <c r="E42" i="14684"/>
  <c r="G67" i="14648"/>
  <c r="G69" i="14648" l="1"/>
  <c r="F28" i="14681" s="1"/>
  <c r="F21" i="14640"/>
  <c r="G15" i="14641"/>
  <c r="G23" i="14641" l="1"/>
  <c r="G9" i="14641"/>
  <c r="F20" i="14640"/>
  <c r="F22" i="14640" l="1"/>
  <c r="G10" i="14641"/>
  <c r="F24" i="14640" l="1"/>
  <c r="G25" i="14641"/>
  <c r="G27" i="14641" s="1"/>
  <c r="F26" i="14640" l="1"/>
  <c r="G29" i="14641"/>
  <c r="G27" i="14648"/>
  <c r="H29" i="14648" s="1"/>
  <c r="H33" i="14648" s="1"/>
  <c r="F42" i="14684" l="1"/>
  <c r="H67" i="14648"/>
  <c r="H69" i="14648" s="1"/>
  <c r="G28" i="14681" s="1"/>
  <c r="H29" i="14681" s="1"/>
  <c r="H31" i="14681" s="1"/>
  <c r="H15" i="14641"/>
  <c r="H23" i="14641" s="1"/>
  <c r="G21" i="14640"/>
  <c r="I22" i="14641" l="1"/>
  <c r="H9" i="14641"/>
  <c r="H10" i="14641" s="1"/>
  <c r="H25" i="14641" s="1"/>
  <c r="G20" i="14640"/>
  <c r="G22" i="14640" s="1"/>
  <c r="G24" i="14640" s="1"/>
  <c r="G26" i="14640" s="1"/>
  <c r="H27" i="14641" l="1"/>
  <c r="H27" i="14648" s="1"/>
  <c r="I29" i="14648" s="1"/>
  <c r="I33" i="14648" s="1"/>
  <c r="H29" i="14641" l="1"/>
  <c r="G42" i="14684" s="1"/>
  <c r="H21" i="14640"/>
  <c r="I15" i="14641"/>
  <c r="I23" i="14641" s="1"/>
  <c r="I67" i="14648" l="1"/>
  <c r="I69" i="14648" s="1"/>
  <c r="H28" i="14681" s="1"/>
  <c r="I9" i="14641" l="1"/>
  <c r="I10" i="14641" s="1"/>
  <c r="I25" i="14641" s="1"/>
  <c r="I27" i="14641" s="1"/>
  <c r="I27" i="14648" s="1"/>
  <c r="J29" i="14648" s="1"/>
  <c r="J33" i="14648" s="1"/>
  <c r="H20" i="14640"/>
  <c r="H22" i="14640" s="1"/>
  <c r="H24" i="14640" s="1"/>
  <c r="H26" i="14640" s="1"/>
  <c r="I21" i="14640" l="1"/>
  <c r="J15" i="14641"/>
  <c r="J23" i="14641" s="1"/>
  <c r="I29" i="14641"/>
  <c r="J67" i="14648" l="1"/>
  <c r="J69" i="14648" s="1"/>
  <c r="H42" i="14684"/>
  <c r="I28" i="14681" l="1"/>
  <c r="I20" i="14640"/>
  <c r="I22" i="14640" s="1"/>
  <c r="I24" i="14640" s="1"/>
  <c r="I26" i="14640" s="1"/>
  <c r="J9" i="14641"/>
  <c r="J10" i="14641" s="1"/>
  <c r="J25" i="14641" s="1"/>
  <c r="J27" i="14641" l="1"/>
  <c r="J27" i="14648" s="1"/>
  <c r="K29" i="14648" s="1"/>
  <c r="K33" i="14648" s="1"/>
  <c r="J29" i="14641" l="1"/>
  <c r="K15" i="14641"/>
  <c r="K23" i="14641" s="1"/>
  <c r="J21" i="14640"/>
  <c r="K67" i="14648" l="1"/>
  <c r="K69" i="14648" s="1"/>
  <c r="I42" i="14684"/>
  <c r="J20" i="14640" l="1"/>
  <c r="J22" i="14640" s="1"/>
  <c r="J24" i="14640" s="1"/>
  <c r="J26" i="14640" s="1"/>
  <c r="K9" i="14641"/>
  <c r="K10" i="14641" s="1"/>
  <c r="K25" i="14641" s="1"/>
  <c r="J28" i="14681"/>
  <c r="K29" i="14681" s="1"/>
  <c r="K31" i="14681" s="1"/>
  <c r="K27" i="14641" l="1"/>
  <c r="K27" i="14648" s="1"/>
  <c r="L29" i="14648" s="1"/>
  <c r="L33" i="14648" s="1"/>
  <c r="L22" i="14641"/>
  <c r="O22" i="14641" s="1"/>
  <c r="E23" i="14684" s="1"/>
  <c r="AD22" i="14709" s="1"/>
  <c r="K29" i="14641" l="1"/>
  <c r="J42" i="14684" s="1"/>
  <c r="L15" i="14641"/>
  <c r="L23" i="14641" s="1"/>
  <c r="K21" i="14640"/>
  <c r="L67" i="14648" l="1"/>
  <c r="L69" i="14648" s="1"/>
  <c r="K28" i="14681" s="1"/>
  <c r="K20" i="14640" l="1"/>
  <c r="K22" i="14640" s="1"/>
  <c r="K24" i="14640" s="1"/>
  <c r="K26" i="14640" s="1"/>
  <c r="L9" i="14641"/>
  <c r="L10" i="14641" s="1"/>
  <c r="L25" i="14641" s="1"/>
  <c r="L27" i="14641" s="1"/>
  <c r="L27" i="14648" s="1"/>
  <c r="M29" i="14648" s="1"/>
  <c r="M33" i="14648" s="1"/>
  <c r="L29" i="14641" l="1"/>
  <c r="M67" i="14648" s="1"/>
  <c r="M69" i="14648" s="1"/>
  <c r="L28" i="14681" s="1"/>
  <c r="L21" i="14640"/>
  <c r="M15" i="14641"/>
  <c r="M23" i="14641" s="1"/>
  <c r="K42" i="14684" l="1"/>
  <c r="M9" i="14641"/>
  <c r="M10" i="14641" s="1"/>
  <c r="M25" i="14641" s="1"/>
  <c r="L20" i="14640"/>
  <c r="L22" i="14640" s="1"/>
  <c r="L24" i="14640" s="1"/>
  <c r="L26" i="14640" s="1"/>
  <c r="M27" i="14641" l="1"/>
  <c r="M27" i="14648" s="1"/>
  <c r="N29" i="14648" s="1"/>
  <c r="N33" i="14648" l="1"/>
  <c r="O29" i="14648"/>
  <c r="M29" i="14641"/>
  <c r="AD17" i="14709" l="1"/>
  <c r="AD25" i="14709" s="1"/>
  <c r="O33" i="14648"/>
  <c r="X21" i="14709" s="1"/>
  <c r="X27" i="14709" s="1"/>
  <c r="L42" i="14684"/>
  <c r="N67" i="14648"/>
  <c r="N15" i="14641"/>
  <c r="M21" i="14640"/>
  <c r="N21" i="14640" s="1"/>
  <c r="G23" i="14617" s="1"/>
  <c r="N69" i="14648" l="1"/>
  <c r="O67" i="14648"/>
  <c r="O69" i="14648" s="1"/>
  <c r="X11" i="14709" s="1"/>
  <c r="X12" i="14709" s="1"/>
  <c r="X28" i="14709" s="1"/>
  <c r="H23" i="14617"/>
  <c r="D23" i="14704"/>
  <c r="I23" i="14617"/>
  <c r="G33" i="14691"/>
  <c r="G35" i="14691" s="1"/>
  <c r="N23" i="14641"/>
  <c r="O15" i="14641"/>
  <c r="E17" i="14684" l="1"/>
  <c r="E24" i="14684" s="1"/>
  <c r="O23" i="14641"/>
  <c r="M20" i="14640"/>
  <c r="N9" i="14641"/>
  <c r="M28" i="14681"/>
  <c r="N28" i="14681" s="1"/>
  <c r="N29" i="14681" s="1"/>
  <c r="N31" i="14681" s="1"/>
  <c r="B40" i="14681" l="1"/>
  <c r="C22" i="14676"/>
  <c r="E25" i="14657"/>
  <c r="E26" i="14657" s="1"/>
  <c r="M24" i="14657" s="1"/>
  <c r="N10" i="14641"/>
  <c r="O9" i="14641"/>
  <c r="E11" i="14684" s="1"/>
  <c r="E12" i="14684" s="1"/>
  <c r="M22" i="14640"/>
  <c r="N20" i="14640"/>
  <c r="G22" i="14617" s="1"/>
  <c r="M24" i="14640" l="1"/>
  <c r="N22" i="14640"/>
  <c r="AD9" i="14709"/>
  <c r="AD10" i="14709" s="1"/>
  <c r="AD26" i="14709" s="1"/>
  <c r="AD28" i="14709" s="1"/>
  <c r="E26" i="14684"/>
  <c r="D22" i="14704"/>
  <c r="D24" i="14704" s="1"/>
  <c r="L22" i="14617"/>
  <c r="G24" i="14617"/>
  <c r="H22" i="14617"/>
  <c r="G33" i="14690"/>
  <c r="G35" i="14690" s="1"/>
  <c r="N25" i="14641"/>
  <c r="N27" i="14641" s="1"/>
  <c r="O10" i="14641"/>
  <c r="O25" i="14641" s="1"/>
  <c r="N35" i="14709" l="1"/>
  <c r="N34" i="14709" s="1"/>
  <c r="R35" i="14709"/>
  <c r="N29" i="14641"/>
  <c r="N27" i="14648"/>
  <c r="H38" i="14667"/>
  <c r="B27" i="14676"/>
  <c r="B36" i="14648" s="1"/>
  <c r="C38" i="14648" s="1"/>
  <c r="C32" i="14641"/>
  <c r="E12" i="14706"/>
  <c r="D26" i="14704"/>
  <c r="H12" i="14706" s="1"/>
  <c r="H24" i="14617"/>
  <c r="E13" i="14643"/>
  <c r="G26" i="14617"/>
  <c r="G11" i="14659" s="1"/>
  <c r="E35" i="4128"/>
  <c r="D33" i="14649" s="1"/>
  <c r="E18" i="14657"/>
  <c r="E19" i="14657" s="1"/>
  <c r="E21" i="14657" s="1"/>
  <c r="M20" i="14657" s="1"/>
  <c r="M22" i="14657" s="1"/>
  <c r="E35" i="14708"/>
  <c r="I24" i="14617"/>
  <c r="D32" i="14649"/>
  <c r="N24" i="14640"/>
  <c r="M26" i="14640"/>
  <c r="I11" i="14659" l="1"/>
  <c r="G18" i="14659"/>
  <c r="H11" i="14659"/>
  <c r="G24" i="14659"/>
  <c r="I24" i="14659" s="1"/>
  <c r="D38" i="14695"/>
  <c r="D39" i="14695" s="1"/>
  <c r="D32" i="14641"/>
  <c r="E32" i="14684" s="1"/>
  <c r="D58" i="14649"/>
  <c r="E58" i="14649" s="1"/>
  <c r="E31" i="14684"/>
  <c r="C58" i="14649"/>
  <c r="H26" i="14617"/>
  <c r="C49" i="14649"/>
  <c r="G9" i="14659"/>
  <c r="I9" i="14659" s="1"/>
  <c r="I26" i="14617"/>
  <c r="G7" i="14659"/>
  <c r="C42" i="14648"/>
  <c r="C33" i="14641"/>
  <c r="M42" i="14684"/>
  <c r="B29" i="14676"/>
  <c r="H21" i="14667"/>
  <c r="E28" i="14684"/>
  <c r="C34" i="14641"/>
  <c r="E20" i="14643"/>
  <c r="E27" i="14643"/>
  <c r="H59" i="14689"/>
  <c r="E38" i="14701"/>
  <c r="G22" i="14659" l="1"/>
  <c r="I22" i="14659" s="1"/>
  <c r="I18" i="14659"/>
  <c r="G31" i="14659"/>
  <c r="G30" i="14659"/>
  <c r="I30" i="14659" s="1"/>
  <c r="H18" i="14659"/>
  <c r="M14" i="14659"/>
  <c r="J16" i="14659"/>
  <c r="J15" i="14659"/>
  <c r="G20" i="14659"/>
  <c r="I20" i="14659" s="1"/>
  <c r="H9" i="14659"/>
  <c r="E36" i="14708"/>
  <c r="E36" i="4128"/>
  <c r="O43" i="4128" s="1"/>
  <c r="D34" i="14649"/>
  <c r="E30" i="14643"/>
  <c r="E31" i="14643" s="1"/>
  <c r="E21" i="14643"/>
  <c r="C72" i="14648"/>
  <c r="E21" i="14701"/>
  <c r="C15" i="14676"/>
  <c r="B21" i="14670"/>
  <c r="E33" i="14684"/>
  <c r="D34" i="14641"/>
  <c r="E34" i="14684" s="1"/>
  <c r="H30" i="14667"/>
  <c r="R12" i="14709" s="1"/>
  <c r="M23" i="14657"/>
  <c r="M26" i="14657"/>
  <c r="E10" i="4128" l="1"/>
  <c r="E10" i="14708" s="1"/>
  <c r="O15" i="14659"/>
  <c r="J19" i="14667"/>
  <c r="F19" i="14701" s="1"/>
  <c r="H30" i="14659"/>
  <c r="O16" i="14659"/>
  <c r="N22" i="14676"/>
  <c r="M44" i="14645"/>
  <c r="L31" i="14659"/>
  <c r="H31" i="14659"/>
  <c r="H99" i="14645"/>
  <c r="M99" i="14645"/>
  <c r="M103" i="14645" s="1"/>
  <c r="N20" i="14676" s="1"/>
  <c r="G28" i="14617"/>
  <c r="M28" i="14657"/>
  <c r="C74" i="14648"/>
  <c r="C23" i="14676"/>
  <c r="E30" i="14701"/>
  <c r="E25" i="14701" s="1"/>
  <c r="H25" i="14689"/>
  <c r="H28" i="14689" s="1"/>
  <c r="J27" i="14667"/>
  <c r="F27" i="14701" s="1"/>
  <c r="H25" i="14667"/>
  <c r="M27" i="14657"/>
  <c r="I7" i="14676"/>
  <c r="H22" i="14676"/>
  <c r="H18" i="14667"/>
  <c r="H41" i="14667"/>
  <c r="H103" i="14645" l="1"/>
  <c r="N99" i="14645"/>
  <c r="M46" i="14645"/>
  <c r="N44" i="14645"/>
  <c r="E6" i="4128"/>
  <c r="H43" i="14667"/>
  <c r="E43" i="14701"/>
  <c r="E48" i="14701" s="1"/>
  <c r="H5" i="14705"/>
  <c r="B20" i="14670"/>
  <c r="C9" i="14676"/>
  <c r="B37" i="14681"/>
  <c r="H67" i="14689"/>
  <c r="H74" i="14689" s="1"/>
  <c r="H76" i="14689" s="1"/>
  <c r="R33" i="14709"/>
  <c r="E41" i="14701"/>
  <c r="E36" i="14701" s="1"/>
  <c r="E46" i="14701" s="1"/>
  <c r="H36" i="14667"/>
  <c r="H44" i="14667" s="1"/>
  <c r="E18" i="14701"/>
  <c r="E14" i="14701" s="1"/>
  <c r="H14" i="14667"/>
  <c r="N33" i="14709"/>
  <c r="N36" i="14709" s="1"/>
  <c r="G43" i="14691"/>
  <c r="I28" i="14617"/>
  <c r="H28" i="14617"/>
  <c r="D28" i="14704"/>
  <c r="D30" i="14704" s="1"/>
  <c r="G30" i="14617"/>
  <c r="N7" i="14676" l="1"/>
  <c r="O7" i="14676" s="1"/>
  <c r="F9" i="14684" s="1"/>
  <c r="N46" i="14645"/>
  <c r="I20" i="14676"/>
  <c r="O20" i="14676" s="1"/>
  <c r="F21" i="14684" s="1"/>
  <c r="N103" i="14645"/>
  <c r="H46" i="14667"/>
  <c r="I44" i="14667" s="1"/>
  <c r="H30" i="14617"/>
  <c r="G42" i="14690"/>
  <c r="G43" i="14690" s="1"/>
  <c r="R36" i="14709"/>
  <c r="I30" i="14617"/>
  <c r="G45" i="14691"/>
  <c r="G46" i="14691" s="1"/>
  <c r="E29" i="4128"/>
  <c r="E19" i="4128"/>
  <c r="E19" i="14708" s="1"/>
  <c r="E15" i="4128"/>
  <c r="E15" i="14708" s="1"/>
  <c r="E29" i="14708"/>
  <c r="E20" i="4128"/>
  <c r="E20" i="14708" s="1"/>
  <c r="H23" i="14667"/>
  <c r="I14" i="14667" s="1"/>
  <c r="E21" i="4128"/>
  <c r="E21" i="14708" s="1"/>
  <c r="B22" i="14670"/>
  <c r="E5" i="14705"/>
  <c r="E23" i="14701"/>
  <c r="E50" i="14701" s="1"/>
  <c r="E44" i="14701"/>
  <c r="E14" i="14705"/>
  <c r="E23" i="4128"/>
  <c r="E23" i="14708" s="1"/>
  <c r="H48" i="14667"/>
  <c r="D67" i="14649" s="1"/>
  <c r="C10" i="14676"/>
  <c r="D38" i="14649"/>
  <c r="E6" i="14708"/>
  <c r="I42" i="14667" l="1"/>
  <c r="I32" i="14667"/>
  <c r="I26" i="14667"/>
  <c r="I43" i="14667"/>
  <c r="I30" i="14667"/>
  <c r="I33" i="14667"/>
  <c r="I37" i="14667"/>
  <c r="I27" i="14667"/>
  <c r="I40" i="14667"/>
  <c r="I29" i="14667"/>
  <c r="I38" i="14667"/>
  <c r="H50" i="14667"/>
  <c r="C67" i="14649" s="1"/>
  <c r="I34" i="14667"/>
  <c r="I28" i="14667"/>
  <c r="I39" i="14667"/>
  <c r="I36" i="14667"/>
  <c r="I25" i="14667"/>
  <c r="I41" i="14667"/>
  <c r="B24" i="14670"/>
  <c r="C25" i="14676"/>
  <c r="C27" i="14676" s="1"/>
  <c r="I48" i="14667"/>
  <c r="I20" i="14667"/>
  <c r="I9" i="14667"/>
  <c r="I16" i="14667"/>
  <c r="I7" i="14667"/>
  <c r="I23" i="14667" s="1"/>
  <c r="I15" i="14667"/>
  <c r="E14" i="4128"/>
  <c r="E14" i="14708" s="1"/>
  <c r="I12" i="14667"/>
  <c r="I11" i="14667"/>
  <c r="I19" i="14667"/>
  <c r="I10" i="14667"/>
  <c r="H79" i="14689"/>
  <c r="H80" i="14689" s="1"/>
  <c r="I8" i="14667"/>
  <c r="I17" i="14667"/>
  <c r="E22" i="4128"/>
  <c r="E22" i="14708" s="1"/>
  <c r="E8" i="4128"/>
  <c r="I21" i="14667"/>
  <c r="I18" i="14667"/>
  <c r="I46" i="14667" l="1"/>
  <c r="E26" i="4128"/>
  <c r="E26" i="14708" s="1"/>
  <c r="C29" i="14676"/>
  <c r="C36" i="14648"/>
  <c r="D38" i="14648" s="1"/>
  <c r="D39" i="14649"/>
  <c r="E8" i="14708"/>
  <c r="B26" i="14670"/>
  <c r="D42" i="14648" l="1"/>
  <c r="D72" i="14648"/>
  <c r="B43" i="14684"/>
  <c r="D74" i="14648" l="1"/>
  <c r="C37" i="14681" s="1"/>
  <c r="D15" i="14676"/>
  <c r="C21" i="14670"/>
  <c r="D23" i="14676" l="1"/>
  <c r="D9" i="14676"/>
  <c r="C20" i="14670"/>
  <c r="D10" i="14676" l="1"/>
  <c r="C22" i="14670"/>
  <c r="C24" i="14670" l="1"/>
  <c r="D25" i="14676"/>
  <c r="D27" i="14676" l="1"/>
  <c r="D29" i="14676" s="1"/>
  <c r="C26" i="14670"/>
  <c r="E72" i="14648" l="1"/>
  <c r="C43" i="14684"/>
  <c r="D36" i="14648"/>
  <c r="E38" i="14648" s="1"/>
  <c r="E42" i="14648" l="1"/>
  <c r="E74" i="14648"/>
  <c r="D20" i="14670" l="1"/>
  <c r="E9" i="14676"/>
  <c r="E15" i="14676"/>
  <c r="D21" i="14670"/>
  <c r="D37" i="14681"/>
  <c r="E38" i="14681" s="1"/>
  <c r="E40" i="14681" s="1"/>
  <c r="E23" i="14676" l="1"/>
  <c r="E10" i="14676"/>
  <c r="F22" i="14676"/>
  <c r="D22" i="14670"/>
  <c r="D24" i="14670" l="1"/>
  <c r="E25" i="14676"/>
  <c r="E27" i="14676" l="1"/>
  <c r="D26" i="14670"/>
  <c r="E36" i="14648" l="1"/>
  <c r="F38" i="14648" s="1"/>
  <c r="E29" i="14676"/>
  <c r="F42" i="14648" l="1"/>
  <c r="D43" i="14684"/>
  <c r="F72" i="14648"/>
  <c r="F74" i="14648" l="1"/>
  <c r="E21" i="14670"/>
  <c r="F15" i="14676"/>
  <c r="F23" i="14676" l="1"/>
  <c r="E37" i="14681"/>
  <c r="E20" i="14670"/>
  <c r="F9" i="14676"/>
  <c r="E22" i="14670" l="1"/>
  <c r="F10" i="14676"/>
  <c r="F25" i="14676" l="1"/>
  <c r="F27" i="14676" s="1"/>
  <c r="E24" i="14670"/>
  <c r="E26" i="14670" l="1"/>
  <c r="F29" i="14676"/>
  <c r="F36" i="14648"/>
  <c r="G38" i="14648" s="1"/>
  <c r="G42" i="14648" l="1"/>
  <c r="G72" i="14648"/>
  <c r="E43" i="14684"/>
  <c r="G74" i="14648" l="1"/>
  <c r="F37" i="14681" s="1"/>
  <c r="G15" i="14676"/>
  <c r="F21" i="14670"/>
  <c r="G23" i="14676" l="1"/>
  <c r="F20" i="14670"/>
  <c r="G9" i="14676"/>
  <c r="G10" i="14676" l="1"/>
  <c r="F22" i="14670"/>
  <c r="F24" i="14670" l="1"/>
  <c r="G25" i="14676"/>
  <c r="G27" i="14676" l="1"/>
  <c r="G29" i="14676" s="1"/>
  <c r="F26" i="14670"/>
  <c r="H72" i="14648" l="1"/>
  <c r="H74" i="14648" s="1"/>
  <c r="F43" i="14684"/>
  <c r="G36" i="14648"/>
  <c r="H38" i="14648" s="1"/>
  <c r="H42" i="14648" s="1"/>
  <c r="G21" i="14670" l="1"/>
  <c r="H15" i="14676"/>
  <c r="H23" i="14676" s="1"/>
  <c r="G37" i="14681"/>
  <c r="H38" i="14681" s="1"/>
  <c r="H40" i="14681" s="1"/>
  <c r="G20" i="14670"/>
  <c r="H9" i="14676"/>
  <c r="H10" i="14676" s="1"/>
  <c r="G22" i="14670" l="1"/>
  <c r="G24" i="14670" s="1"/>
  <c r="G26" i="14670" s="1"/>
  <c r="I22" i="14676"/>
  <c r="H25" i="14676"/>
  <c r="H27" i="14676" l="1"/>
  <c r="H36" i="14648" s="1"/>
  <c r="I38" i="14648" s="1"/>
  <c r="I42" i="14648" s="1"/>
  <c r="H29" i="14676" l="1"/>
  <c r="G43" i="14684" s="1"/>
  <c r="I15" i="14676"/>
  <c r="I23" i="14676" s="1"/>
  <c r="H21" i="14670"/>
  <c r="I72" i="14648" l="1"/>
  <c r="I74" i="14648" s="1"/>
  <c r="H37" i="14681" s="1"/>
  <c r="H20" i="14670" l="1"/>
  <c r="H22" i="14670" s="1"/>
  <c r="H24" i="14670" s="1"/>
  <c r="H26" i="14670" s="1"/>
  <c r="I9" i="14676"/>
  <c r="I10" i="14676" s="1"/>
  <c r="I25" i="14676" s="1"/>
  <c r="I27" i="14676" s="1"/>
  <c r="I36" i="14648" s="1"/>
  <c r="J38" i="14648" s="1"/>
  <c r="J42" i="14648" s="1"/>
  <c r="I29" i="14676" l="1"/>
  <c r="J72" i="14648" s="1"/>
  <c r="J74" i="14648" s="1"/>
  <c r="I37" i="14681" s="1"/>
  <c r="I21" i="14670"/>
  <c r="J15" i="14676"/>
  <c r="J23" i="14676" s="1"/>
  <c r="H43" i="14684" l="1"/>
  <c r="J9" i="14676"/>
  <c r="J10" i="14676" s="1"/>
  <c r="J25" i="14676" s="1"/>
  <c r="I20" i="14670"/>
  <c r="I22" i="14670" s="1"/>
  <c r="I24" i="14670" s="1"/>
  <c r="I26" i="14670" s="1"/>
  <c r="J27" i="14676" l="1"/>
  <c r="J36" i="14648" s="1"/>
  <c r="K38" i="14648" s="1"/>
  <c r="K42" i="14648" s="1"/>
  <c r="J29" i="14676" l="1"/>
  <c r="K72" i="14648" s="1"/>
  <c r="K74" i="14648" s="1"/>
  <c r="J37" i="14681" s="1"/>
  <c r="K38" i="14681" s="1"/>
  <c r="K40" i="14681" s="1"/>
  <c r="K15" i="14676"/>
  <c r="K23" i="14676" s="1"/>
  <c r="J21" i="14670"/>
  <c r="I43" i="14684" l="1"/>
  <c r="L22" i="14676"/>
  <c r="O22" i="14676" s="1"/>
  <c r="F23" i="14684" s="1"/>
  <c r="J20" i="14670"/>
  <c r="J22" i="14670" s="1"/>
  <c r="J24" i="14670" s="1"/>
  <c r="J26" i="14670" s="1"/>
  <c r="K9" i="14676"/>
  <c r="K10" i="14676" s="1"/>
  <c r="K25" i="14676" s="1"/>
  <c r="K27" i="14676" l="1"/>
  <c r="K36" i="14648" s="1"/>
  <c r="L38" i="14648" s="1"/>
  <c r="L42" i="14648" s="1"/>
  <c r="K29" i="14676" l="1"/>
  <c r="J43" i="14684" s="1"/>
  <c r="L15" i="14676"/>
  <c r="L23" i="14676" s="1"/>
  <c r="K21" i="14670"/>
  <c r="L72" i="14648" l="1"/>
  <c r="L74" i="14648" s="1"/>
  <c r="K37" i="14681" s="1"/>
  <c r="K20" i="14670" l="1"/>
  <c r="K22" i="14670" s="1"/>
  <c r="K24" i="14670" s="1"/>
  <c r="K26" i="14670" s="1"/>
  <c r="L9" i="14676"/>
  <c r="L10" i="14676" s="1"/>
  <c r="L25" i="14676" s="1"/>
  <c r="L27" i="14676" s="1"/>
  <c r="L36" i="14648" s="1"/>
  <c r="M38" i="14648" s="1"/>
  <c r="M42" i="14648" s="1"/>
  <c r="L29" i="14676" l="1"/>
  <c r="M72" i="14648" s="1"/>
  <c r="M74" i="14648" s="1"/>
  <c r="L37" i="14681" s="1"/>
  <c r="M15" i="14676"/>
  <c r="M23" i="14676" s="1"/>
  <c r="L21" i="14670"/>
  <c r="K43" i="14684" l="1"/>
  <c r="L20" i="14670"/>
  <c r="L22" i="14670" s="1"/>
  <c r="L24" i="14670" s="1"/>
  <c r="L26" i="14670" s="1"/>
  <c r="M9" i="14676"/>
  <c r="M10" i="14676" s="1"/>
  <c r="M25" i="14676" s="1"/>
  <c r="M27" i="14676" l="1"/>
  <c r="M36" i="14648" s="1"/>
  <c r="N38" i="14648" s="1"/>
  <c r="M29" i="14676" l="1"/>
  <c r="L43" i="14684" s="1"/>
  <c r="N42" i="14648"/>
  <c r="O38" i="14648"/>
  <c r="O42" i="14648" s="1"/>
  <c r="N72" i="14648" l="1"/>
  <c r="N74" i="14648" s="1"/>
  <c r="N15" i="14676"/>
  <c r="M21" i="14670"/>
  <c r="N21" i="14670" s="1"/>
  <c r="J23" i="14617" s="1"/>
  <c r="O72" i="14648" l="1"/>
  <c r="O74" i="14648" s="1"/>
  <c r="E23" i="14704"/>
  <c r="K23" i="14617"/>
  <c r="L23" i="14617"/>
  <c r="M37" i="14681"/>
  <c r="N37" i="14681" s="1"/>
  <c r="N38" i="14681" s="1"/>
  <c r="N40" i="14681" s="1"/>
  <c r="N9" i="14676"/>
  <c r="M20" i="14670"/>
  <c r="N23" i="14676"/>
  <c r="O15" i="14676"/>
  <c r="B49" i="14681" l="1"/>
  <c r="C22" i="14677"/>
  <c r="F25" i="14657"/>
  <c r="F26" i="14657" s="1"/>
  <c r="N24" i="14657" s="1"/>
  <c r="M22" i="14670"/>
  <c r="N20" i="14670"/>
  <c r="J22" i="14617" s="1"/>
  <c r="F17" i="14684"/>
  <c r="F24" i="14684" s="1"/>
  <c r="O23" i="14676"/>
  <c r="N10" i="14676"/>
  <c r="O9" i="14676"/>
  <c r="F11" i="14684" s="1"/>
  <c r="F12" i="14684" s="1"/>
  <c r="F26" i="14684" l="1"/>
  <c r="J24" i="14617"/>
  <c r="E22" i="14704"/>
  <c r="E24" i="14704" s="1"/>
  <c r="O22" i="14617"/>
  <c r="K22" i="14617"/>
  <c r="N25" i="14676"/>
  <c r="N27" i="14676" s="1"/>
  <c r="O10" i="14676"/>
  <c r="O25" i="14676" s="1"/>
  <c r="M24" i="14670"/>
  <c r="N22" i="14670"/>
  <c r="N24" i="14670" l="1"/>
  <c r="M26" i="14670"/>
  <c r="N29" i="14676"/>
  <c r="B27" i="14677"/>
  <c r="B45" i="14648" s="1"/>
  <c r="C47" i="14648" s="1"/>
  <c r="C51" i="14648" s="1"/>
  <c r="N36" i="14648"/>
  <c r="J38" i="14667"/>
  <c r="C32" i="14676"/>
  <c r="F35" i="14708"/>
  <c r="J26" i="14617"/>
  <c r="J11" i="14659" s="1"/>
  <c r="E32" i="14649"/>
  <c r="F18" i="14657"/>
  <c r="F19" i="14657" s="1"/>
  <c r="F21" i="14657" s="1"/>
  <c r="N20" i="14657" s="1"/>
  <c r="N22" i="14657" s="1"/>
  <c r="K24" i="14617"/>
  <c r="L24" i="14617"/>
  <c r="F35" i="4128"/>
  <c r="E33" i="14649" s="1"/>
  <c r="F13" i="14643"/>
  <c r="E13" i="14706"/>
  <c r="E26" i="14704"/>
  <c r="H13" i="14706" s="1"/>
  <c r="L11" i="14659" l="1"/>
  <c r="J18" i="14659"/>
  <c r="K11" i="14659"/>
  <c r="J24" i="14659"/>
  <c r="L24" i="14659" s="1"/>
  <c r="C15" i="14677"/>
  <c r="C23" i="14677" s="1"/>
  <c r="B21" i="14671"/>
  <c r="F27" i="14643"/>
  <c r="F20" i="14643"/>
  <c r="D59" i="14649"/>
  <c r="E59" i="14649" s="1"/>
  <c r="F31" i="14684"/>
  <c r="C59" i="14649"/>
  <c r="D32" i="14676"/>
  <c r="F32" i="14684" s="1"/>
  <c r="F38" i="14701"/>
  <c r="B29" i="14677"/>
  <c r="F28" i="14684"/>
  <c r="C33" i="14676"/>
  <c r="M43" i="14684"/>
  <c r="J21" i="14667"/>
  <c r="C34" i="14676"/>
  <c r="C50" i="14649"/>
  <c r="J7" i="14659"/>
  <c r="L26" i="14617"/>
  <c r="J9" i="14659"/>
  <c r="L9" i="14659" s="1"/>
  <c r="K26" i="14617"/>
  <c r="J22" i="14659" l="1"/>
  <c r="L22" i="14659" s="1"/>
  <c r="L18" i="14659"/>
  <c r="J30" i="14667"/>
  <c r="J31" i="14659"/>
  <c r="J30" i="14659"/>
  <c r="L30" i="14659" s="1"/>
  <c r="M15" i="14659"/>
  <c r="K18" i="14659"/>
  <c r="M16" i="14659"/>
  <c r="N22" i="14677" s="1"/>
  <c r="J20" i="14659"/>
  <c r="L20" i="14659" s="1"/>
  <c r="F33" i="14684"/>
  <c r="D34" i="14676"/>
  <c r="F34" i="14684" s="1"/>
  <c r="N26" i="14657"/>
  <c r="N23" i="14657"/>
  <c r="F30" i="14643"/>
  <c r="F31" i="14643" s="1"/>
  <c r="F21" i="14643"/>
  <c r="F21" i="14701"/>
  <c r="C77" i="14648"/>
  <c r="C79" i="14648" s="1"/>
  <c r="K9" i="14659"/>
  <c r="F36" i="4128"/>
  <c r="P43" i="4128" s="1"/>
  <c r="E34" i="14649"/>
  <c r="F36" i="14708"/>
  <c r="E38" i="14695"/>
  <c r="E39" i="14695" s="1"/>
  <c r="F10" i="4128" l="1"/>
  <c r="F10" i="14708" s="1"/>
  <c r="L19" i="14667"/>
  <c r="G19" i="14701" s="1"/>
  <c r="L27" i="14667"/>
  <c r="G27" i="14701" s="1"/>
  <c r="J25" i="14667"/>
  <c r="F6" i="4128" s="1"/>
  <c r="E38" i="14649" s="1"/>
  <c r="F30" i="14701"/>
  <c r="F25" i="14701" s="1"/>
  <c r="F43" i="14701" s="1"/>
  <c r="F48" i="14701" s="1"/>
  <c r="M55" i="14645"/>
  <c r="K30" i="14659"/>
  <c r="O31" i="14659"/>
  <c r="K31" i="14659"/>
  <c r="H110" i="14645"/>
  <c r="M110" i="14645"/>
  <c r="M114" i="14645" s="1"/>
  <c r="N20" i="14677" s="1"/>
  <c r="H22" i="14677"/>
  <c r="N27" i="14657"/>
  <c r="I7" i="14677"/>
  <c r="J18" i="14667"/>
  <c r="J41" i="14667"/>
  <c r="J28" i="14617"/>
  <c r="N28" i="14657"/>
  <c r="B46" i="14681"/>
  <c r="C9" i="14677"/>
  <c r="C10" i="14677" s="1"/>
  <c r="C25" i="14677" s="1"/>
  <c r="B20" i="14671"/>
  <c r="B22" i="14671" s="1"/>
  <c r="B24" i="14671" s="1"/>
  <c r="B26" i="14671" s="1"/>
  <c r="F6" i="14708" l="1"/>
  <c r="J43" i="14667"/>
  <c r="J48" i="14667" s="1"/>
  <c r="H6" i="14705"/>
  <c r="H114" i="14645"/>
  <c r="N110" i="14645"/>
  <c r="M57" i="14645"/>
  <c r="N55" i="14645"/>
  <c r="L28" i="14617"/>
  <c r="K28" i="14617"/>
  <c r="E28" i="14704"/>
  <c r="E30" i="14704" s="1"/>
  <c r="J30" i="14617"/>
  <c r="F18" i="14701"/>
  <c r="F14" i="14701" s="1"/>
  <c r="J14" i="14667"/>
  <c r="F23" i="4128"/>
  <c r="F23" i="14708" s="1"/>
  <c r="C27" i="14677"/>
  <c r="C45" i="14648" s="1"/>
  <c r="D47" i="14648" s="1"/>
  <c r="F41" i="14701"/>
  <c r="F36" i="14701" s="1"/>
  <c r="J36" i="14667"/>
  <c r="N57" i="14645" l="1"/>
  <c r="N7" i="14677"/>
  <c r="O7" i="14677" s="1"/>
  <c r="G9" i="14684" s="1"/>
  <c r="I20" i="14677"/>
  <c r="O20" i="14677" s="1"/>
  <c r="G21" i="14684" s="1"/>
  <c r="N114" i="14645"/>
  <c r="C29" i="14677"/>
  <c r="D77" i="14648" s="1"/>
  <c r="D79" i="14648" s="1"/>
  <c r="D68" i="14649"/>
  <c r="F46" i="14701"/>
  <c r="F44" i="14701"/>
  <c r="E15" i="14705"/>
  <c r="E6" i="14705"/>
  <c r="F23" i="14701"/>
  <c r="F29" i="14708"/>
  <c r="F15" i="4128"/>
  <c r="F15" i="14708" s="1"/>
  <c r="F20" i="4128"/>
  <c r="F20" i="14708" s="1"/>
  <c r="F19" i="4128"/>
  <c r="F19" i="14708" s="1"/>
  <c r="J23" i="14667"/>
  <c r="K14" i="14667" s="1"/>
  <c r="F29" i="4128"/>
  <c r="J46" i="14667"/>
  <c r="J44" i="14667"/>
  <c r="D51" i="14648"/>
  <c r="L30" i="14617"/>
  <c r="K30" i="14617"/>
  <c r="F50" i="14701" l="1"/>
  <c r="B44" i="14684"/>
  <c r="K44" i="14667"/>
  <c r="F21" i="4128"/>
  <c r="F21" i="14708" s="1"/>
  <c r="J50" i="14667"/>
  <c r="C68" i="14649" s="1"/>
  <c r="F14" i="4128"/>
  <c r="F14" i="14708" s="1"/>
  <c r="K8" i="14667"/>
  <c r="K11" i="14667"/>
  <c r="K15" i="14667"/>
  <c r="K12" i="14667"/>
  <c r="K10" i="14667"/>
  <c r="K20" i="14667"/>
  <c r="K7" i="14667"/>
  <c r="K23" i="14667" s="1"/>
  <c r="K16" i="14667"/>
  <c r="K17" i="14667"/>
  <c r="K9" i="14667"/>
  <c r="K19" i="14667"/>
  <c r="F8" i="4128"/>
  <c r="F22" i="4128"/>
  <c r="F22" i="14708" s="1"/>
  <c r="K21" i="14667"/>
  <c r="K18" i="14667"/>
  <c r="D15" i="14677"/>
  <c r="C21" i="14671"/>
  <c r="C46" i="14681"/>
  <c r="C20" i="14671"/>
  <c r="D9" i="14677"/>
  <c r="D10" i="14677" s="1"/>
  <c r="K48" i="14667"/>
  <c r="K34" i="14667"/>
  <c r="K40" i="14667"/>
  <c r="K39" i="14667"/>
  <c r="K28" i="14667"/>
  <c r="K27" i="14667"/>
  <c r="K26" i="14667"/>
  <c r="K37" i="14667"/>
  <c r="K33" i="14667"/>
  <c r="K42" i="14667"/>
  <c r="K29" i="14667"/>
  <c r="K32" i="14667"/>
  <c r="K38" i="14667"/>
  <c r="K30" i="14667"/>
  <c r="K25" i="14667"/>
  <c r="K43" i="14667"/>
  <c r="K41" i="14667"/>
  <c r="K36" i="14667"/>
  <c r="C22" i="14671" l="1"/>
  <c r="C24" i="14671" s="1"/>
  <c r="C26" i="14671" s="1"/>
  <c r="F26" i="4128"/>
  <c r="F26" i="14708" s="1"/>
  <c r="K46" i="14667"/>
  <c r="F8" i="14708"/>
  <c r="E39" i="14649"/>
  <c r="D23" i="14677"/>
  <c r="D25" i="14677" s="1"/>
  <c r="D27" i="14677" l="1"/>
  <c r="D45" i="14648" s="1"/>
  <c r="E47" i="14648" s="1"/>
  <c r="E51" i="14648" l="1"/>
  <c r="D29" i="14677"/>
  <c r="C44" i="14684" l="1"/>
  <c r="E77" i="14648"/>
  <c r="E15" i="14677"/>
  <c r="D21" i="14671"/>
  <c r="E79" i="14648" l="1"/>
  <c r="E23" i="14677"/>
  <c r="D20" i="14671" l="1"/>
  <c r="E9" i="14677"/>
  <c r="D46" i="14681"/>
  <c r="E47" i="14681" s="1"/>
  <c r="E49" i="14681" s="1"/>
  <c r="F22" i="14677" l="1"/>
  <c r="E10" i="14677"/>
  <c r="D22" i="14671"/>
  <c r="E25" i="14677" l="1"/>
  <c r="D24" i="14671"/>
  <c r="D26" i="14671" l="1"/>
  <c r="E27" i="14677"/>
  <c r="E29" i="14677" s="1"/>
  <c r="D44" i="14684" l="1"/>
  <c r="F77" i="14648"/>
  <c r="E45" i="14648"/>
  <c r="F47" i="14648" s="1"/>
  <c r="F79" i="14648" l="1"/>
  <c r="F51" i="14648"/>
  <c r="F15" i="14677" l="1"/>
  <c r="E21" i="14671"/>
  <c r="E46" i="14681"/>
  <c r="F9" i="14677"/>
  <c r="E20" i="14671"/>
  <c r="F10" i="14677" l="1"/>
  <c r="E22" i="14671"/>
  <c r="F23" i="14677"/>
  <c r="E24" i="14671" l="1"/>
  <c r="F25" i="14677"/>
  <c r="F27" i="14677" s="1"/>
  <c r="F29" i="14677" l="1"/>
  <c r="F45" i="14648"/>
  <c r="G47" i="14648" s="1"/>
  <c r="E26" i="14671"/>
  <c r="G51" i="14648" l="1"/>
  <c r="E44" i="14684"/>
  <c r="G77" i="14648"/>
  <c r="G79" i="14648" l="1"/>
  <c r="F46" i="14681" s="1"/>
  <c r="F21" i="14671"/>
  <c r="G15" i="14677"/>
  <c r="G23" i="14677" l="1"/>
  <c r="F20" i="14671"/>
  <c r="G9" i="14677"/>
  <c r="F22" i="14671" l="1"/>
  <c r="G10" i="14677"/>
  <c r="G25" i="14677" l="1"/>
  <c r="G27" i="14677" s="1"/>
  <c r="F24" i="14671"/>
  <c r="F26" i="14671" l="1"/>
  <c r="G29" i="14677"/>
  <c r="G45" i="14648"/>
  <c r="H47" i="14648" s="1"/>
  <c r="H51" i="14648" l="1"/>
  <c r="H77" i="14648"/>
  <c r="F44" i="14684"/>
  <c r="H79" i="14648" l="1"/>
  <c r="G46" i="14681" s="1"/>
  <c r="H47" i="14681" s="1"/>
  <c r="H49" i="14681" s="1"/>
  <c r="G21" i="14671"/>
  <c r="H15" i="14677"/>
  <c r="H23" i="14677" l="1"/>
  <c r="I22" i="14677"/>
  <c r="H9" i="14677"/>
  <c r="G20" i="14671"/>
  <c r="G22" i="14671" l="1"/>
  <c r="H10" i="14677"/>
  <c r="H25" i="14677" l="1"/>
  <c r="G24" i="14671"/>
  <c r="G26" i="14671" l="1"/>
  <c r="H27" i="14677"/>
  <c r="H29" i="14677" s="1"/>
  <c r="G44" i="14684" l="1"/>
  <c r="I77" i="14648"/>
  <c r="H45" i="14648"/>
  <c r="I47" i="14648" s="1"/>
  <c r="I51" i="14648" s="1"/>
  <c r="I79" i="14648" l="1"/>
  <c r="I15" i="14677"/>
  <c r="I23" i="14677" s="1"/>
  <c r="H21" i="14671"/>
  <c r="H46" i="14681" l="1"/>
  <c r="H20" i="14671"/>
  <c r="I9" i="14677"/>
  <c r="H22" i="14671" l="1"/>
  <c r="I10" i="14677"/>
  <c r="I25" i="14677" l="1"/>
  <c r="H24" i="14671"/>
  <c r="H26" i="14671" l="1"/>
  <c r="I27" i="14677"/>
  <c r="I45" i="14648" l="1"/>
  <c r="J47" i="14648" s="1"/>
  <c r="J51" i="14648" s="1"/>
  <c r="I29" i="14677"/>
  <c r="J77" i="14648" l="1"/>
  <c r="J79" i="14648" s="1"/>
  <c r="I46" i="14681" s="1"/>
  <c r="H44" i="14684"/>
  <c r="J15" i="14677"/>
  <c r="J23" i="14677" s="1"/>
  <c r="I21" i="14671"/>
  <c r="J9" i="14677" l="1"/>
  <c r="J10" i="14677" s="1"/>
  <c r="J25" i="14677" s="1"/>
  <c r="I20" i="14671"/>
  <c r="I22" i="14671" s="1"/>
  <c r="I24" i="14671" s="1"/>
  <c r="I26" i="14671" s="1"/>
  <c r="J27" i="14677" l="1"/>
  <c r="J45" i="14648" s="1"/>
  <c r="K47" i="14648" s="1"/>
  <c r="K51" i="14648" s="1"/>
  <c r="J29" i="14677" l="1"/>
  <c r="I44" i="14684" s="1"/>
  <c r="K15" i="14677"/>
  <c r="K23" i="14677" s="1"/>
  <c r="J21" i="14671"/>
  <c r="K77" i="14648" l="1"/>
  <c r="K79" i="14648" s="1"/>
  <c r="J46" i="14681" s="1"/>
  <c r="K47" i="14681" s="1"/>
  <c r="K49" i="14681" s="1"/>
  <c r="L22" i="14677" s="1"/>
  <c r="O22" i="14677" s="1"/>
  <c r="G23" i="14684" s="1"/>
  <c r="K9" i="14677" l="1"/>
  <c r="K10" i="14677" s="1"/>
  <c r="K25" i="14677" s="1"/>
  <c r="K27" i="14677" s="1"/>
  <c r="K45" i="14648" s="1"/>
  <c r="L47" i="14648" s="1"/>
  <c r="L51" i="14648" s="1"/>
  <c r="J20" i="14671"/>
  <c r="J22" i="14671" s="1"/>
  <c r="J24" i="14671" s="1"/>
  <c r="J26" i="14671" s="1"/>
  <c r="K29" i="14677" l="1"/>
  <c r="L77" i="14648" s="1"/>
  <c r="L79" i="14648" s="1"/>
  <c r="K46" i="14681" s="1"/>
  <c r="K21" i="14671"/>
  <c r="L15" i="14677"/>
  <c r="L23" i="14677" s="1"/>
  <c r="J44" i="14684" l="1"/>
  <c r="L9" i="14677"/>
  <c r="L10" i="14677" s="1"/>
  <c r="L25" i="14677" s="1"/>
  <c r="K20" i="14671"/>
  <c r="K22" i="14671" s="1"/>
  <c r="K24" i="14671" s="1"/>
  <c r="K26" i="14671" s="1"/>
  <c r="L27" i="14677" l="1"/>
  <c r="L45" i="14648" s="1"/>
  <c r="M47" i="14648" s="1"/>
  <c r="M51" i="14648" s="1"/>
  <c r="L29" i="14677" l="1"/>
  <c r="K44" i="14684" s="1"/>
  <c r="M15" i="14677"/>
  <c r="M23" i="14677" s="1"/>
  <c r="L21" i="14671"/>
  <c r="M77" i="14648" l="1"/>
  <c r="M79" i="14648" s="1"/>
  <c r="L46" i="14681" s="1"/>
  <c r="L20" i="14671" l="1"/>
  <c r="L22" i="14671" s="1"/>
  <c r="L24" i="14671" s="1"/>
  <c r="L26" i="14671" s="1"/>
  <c r="M9" i="14677"/>
  <c r="M10" i="14677" s="1"/>
  <c r="M25" i="14677" s="1"/>
  <c r="M27" i="14677" s="1"/>
  <c r="M45" i="14648" s="1"/>
  <c r="N47" i="14648" s="1"/>
  <c r="M29" i="14677" l="1"/>
  <c r="N51" i="14648"/>
  <c r="O47" i="14648"/>
  <c r="O51" i="14648" s="1"/>
  <c r="N15" i="14677" l="1"/>
  <c r="M21" i="14671"/>
  <c r="N21" i="14671" s="1"/>
  <c r="M23" i="14617" s="1"/>
  <c r="N77" i="14648"/>
  <c r="L44" i="14684"/>
  <c r="N79" i="14648" l="1"/>
  <c r="O77" i="14648"/>
  <c r="O79" i="14648" s="1"/>
  <c r="N23" i="14617"/>
  <c r="O23" i="14617"/>
  <c r="F23" i="14704"/>
  <c r="N23" i="14677"/>
  <c r="O15" i="14677"/>
  <c r="O23" i="14677" l="1"/>
  <c r="G17" i="14684"/>
  <c r="G24" i="14684" s="1"/>
  <c r="N9" i="14677"/>
  <c r="M20" i="14671"/>
  <c r="M46" i="14681"/>
  <c r="N46" i="14681" s="1"/>
  <c r="N47" i="14681" s="1"/>
  <c r="N49" i="14681" s="1"/>
  <c r="M22" i="14671" l="1"/>
  <c r="N20" i="14671"/>
  <c r="M22" i="14617" s="1"/>
  <c r="N10" i="14677"/>
  <c r="O9" i="14677"/>
  <c r="G11" i="14684" s="1"/>
  <c r="G12" i="14684" s="1"/>
  <c r="G26" i="14684" s="1"/>
  <c r="G25" i="14657"/>
  <c r="G26" i="14657" s="1"/>
  <c r="O24" i="14657" s="1"/>
  <c r="N25" i="14677" l="1"/>
  <c r="O10" i="14677"/>
  <c r="O25" i="14677" s="1"/>
  <c r="N22" i="14617"/>
  <c r="F22" i="14704"/>
  <c r="F24" i="14704" s="1"/>
  <c r="M24" i="14617"/>
  <c r="M24" i="14671"/>
  <c r="N22" i="14671"/>
  <c r="F26" i="14704" l="1"/>
  <c r="H14" i="14706" s="1"/>
  <c r="E14" i="14706"/>
  <c r="N24" i="14671"/>
  <c r="M26" i="14671"/>
  <c r="F32" i="14649"/>
  <c r="G35" i="14708"/>
  <c r="G18" i="14657"/>
  <c r="G19" i="14657" s="1"/>
  <c r="G21" i="14657" s="1"/>
  <c r="O20" i="14657" s="1"/>
  <c r="O22" i="14657" s="1"/>
  <c r="G13" i="14643"/>
  <c r="N24" i="14617"/>
  <c r="O24" i="14617"/>
  <c r="G35" i="4128"/>
  <c r="F33" i="14649" s="1"/>
  <c r="M26" i="14617"/>
  <c r="M11" i="14659" s="1"/>
  <c r="N27" i="14677"/>
  <c r="O11" i="14659" l="1"/>
  <c r="M18" i="14659"/>
  <c r="M24" i="14659"/>
  <c r="O24" i="14659" s="1"/>
  <c r="N11" i="14659"/>
  <c r="F38" i="14695"/>
  <c r="F39" i="14695" s="1"/>
  <c r="N26" i="14617"/>
  <c r="O26" i="14617"/>
  <c r="C51" i="14649"/>
  <c r="M7" i="14659"/>
  <c r="M9" i="14659"/>
  <c r="G20" i="14643"/>
  <c r="G27" i="14643"/>
  <c r="L38" i="14667"/>
  <c r="N45" i="14648"/>
  <c r="C32" i="14677"/>
  <c r="N29" i="14677"/>
  <c r="M22" i="14659" l="1"/>
  <c r="O22" i="14659" s="1"/>
  <c r="O18" i="14659"/>
  <c r="N18" i="14659"/>
  <c r="M20" i="14659"/>
  <c r="O20" i="14659" s="1"/>
  <c r="M30" i="14659"/>
  <c r="M31" i="14659"/>
  <c r="N31" i="14659" s="1"/>
  <c r="N9" i="14659"/>
  <c r="O9" i="14659"/>
  <c r="C60" i="14649"/>
  <c r="D60" i="14649"/>
  <c r="E60" i="14649" s="1"/>
  <c r="G31" i="14684"/>
  <c r="D32" i="14677"/>
  <c r="G32" i="14684" s="1"/>
  <c r="G28" i="14684"/>
  <c r="M44" i="14684"/>
  <c r="C33" i="14677"/>
  <c r="L21" i="14667"/>
  <c r="C34" i="14677"/>
  <c r="G38" i="14701"/>
  <c r="G21" i="14643"/>
  <c r="G30" i="14643"/>
  <c r="G31" i="14643" s="1"/>
  <c r="H31" i="14643" s="1"/>
  <c r="L30" i="14667"/>
  <c r="O23" i="14657"/>
  <c r="O26" i="14657"/>
  <c r="C38" i="4128" l="1"/>
  <c r="B20" i="14649" s="1"/>
  <c r="G10" i="4128"/>
  <c r="G10" i="14708" s="1"/>
  <c r="N30" i="14659"/>
  <c r="O30" i="14659"/>
  <c r="F34" i="14649"/>
  <c r="G36" i="4128"/>
  <c r="G36" i="14708"/>
  <c r="L18" i="14667"/>
  <c r="O27" i="14657"/>
  <c r="L41" i="14667"/>
  <c r="M28" i="14617"/>
  <c r="O28" i="14657"/>
  <c r="G21" i="14701"/>
  <c r="G30" i="14701"/>
  <c r="G25" i="14701" s="1"/>
  <c r="L25" i="14667"/>
  <c r="G33" i="14684"/>
  <c r="D34" i="14677"/>
  <c r="G34" i="14684" s="1"/>
  <c r="C38" i="14708" l="1"/>
  <c r="G43" i="14701"/>
  <c r="G48" i="14701" s="1"/>
  <c r="H7" i="14705"/>
  <c r="L43" i="14667"/>
  <c r="G6" i="4128"/>
  <c r="G18" i="14701"/>
  <c r="G14" i="14701" s="1"/>
  <c r="L14" i="14667"/>
  <c r="N28" i="14617"/>
  <c r="O28" i="14617"/>
  <c r="F28" i="14704"/>
  <c r="F30" i="14704" s="1"/>
  <c r="M30" i="14617"/>
  <c r="G41" i="14701"/>
  <c r="G36" i="14701" s="1"/>
  <c r="L36" i="14667"/>
  <c r="AB43" i="4128"/>
  <c r="AI43" i="4128"/>
  <c r="S43" i="4128"/>
  <c r="X43" i="4128"/>
  <c r="AH43" i="4128"/>
  <c r="AM43" i="4128"/>
  <c r="AJ43" i="4128"/>
  <c r="Y43" i="4128"/>
  <c r="AK43" i="4128"/>
  <c r="U43" i="4128"/>
  <c r="W43" i="4128"/>
  <c r="Q43" i="4128"/>
  <c r="AO43" i="4128"/>
  <c r="AF43" i="4128"/>
  <c r="V43" i="4128"/>
  <c r="Z43" i="4128"/>
  <c r="R43" i="4128"/>
  <c r="AC43" i="4128"/>
  <c r="T43" i="4128"/>
  <c r="AG43" i="4128"/>
  <c r="AN43" i="4128"/>
  <c r="AA43" i="4128"/>
  <c r="AE43" i="4128"/>
  <c r="AL43" i="4128"/>
  <c r="AD43" i="4128"/>
  <c r="E16" i="14705" l="1"/>
  <c r="G44" i="14701"/>
  <c r="G23" i="14701"/>
  <c r="E7" i="14705"/>
  <c r="L48" i="14667"/>
  <c r="G23" i="4128"/>
  <c r="G23" i="14708" s="1"/>
  <c r="G46" i="14701"/>
  <c r="O30" i="14617"/>
  <c r="N30" i="14617"/>
  <c r="F38" i="14649"/>
  <c r="G6" i="14708"/>
  <c r="C41" i="4128"/>
  <c r="C43" i="4128"/>
  <c r="C42" i="4128"/>
  <c r="L44" i="14667"/>
  <c r="G15" i="4128"/>
  <c r="G15" i="14708" s="1"/>
  <c r="G29" i="4128"/>
  <c r="G19" i="4128"/>
  <c r="G19" i="14708" s="1"/>
  <c r="G29" i="14708"/>
  <c r="G20" i="4128"/>
  <c r="G20" i="14708" s="1"/>
  <c r="L23" i="14667"/>
  <c r="L46" i="14667"/>
  <c r="M43" i="14667" s="1"/>
  <c r="M14" i="14667" l="1"/>
  <c r="M10" i="14667"/>
  <c r="M19" i="14667"/>
  <c r="M17" i="14667"/>
  <c r="M20" i="14667"/>
  <c r="M15" i="14667"/>
  <c r="G14" i="4128"/>
  <c r="G14" i="14708" s="1"/>
  <c r="M8" i="14667"/>
  <c r="M9" i="14667"/>
  <c r="M12" i="14667"/>
  <c r="M16" i="14667"/>
  <c r="M7" i="14667"/>
  <c r="M11" i="14667"/>
  <c r="G8" i="4128"/>
  <c r="G22" i="4128"/>
  <c r="G22" i="14708" s="1"/>
  <c r="M21" i="14667"/>
  <c r="M18" i="14667"/>
  <c r="M29" i="14667"/>
  <c r="L50" i="14667"/>
  <c r="C69" i="14649" s="1"/>
  <c r="M40" i="14667"/>
  <c r="M39" i="14667"/>
  <c r="M28" i="14667"/>
  <c r="M37" i="14667"/>
  <c r="M26" i="14667"/>
  <c r="M34" i="14667"/>
  <c r="M33" i="14667"/>
  <c r="M42" i="14667"/>
  <c r="M27" i="14667"/>
  <c r="M32" i="14667"/>
  <c r="M38" i="14667"/>
  <c r="M30" i="14667"/>
  <c r="M25" i="14667"/>
  <c r="M41" i="14667"/>
  <c r="G21" i="4128"/>
  <c r="G21" i="14708" s="1"/>
  <c r="M44" i="14667"/>
  <c r="G50" i="14701"/>
  <c r="B25" i="14649"/>
  <c r="C43" i="14708"/>
  <c r="B24" i="14649"/>
  <c r="C42" i="14708"/>
  <c r="M36" i="14667"/>
  <c r="C41" i="14708"/>
  <c r="B23" i="14649"/>
  <c r="D69" i="14649"/>
  <c r="M48" i="14667"/>
  <c r="M23" i="14667" l="1"/>
  <c r="F39" i="14649"/>
  <c r="G8" i="14708"/>
  <c r="M46" i="14667"/>
  <c r="G26" i="4128"/>
  <c r="G26" i="1470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13" authorId="0" shapeId="0" xr:uid="{00000000-0006-0000-0600-000001000000}">
      <text>
        <r>
          <rPr>
            <sz val="12"/>
            <color indexed="81"/>
            <rFont val="Tahoma"/>
            <family val="2"/>
          </rPr>
          <t>Fecha en que realizamos este análisis previsional</t>
        </r>
      </text>
    </comment>
    <comment ref="B17" authorId="0" shapeId="0" xr:uid="{00000000-0006-0000-0600-000002000000}">
      <text>
        <r>
          <rPr>
            <sz val="12"/>
            <color indexed="81"/>
            <rFont val="Tahoma"/>
            <family val="2"/>
          </rPr>
          <t>Primer año de simulación</t>
        </r>
        <r>
          <rPr>
            <sz val="8"/>
            <color indexed="81"/>
            <rFont val="Tahoma"/>
            <family val="2"/>
          </rPr>
          <t xml:space="preserve">
</t>
        </r>
      </text>
    </comment>
    <comment ref="A19" authorId="0" shapeId="0" xr:uid="{00000000-0006-0000-0600-000003000000}">
      <text>
        <r>
          <rPr>
            <sz val="10"/>
            <color indexed="81"/>
            <rFont val="Tahoma"/>
            <family val="2"/>
          </rPr>
          <t xml:space="preserve">Solo en el caso de inicio de actividad de empresa de nueva creación desde cero.
Para empresas en funcionamiento, dejar 1 de enero del primer año de la simulación.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Miguel</author>
    <author>Miguel Martínez</author>
  </authors>
  <commentList>
    <comment ref="F6" authorId="0" shapeId="0" xr:uid="{00000000-0006-0000-0700-000001000000}">
      <text>
        <r>
          <rPr>
            <sz val="12"/>
            <color indexed="81"/>
            <rFont val="Tahoma"/>
            <family val="2"/>
          </rPr>
          <t>Moneda en que se realiza la simulación del Plan Financiero Previsional.</t>
        </r>
        <r>
          <rPr>
            <sz val="8"/>
            <color indexed="81"/>
            <rFont val="Tahoma"/>
            <family val="2"/>
          </rPr>
          <t xml:space="preserve">
</t>
        </r>
      </text>
    </comment>
    <comment ref="A14" authorId="0" shapeId="0" xr:uid="{00000000-0006-0000-0700-000002000000}">
      <text>
        <r>
          <rPr>
            <sz val="11"/>
            <color indexed="81"/>
            <rFont val="Tahoma"/>
            <family val="2"/>
          </rPr>
          <t xml:space="preserve">
Inflación interanual aplicable a  los gastos fijos </t>
        </r>
      </text>
    </comment>
    <comment ref="A24" authorId="1" shapeId="0" xr:uid="{00000000-0006-0000-0700-000003000000}">
      <text>
        <r>
          <rPr>
            <sz val="8"/>
            <color indexed="81"/>
            <rFont val="Tahoma"/>
            <family val="2"/>
          </rPr>
          <t xml:space="preserve">
</t>
        </r>
        <r>
          <rPr>
            <sz val="12"/>
            <color indexed="81"/>
            <rFont val="Tahoma"/>
            <family val="2"/>
          </rPr>
          <t>Los nombres de las familias se ponen en la hoja de Precios CV.</t>
        </r>
      </text>
    </comment>
    <comment ref="F35" authorId="0" shapeId="0" xr:uid="{00000000-0006-0000-0700-000004000000}">
      <text>
        <r>
          <rPr>
            <sz val="11"/>
            <color indexed="81"/>
            <rFont val="Tahoma"/>
            <family val="2"/>
          </rPr>
          <t>Normalmente será que No, excepto para el caso de empresas en régimen especial de IVA de exportación, para que se contabilicen las devoluciones de IVA soportado.</t>
        </r>
        <r>
          <rPr>
            <sz val="8"/>
            <color indexed="81"/>
            <rFont val="Tahoma"/>
            <family val="2"/>
          </rPr>
          <t xml:space="preserve">
</t>
        </r>
      </text>
    </comment>
    <comment ref="B41" authorId="0" shapeId="0" xr:uid="{00000000-0006-0000-0700-000005000000}">
      <text>
        <r>
          <rPr>
            <sz val="12"/>
            <color indexed="81"/>
            <rFont val="Tahoma"/>
            <family val="2"/>
          </rPr>
          <t>Solo se distribuirán dividendos si el Beneficio del ejercicio es positivo.
Y además, no hay pérdidas a compensar de ejercicios anteriores.
Se pueden poner distintos % de reparto para cada uno de los años de simulación.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C9" authorId="0" shapeId="0" xr:uid="{00000000-0006-0000-0800-000001000000}">
      <text>
        <r>
          <rPr>
            <sz val="8"/>
            <color indexed="81"/>
            <rFont val="Tahoma"/>
            <family val="2"/>
          </rPr>
          <t xml:space="preserve">
Los terrenos NO se pueden amortizar legalmente.</t>
        </r>
      </text>
    </comment>
    <comment ref="D9" authorId="0" shapeId="0" xr:uid="{00000000-0006-0000-0800-000002000000}">
      <text>
        <r>
          <rPr>
            <sz val="8"/>
            <color indexed="81"/>
            <rFont val="Tahoma"/>
            <family val="2"/>
          </rPr>
          <t>Los terrenos NO se pueden amortizar legalmente.</t>
        </r>
      </text>
    </comment>
    <comment ref="C10" authorId="0" shapeId="0" xr:uid="{00000000-0006-0000-0800-000003000000}">
      <text>
        <r>
          <rPr>
            <sz val="8"/>
            <color indexed="81"/>
            <rFont val="Tahoma"/>
            <family val="2"/>
          </rPr>
          <t xml:space="preserve">Si no hay amortación acumulada anterior PONER 0; sino el IVA no funcionará.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D7" authorId="0" shapeId="0" xr:uid="{00000000-0006-0000-0900-000001000000}">
      <text>
        <r>
          <rPr>
            <sz val="8"/>
            <color indexed="81"/>
            <rFont val="Tahoma"/>
            <family val="2"/>
          </rPr>
          <t>Los terrenos NO se pueden amortizar legalmente.</t>
        </r>
      </text>
    </comment>
    <comment ref="E7" authorId="0" shapeId="0" xr:uid="{00000000-0006-0000-0900-000002000000}">
      <text>
        <r>
          <rPr>
            <sz val="8"/>
            <color indexed="81"/>
            <rFont val="Tahoma"/>
            <family val="2"/>
          </rPr>
          <t xml:space="preserve">
Los terrenos NO se pueden amortizar legalmente.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A11" authorId="0" shapeId="0" xr:uid="{00000000-0006-0000-0A00-000001000000}">
      <text>
        <r>
          <rPr>
            <sz val="11"/>
            <color indexed="81"/>
            <rFont val="Tahoma"/>
            <family val="2"/>
          </rPr>
          <t>Los nombres de los aprovisionamientos se pueden modificar si se quiere</t>
        </r>
      </text>
    </comment>
    <comment ref="D11" authorId="0" shapeId="0" xr:uid="{00000000-0006-0000-0A00-000002000000}">
      <text>
        <r>
          <rPr>
            <sz val="10"/>
            <color indexed="81"/>
            <rFont val="Tahoma"/>
            <family val="2"/>
          </rPr>
          <t xml:space="preserve">Porcentaje que se aporta en especie, y por tanto sujeto a ITP.
 El resto se considera comprado, y por tanto sujeto a IVA
</t>
        </r>
      </text>
    </comment>
    <comment ref="D12" authorId="0" shapeId="0" xr:uid="{00000000-0006-0000-0A00-000003000000}">
      <text>
        <r>
          <rPr>
            <sz val="10"/>
            <color indexed="81"/>
            <rFont val="Tahoma"/>
            <family val="2"/>
          </rPr>
          <t xml:space="preserve">Porcentaje que se aporta en especie, y por tanto sujeto a ITP.
 El resto se considera comprado, y por tanto sujeto a IVA
</t>
        </r>
      </text>
    </comment>
    <comment ref="D13" authorId="0" shapeId="0" xr:uid="{00000000-0006-0000-0A00-000004000000}">
      <text>
        <r>
          <rPr>
            <sz val="10"/>
            <color indexed="81"/>
            <rFont val="Tahoma"/>
            <family val="2"/>
          </rPr>
          <t xml:space="preserve">Porcentaje que se aporta en especie, y por tanto sujeto a ITP.
 El resto se considera comprado, y por tanto sujeto a IVA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Miguel</author>
    <author>WinuE</author>
    <author>Homologacion</author>
    <author>Abderraman 6.327</author>
  </authors>
  <commentList>
    <comment ref="F8" authorId="0" shapeId="0" xr:uid="{00000000-0006-0000-0B00-000001000000}">
      <text>
        <r>
          <rPr>
            <sz val="10"/>
            <color indexed="81"/>
            <rFont val="Tahoma"/>
            <family val="2"/>
          </rPr>
          <t xml:space="preserve">ATENCIÓN
El % de interés dependerá de la moneda en la que se solicite el prétamo.
</t>
        </r>
      </text>
    </comment>
    <comment ref="F9" authorId="0" shapeId="0" xr:uid="{00000000-0006-0000-0B00-000002000000}">
      <text>
        <r>
          <rPr>
            <sz val="10"/>
            <color indexed="81"/>
            <rFont val="Tahoma"/>
            <family val="2"/>
          </rPr>
          <t xml:space="preserve">
Los gastos iniciales se estiman sobre el principal en %. Deben incluir TODOS los costes de apertura y constitución del préstamo.
</t>
        </r>
        <r>
          <rPr>
            <b/>
            <sz val="10"/>
            <color indexed="81"/>
            <rFont val="Tahoma"/>
            <family val="2"/>
          </rPr>
          <t>Debe ser un % entre 0% y 5%</t>
        </r>
        <r>
          <rPr>
            <sz val="10"/>
            <color indexed="81"/>
            <rFont val="Tahoma"/>
            <family val="2"/>
          </rPr>
          <t xml:space="preserve">
Se pagan de una sola vez conjuntamente con la primera mensualidad (o pago de intereses en el caso de que haya carencia).</t>
        </r>
      </text>
    </comment>
    <comment ref="B10" authorId="1" shapeId="0" xr:uid="{00000000-0006-0000-0B00-000003000000}">
      <text>
        <r>
          <rPr>
            <sz val="10"/>
            <color indexed="81"/>
            <rFont val="Tahoma"/>
            <family val="2"/>
          </rPr>
          <t xml:space="preserve">     Siguiendo el criterio del PGC 2007 para PYMEs, los gastos de constitución "lucirán en el Patrimonio Neto minorándolo"
</t>
        </r>
      </text>
    </comment>
    <comment ref="B11" authorId="2" shapeId="0" xr:uid="{00000000-0006-0000-0B00-000004000000}">
      <text>
        <r>
          <rPr>
            <sz val="10"/>
            <color indexed="81"/>
            <rFont val="Tahoma"/>
            <family val="2"/>
          </rPr>
          <t>Beneficios de ejercicioos anteriores.
En el caso de beneficios, la parte destinada a reservas.</t>
        </r>
        <r>
          <rPr>
            <b/>
            <sz val="10"/>
            <color indexed="81"/>
            <rFont val="Tahoma"/>
            <family val="2"/>
          </rPr>
          <t xml:space="preserve">
SOLO PUEDE HABER UN RESULTADO ANTERIOR, PÉRDIDA O BENEFICIO</t>
        </r>
      </text>
    </comment>
    <comment ref="B12" authorId="2" shapeId="0" xr:uid="{00000000-0006-0000-0B00-000005000000}">
      <text>
        <r>
          <rPr>
            <sz val="10"/>
            <color indexed="81"/>
            <rFont val="Tahoma"/>
            <family val="2"/>
          </rPr>
          <t>En el caso de pérdidas acumuladas de ejercicios anteriores, a compensar con ulteriores resultados.
SOLO PUEDE HABER UN RESULTADO ANTERIOR, PÉRDIDA O BENEFICIO</t>
        </r>
      </text>
    </comment>
    <comment ref="B13" authorId="0" shapeId="0" xr:uid="{00000000-0006-0000-0B00-000006000000}">
      <text>
        <r>
          <rPr>
            <sz val="10"/>
            <color indexed="81"/>
            <rFont val="Tahoma"/>
            <family val="2"/>
          </rPr>
          <t>USAR CON PRUDENCIA
Los desfases de financiación ya NO aparecen aquí sino en la tesorería inicial directamente.</t>
        </r>
      </text>
    </comment>
    <comment ref="B14" authorId="0" shapeId="0" xr:uid="{00000000-0006-0000-0B00-000007000000}">
      <text>
        <r>
          <rPr>
            <sz val="10"/>
            <color indexed="81"/>
            <rFont val="Tahoma"/>
            <family val="2"/>
          </rPr>
          <t>Solo si se tiene confirmado el cobro con fecha.</t>
        </r>
      </text>
    </comment>
    <comment ref="F17" authorId="0" shapeId="0" xr:uid="{00000000-0006-0000-0B00-000008000000}">
      <text>
        <r>
          <rPr>
            <sz val="10"/>
            <color indexed="81"/>
            <rFont val="Tahoma"/>
            <family val="2"/>
          </rPr>
          <t xml:space="preserve">ATENCIÓN
El % de interés dependerá de la moneda en la que se solicite el prétamo.
</t>
        </r>
      </text>
    </comment>
    <comment ref="B18" authorId="0" shapeId="0" xr:uid="{00000000-0006-0000-0B00-000009000000}">
      <text>
        <r>
          <rPr>
            <sz val="10"/>
            <color indexed="81"/>
            <rFont val="Tahoma"/>
            <family val="2"/>
          </rPr>
          <t xml:space="preserve">Colocar el importe del préstamo en la hoja correspondiente </t>
        </r>
        <r>
          <rPr>
            <b/>
            <sz val="10"/>
            <color indexed="81"/>
            <rFont val="Tahoma"/>
            <family val="2"/>
          </rPr>
          <t>NO aquí.</t>
        </r>
      </text>
    </comment>
    <comment ref="F18" authorId="0" shapeId="0" xr:uid="{00000000-0006-0000-0B00-00000A000000}">
      <text>
        <r>
          <rPr>
            <sz val="10"/>
            <color indexed="81"/>
            <rFont val="Tahoma"/>
            <family val="2"/>
          </rPr>
          <t xml:space="preserve">
Los gastos iniciales se estiman sobre el principal en %. Deben incluir TODOS los costes de apertura y constitución del préstamo.
</t>
        </r>
        <r>
          <rPr>
            <b/>
            <sz val="10"/>
            <color indexed="81"/>
            <rFont val="Tahoma"/>
            <family val="2"/>
          </rPr>
          <t>Debe ser un % entre 0% y 5%</t>
        </r>
        <r>
          <rPr>
            <sz val="10"/>
            <color indexed="81"/>
            <rFont val="Tahoma"/>
            <family val="2"/>
          </rPr>
          <t xml:space="preserve">
Se pagan de una sola vez conjuntamente con la primera mensualidad (o pago de intereses en el caso de que haya carencia).</t>
        </r>
      </text>
    </comment>
    <comment ref="B20" authorId="0" shapeId="0" xr:uid="{00000000-0006-0000-0B00-00000B000000}">
      <text>
        <r>
          <rPr>
            <sz val="8"/>
            <color indexed="81"/>
            <rFont val="Tahoma"/>
            <family val="2"/>
          </rPr>
          <t xml:space="preserve">Por ejemplo préstamos LP de los propios socios o de familiares.
Hay que definir la política de pagos a estos acreedores por la inversión inicial
</t>
        </r>
      </text>
    </comment>
    <comment ref="B23" authorId="0" shapeId="0" xr:uid="{00000000-0006-0000-0B00-00000C000000}">
      <text>
        <r>
          <rPr>
            <sz val="10"/>
            <color indexed="81"/>
            <rFont val="Tahoma"/>
            <family val="2"/>
          </rPr>
          <t xml:space="preserve">Parte del préstamo a devolver durante el año inicial.
 Poner importe del préstamo en la hoja correspondiente al préstamo </t>
        </r>
        <r>
          <rPr>
            <b/>
            <sz val="10"/>
            <color indexed="81"/>
            <rFont val="Tahoma"/>
            <family val="2"/>
          </rPr>
          <t>NO AQUI</t>
        </r>
      </text>
    </comment>
    <comment ref="F23" authorId="1" shapeId="0" xr:uid="{00000000-0006-0000-0B00-00000D000000}">
      <text>
        <r>
          <rPr>
            <sz val="10"/>
            <color indexed="81"/>
            <rFont val="Tahoma"/>
            <family val="2"/>
          </rPr>
          <t>Se pueden asignar nombres a los préstamos, a los leasing o a los renting para identificarlos mejor por ejemplo con el nombre del activo para el que se utilicen.</t>
        </r>
      </text>
    </comment>
    <comment ref="B26" authorId="0" shapeId="0" xr:uid="{00000000-0006-0000-0B00-00000E000000}">
      <text>
        <r>
          <rPr>
            <sz val="10"/>
            <color indexed="81"/>
            <rFont val="Tahoma"/>
            <family val="2"/>
          </rPr>
          <t>Hay que definir la política de pagos a proveedores por la inversión inicial</t>
        </r>
        <r>
          <rPr>
            <sz val="8"/>
            <color indexed="81"/>
            <rFont val="Tahoma"/>
            <family val="2"/>
          </rPr>
          <t xml:space="preserve">
</t>
        </r>
      </text>
    </comment>
    <comment ref="B28" authorId="0" shapeId="0" xr:uid="{00000000-0006-0000-0B00-00000F000000}">
      <text>
        <r>
          <rPr>
            <sz val="10"/>
            <color indexed="81"/>
            <rFont val="Tahoma"/>
            <family val="2"/>
          </rPr>
          <t>Hay que definir la política de pagos a estos acreedores por la inversión inicial</t>
        </r>
        <r>
          <rPr>
            <sz val="8"/>
            <color indexed="81"/>
            <rFont val="Tahoma"/>
            <family val="2"/>
          </rPr>
          <t xml:space="preserve">
</t>
        </r>
      </text>
    </comment>
    <comment ref="E29" authorId="1" shapeId="0" xr:uid="{00000000-0006-0000-0B00-000010000000}">
      <text>
        <r>
          <rPr>
            <sz val="10"/>
            <color indexed="81"/>
            <rFont val="Tahoma"/>
            <family val="2"/>
          </rPr>
          <t>Lo habitual en Renting es que el valor residual sea 0</t>
        </r>
      </text>
    </comment>
    <comment ref="F34" authorId="0" shapeId="0" xr:uid="{00000000-0006-0000-0B00-000011000000}">
      <text>
        <r>
          <rPr>
            <sz val="8"/>
            <color indexed="81"/>
            <rFont val="Tahoma"/>
            <family val="2"/>
          </rPr>
          <t>Solo si se tiene confirmado el cobro con fecha.</t>
        </r>
      </text>
    </comment>
    <comment ref="E35" authorId="3" shapeId="0" xr:uid="{00000000-0006-0000-0B00-000012000000}">
      <text>
        <r>
          <rPr>
            <sz val="10"/>
            <color indexed="81"/>
            <rFont val="Tahoma"/>
            <family val="2"/>
          </rPr>
          <t xml:space="preserve">MMP:
Plazo en años en el que el importe de la subvención se imputará como resultado extraordinario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7" authorId="0" shapeId="0" xr:uid="{00000000-0006-0000-0D00-000001000000}">
      <text>
        <r>
          <rPr>
            <sz val="10"/>
            <color indexed="81"/>
            <rFont val="Tahoma"/>
            <family val="2"/>
          </rPr>
          <t xml:space="preserve">ATENCIÓN
El % de interés dependerá de la moneda en la que se solicite el prétamo.
</t>
        </r>
      </text>
    </comment>
    <comment ref="B8" authorId="0" shapeId="0" xr:uid="{00000000-0006-0000-0D00-000002000000}">
      <text>
        <r>
          <rPr>
            <sz val="10"/>
            <color indexed="81"/>
            <rFont val="Tahoma"/>
            <family val="2"/>
          </rPr>
          <t xml:space="preserve">
Los gastos iniciales se estiman sobre el principal en %. Deben incluir TODOS los costes de apertura y constitución del préstamo.
</t>
        </r>
        <r>
          <rPr>
            <b/>
            <sz val="10"/>
            <color indexed="81"/>
            <rFont val="Tahoma"/>
            <family val="2"/>
          </rPr>
          <t>Debe ser un % entre 0% y 5%</t>
        </r>
        <r>
          <rPr>
            <sz val="10"/>
            <color indexed="81"/>
            <rFont val="Tahoma"/>
            <family val="2"/>
          </rPr>
          <t xml:space="preserve">
Se pagan de una sola vez conjuntamente con la primera mensualidad (o pago de intereses en el caso de que haya carencia).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9" authorId="0" shapeId="0" xr:uid="{00000000-0006-0000-0E00-000001000000}">
      <text>
        <r>
          <rPr>
            <sz val="10"/>
            <color indexed="81"/>
            <rFont val="Tahoma"/>
            <family val="2"/>
          </rPr>
          <t xml:space="preserve">ATENCIÓN
El % de interés dependerá de la moneda en la que se solicite el prétamo.
</t>
        </r>
      </text>
    </comment>
    <comment ref="B10" authorId="0" shapeId="0" xr:uid="{00000000-0006-0000-0E00-000002000000}">
      <text>
        <r>
          <rPr>
            <sz val="10"/>
            <color indexed="81"/>
            <rFont val="Tahoma"/>
            <family val="2"/>
          </rPr>
          <t xml:space="preserve">
Los gastos iniciales se estiman sobre el principal en %. Deben incluir TODOS los costes de apertura y constitución del préstamo.
</t>
        </r>
        <r>
          <rPr>
            <b/>
            <sz val="10"/>
            <color indexed="81"/>
            <rFont val="Tahoma"/>
            <family val="2"/>
          </rPr>
          <t>Debe ser un % entre 0% y 5%</t>
        </r>
        <r>
          <rPr>
            <sz val="10"/>
            <color indexed="81"/>
            <rFont val="Tahoma"/>
            <family val="2"/>
          </rPr>
          <t xml:space="preserve">
Se pagan de una sola vez conjuntamente con la primera mensualidad (o pago de intereses en el caso de que haya carencia).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9" authorId="0" shapeId="0" xr:uid="{00000000-0006-0000-0F00-000001000000}">
      <text>
        <r>
          <rPr>
            <sz val="10"/>
            <color indexed="81"/>
            <rFont val="Tahoma"/>
            <family val="2"/>
          </rPr>
          <t xml:space="preserve">ATENCIÓN
El % de interés dependerá de la moneda en la que se solicite el prétamo.
</t>
        </r>
      </text>
    </comment>
    <comment ref="B10" authorId="0" shapeId="0" xr:uid="{00000000-0006-0000-0F00-000002000000}">
      <text>
        <r>
          <rPr>
            <sz val="10"/>
            <color indexed="81"/>
            <rFont val="Tahoma"/>
            <family val="2"/>
          </rPr>
          <t xml:space="preserve">
Los gastos iniciales se estiman sobre el principal en %. Deben incluir TODOS los costes de apertura y constitución del préstamo.
</t>
        </r>
        <r>
          <rPr>
            <b/>
            <sz val="10"/>
            <color indexed="81"/>
            <rFont val="Tahoma"/>
            <family val="2"/>
          </rPr>
          <t>Debe ser un % entre 0% y 5%</t>
        </r>
        <r>
          <rPr>
            <sz val="10"/>
            <color indexed="81"/>
            <rFont val="Tahoma"/>
            <family val="2"/>
          </rPr>
          <t xml:space="preserve">
Se pagan de una sola vez conjuntamente con la primera mensualidad (o pago de intereses en el caso de que haya carencia).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Abderraman 6.327</author>
    <author>Miguel</author>
  </authors>
  <commentList>
    <comment ref="D7" authorId="0" shapeId="0" xr:uid="{00000000-0006-0000-1000-000001000000}">
      <text>
        <r>
          <rPr>
            <sz val="10"/>
            <color indexed="81"/>
            <rFont val="Tahoma"/>
            <family val="2"/>
          </rPr>
          <t>Si no hay variaciones de plantilla ni por estacionalidad, ni por incremento de actividad, no es necesario modificar nada más respecto al número de empleados y socios.</t>
        </r>
        <r>
          <rPr>
            <sz val="8"/>
            <color indexed="81"/>
            <rFont val="Tahoma"/>
            <family val="2"/>
          </rPr>
          <t xml:space="preserve">
</t>
        </r>
      </text>
    </comment>
    <comment ref="B20" authorId="1" shapeId="0" xr:uid="{00000000-0006-0000-1000-000002000000}">
      <text>
        <r>
          <rPr>
            <sz val="10"/>
            <color indexed="81"/>
            <rFont val="Tahoma"/>
            <family val="2"/>
          </rPr>
          <t xml:space="preserve">0, 2 ó 3 pagas extras, tanto para trabajadores como para socios en R.E.T.A. o en Rég. General
</t>
        </r>
      </text>
    </comment>
    <comment ref="C20" authorId="1" shapeId="0" xr:uid="{00000000-0006-0000-1000-000003000000}">
      <text>
        <r>
          <rPr>
            <sz val="10"/>
            <color indexed="81"/>
            <rFont val="Tahoma"/>
            <family val="2"/>
          </rPr>
          <t>En principio todos los años tienen las mismas pagas que el inicial, pero se puede modificar</t>
        </r>
      </text>
    </comment>
    <comment ref="D20" authorId="1" shapeId="0" xr:uid="{00000000-0006-0000-1000-000004000000}">
      <text>
        <r>
          <rPr>
            <sz val="10"/>
            <color indexed="81"/>
            <rFont val="Tahoma"/>
            <family val="2"/>
          </rPr>
          <t>En principio todos los años tienen las mismas pagas que el inicial, pero se puede modificar</t>
        </r>
      </text>
    </comment>
    <comment ref="B21" authorId="1" shapeId="0" xr:uid="{00000000-0006-0000-1000-000005000000}">
      <text>
        <r>
          <rPr>
            <sz val="10"/>
            <color indexed="81"/>
            <rFont val="Tahoma"/>
            <family val="2"/>
          </rPr>
          <t xml:space="preserve">0, 2 ó 3 pagas extras, tanto para trabajadores como para socios en R.E.T.A. o en Rég. General.
</t>
        </r>
      </text>
    </comment>
    <comment ref="C21" authorId="1" shapeId="0" xr:uid="{00000000-0006-0000-1000-000006000000}">
      <text>
        <r>
          <rPr>
            <sz val="10"/>
            <color indexed="81"/>
            <rFont val="Tahoma"/>
            <family val="2"/>
          </rPr>
          <t>En principio todos los años tienen las mismas pagas que el inicial, pero se puede modificar</t>
        </r>
      </text>
    </comment>
    <comment ref="D21" authorId="1" shapeId="0" xr:uid="{00000000-0006-0000-1000-000007000000}">
      <text>
        <r>
          <rPr>
            <sz val="10"/>
            <color indexed="81"/>
            <rFont val="Tahoma"/>
            <family val="2"/>
          </rPr>
          <t>En principio todos los años tienen las mismas pagas que el inicial, pero se puede modificar</t>
        </r>
      </text>
    </comment>
    <comment ref="B22" authorId="1" shapeId="0" xr:uid="{00000000-0006-0000-1000-000008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C22" authorId="1" shapeId="0" xr:uid="{00000000-0006-0000-1000-000009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D22" authorId="1" shapeId="0" xr:uid="{00000000-0006-0000-1000-00000A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B23" authorId="1" shapeId="0" xr:uid="{00000000-0006-0000-1000-00000B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C23" authorId="1" shapeId="0" xr:uid="{00000000-0006-0000-1000-00000C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D23" authorId="1" shapeId="0" xr:uid="{00000000-0006-0000-1000-00000D000000}">
      <text>
        <r>
          <rPr>
            <sz val="8"/>
            <color indexed="81"/>
            <rFont val="Tahoma"/>
            <family val="2"/>
          </rPr>
          <t>Es el porcentaje sobre el salario normal que constituye la paga extra. En principio son todos iguales a los que se fijen para el primer año (año 0) pero se pueden modificar, además de forma independiente para empleados y socios.</t>
        </r>
      </text>
    </comment>
    <comment ref="C28" authorId="1" shapeId="0" xr:uid="{00000000-0006-0000-1000-00000E000000}">
      <text>
        <r>
          <rPr>
            <sz val="8"/>
            <color indexed="81"/>
            <rFont val="Tahoma"/>
            <family val="2"/>
          </rPr>
          <t>El incremento en los costes de altas y bajas, así como en la cuota de autónomo (RETA) se utiliza el IPC anual del año correspondiente.</t>
        </r>
      </text>
    </comment>
    <comment ref="D28" authorId="1" shapeId="0" xr:uid="{00000000-0006-0000-1000-00000F000000}">
      <text>
        <r>
          <rPr>
            <sz val="8"/>
            <color indexed="81"/>
            <rFont val="Tahoma"/>
            <family val="2"/>
          </rPr>
          <t>El incremento en los costes de altas y bajas, así como en la cuota de autónomo (RETA) se utiliza el IPC anual del año correspondiente.</t>
        </r>
      </text>
    </comment>
    <comment ref="C32" authorId="1" shapeId="0" xr:uid="{00000000-0006-0000-1000-000010000000}">
      <text>
        <r>
          <rPr>
            <b/>
            <sz val="8"/>
            <color indexed="81"/>
            <rFont val="Tahoma"/>
            <family val="2"/>
          </rPr>
          <t>Miguel:</t>
        </r>
        <r>
          <rPr>
            <sz val="8"/>
            <color indexed="81"/>
            <rFont val="Tahoma"/>
            <family val="2"/>
          </rPr>
          <t xml:space="preserve">
El incremento en los costes de altas y bajas, así como en la cuota de autónomo (RETA) se utiliza el IPC anual del año correspondiente.</t>
        </r>
      </text>
    </comment>
    <comment ref="D32" authorId="1" shapeId="0" xr:uid="{00000000-0006-0000-1000-000011000000}">
      <text>
        <r>
          <rPr>
            <b/>
            <sz val="8"/>
            <color indexed="81"/>
            <rFont val="Tahoma"/>
            <family val="2"/>
          </rPr>
          <t>Miguel:</t>
        </r>
        <r>
          <rPr>
            <sz val="8"/>
            <color indexed="81"/>
            <rFont val="Tahoma"/>
            <family val="2"/>
          </rPr>
          <t xml:space="preserve">
El incremento en los costes de altas y bajas, así como en la cuota de autónomo (RETA) se utiliza el IPC anual del año correspondiente.</t>
        </r>
      </text>
    </comment>
    <comment ref="C33" authorId="1" shapeId="0" xr:uid="{00000000-0006-0000-1000-000012000000}">
      <text>
        <r>
          <rPr>
            <b/>
            <sz val="8"/>
            <color indexed="81"/>
            <rFont val="Tahoma"/>
            <family val="2"/>
          </rPr>
          <t>Miguel:</t>
        </r>
        <r>
          <rPr>
            <sz val="8"/>
            <color indexed="81"/>
            <rFont val="Tahoma"/>
            <family val="2"/>
          </rPr>
          <t xml:space="preserve">
El incremento en los costes de altas y bajas, así como en la cuota de autónomo (RETA) se utiliza el IPC anual del año correspondiente.</t>
        </r>
      </text>
    </comment>
    <comment ref="D33" authorId="1" shapeId="0" xr:uid="{00000000-0006-0000-1000-000013000000}">
      <text>
        <r>
          <rPr>
            <b/>
            <sz val="8"/>
            <color indexed="81"/>
            <rFont val="Tahoma"/>
            <family val="2"/>
          </rPr>
          <t>Miguel:</t>
        </r>
        <r>
          <rPr>
            <sz val="8"/>
            <color indexed="81"/>
            <rFont val="Tahoma"/>
            <family val="2"/>
          </rPr>
          <t xml:space="preserve">
El incremento en los costes de altas y bajas, así como en la cuota de autónomo (RETA) se utiliza el IPC anual del año correspondiente.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Miguel</author>
    <author>Abderraman 6.327</author>
    <author>Miguel Martínez</author>
  </authors>
  <commentList>
    <comment ref="D6" authorId="0" shapeId="0" xr:uid="{00000000-0006-0000-1100-000001000000}">
      <text>
        <r>
          <rPr>
            <sz val="11"/>
            <color indexed="81"/>
            <rFont val="Tahoma"/>
            <family val="2"/>
          </rPr>
          <t>El mes inicial de actividad se puede elegir el la hoja Inicial (NO AQUÍ)</t>
        </r>
      </text>
    </comment>
    <comment ref="A9" authorId="1" shapeId="0" xr:uid="{00000000-0006-0000-1100-000002000000}">
      <text>
        <r>
          <rPr>
            <b/>
            <sz val="8"/>
            <color indexed="81"/>
            <rFont val="Tahoma"/>
            <family val="2"/>
          </rPr>
          <t xml:space="preserve">
</t>
        </r>
        <r>
          <rPr>
            <sz val="10"/>
            <color indexed="81"/>
            <rFont val="Tahoma"/>
            <family val="2"/>
          </rPr>
          <t xml:space="preserve">Solo es necesaria esta hoja (la segunda página de esta hoja de cálculo) en el caso de variaciones de plantilla bien por estacionalidad del negocio, bien por imcrementos de plantilla en los meses iniciales de actividad.
</t>
        </r>
        <r>
          <rPr>
            <b/>
            <sz val="12"/>
            <color indexed="81"/>
            <rFont val="Tahoma"/>
            <family val="2"/>
          </rPr>
          <t>Si la plantilla es siempre la inicial, NO es necesario ni modificar ni imprimirla</t>
        </r>
      </text>
    </comment>
    <comment ref="A11" authorId="2" shapeId="0" xr:uid="{00000000-0006-0000-1100-000003000000}">
      <text>
        <r>
          <rPr>
            <sz val="8"/>
            <color indexed="81"/>
            <rFont val="Tahoma"/>
            <family val="2"/>
          </rPr>
          <t xml:space="preserve">        VARIACIONES en el nº de socios dados de alta en la empresa (Incrementos o disminuciones).
        Pueden ser socios u otros que coticen por el R.E.T.A.( Régimen Especial Trabajadores Autónomos de la Seguridad Social)
        Por regla general como mínimo deberá haber 1 socio en el RETA, salvo casos especiales.
      En los casos en que los socios no tengan obligación de estar en el RETA de la Seg. Social. Habrá que poner que la cuota es 0, NO que el nº de socios sea 0</t>
        </r>
      </text>
    </comment>
    <comment ref="A13" authorId="2" shapeId="0" xr:uid="{00000000-0006-0000-1100-000004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B15" authorId="2" shapeId="0" xr:uid="{00000000-0006-0000-1100-000005000000}">
      <text>
        <r>
          <rPr>
            <sz val="10"/>
            <color indexed="81"/>
            <rFont val="Tahoma"/>
            <family val="2"/>
          </rPr>
          <t xml:space="preserve">  Plantilla inicial del mes 0</t>
        </r>
      </text>
    </comment>
    <comment ref="A16" authorId="2" shapeId="0" xr:uid="{00000000-0006-0000-1100-000006000000}">
      <text>
        <r>
          <rPr>
            <sz val="8"/>
            <color indexed="81"/>
            <rFont val="Tahoma"/>
            <family val="2"/>
          </rPr>
          <t xml:space="preserve">        VARIACIONES en el nº de socios dados de alta en la empresa (Incrementos o disminuciones).
        Por regla general como mínimo deberá haber 1 socio en el RETA, salvo casos especiales.
      En los casos en que los socios no tengan obligación de estar en el RETA de la Seg. Social. Habrá que poner que la cuota es 0, NO que el nº de socios sea 0</t>
        </r>
      </text>
    </comment>
    <comment ref="A17" authorId="2" shapeId="0" xr:uid="{00000000-0006-0000-1100-000007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22" authorId="2" shapeId="0" xr:uid="{00000000-0006-0000-1100-000008000000}">
      <text>
        <r>
          <rPr>
            <sz val="8"/>
            <color indexed="81"/>
            <rFont val="Tahoma"/>
            <family val="2"/>
          </rPr>
          <t xml:space="preserve">        Salvo que se especifique otra cosa, se supone que la estacionalidad en la presencia de socios en el negocio es la misma del año anterior.</t>
        </r>
      </text>
    </comment>
    <comment ref="A24" authorId="2" shapeId="0" xr:uid="{00000000-0006-0000-1100-000009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27" authorId="2" shapeId="0" xr:uid="{00000000-0006-0000-1100-00000A000000}">
      <text>
        <r>
          <rPr>
            <sz val="8"/>
            <color indexed="81"/>
            <rFont val="Tahoma"/>
            <family val="2"/>
          </rPr>
          <t xml:space="preserve">        VARIACIONES en el nº de socios dados de alta en la empresa (Incrementos o disminuciones).
        Por regla general como mínimo deberá haber 1 socio en el RETA, salvo casos especiales.
      En los casos en que los socios no tengan obligación de estar en el RETA de la Seg. Social. Habrá que poner que la cuota es 0, NO que el nº de socios sea 0</t>
        </r>
      </text>
    </comment>
    <comment ref="A28" authorId="2" shapeId="0" xr:uid="{00000000-0006-0000-1100-00000B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33" authorId="2" shapeId="0" xr:uid="{00000000-0006-0000-1100-00000C000000}">
      <text>
        <r>
          <rPr>
            <sz val="8"/>
            <color indexed="81"/>
            <rFont val="Tahoma"/>
            <family val="2"/>
          </rPr>
          <t xml:space="preserve">
        Salvo que se especifique otra cosa, se supone que la estacionalidad en la presencia de socios en el negocio es la misma del año anterior.</t>
        </r>
      </text>
    </comment>
    <comment ref="A35" authorId="2" shapeId="0" xr:uid="{00000000-0006-0000-1100-00000D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38" authorId="2" shapeId="0" xr:uid="{00000000-0006-0000-1100-00000E000000}">
      <text>
        <r>
          <rPr>
            <sz val="8"/>
            <color indexed="81"/>
            <rFont val="Tahoma"/>
            <family val="2"/>
          </rPr>
          <t xml:space="preserve">
        VARIACIONES en el nº de socios dados de alta en la empresa (Incrementos o disminuciones).
        Por regla general como mínimo deberá haber 1 socio en el RETA, salvo casos especiales.
      En los casos en que los socios no tengan obligación de estar en el RETA de la Seg. Social. Habrá que poner que la cuota es 0, NO que el nº de socios sea 0</t>
        </r>
      </text>
    </comment>
    <comment ref="A39" authorId="2" shapeId="0" xr:uid="{00000000-0006-0000-1100-00000F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44" authorId="2" shapeId="0" xr:uid="{00000000-0006-0000-1100-000010000000}">
      <text>
        <r>
          <rPr>
            <sz val="8"/>
            <color indexed="81"/>
            <rFont val="Tahoma"/>
            <family val="2"/>
          </rPr>
          <t xml:space="preserve">
        Salvo que se especifique otra cosa, se supone que la estacionalidad en la presencia de socios en el negocio es la misma del año anterior.</t>
        </r>
      </text>
    </comment>
    <comment ref="A46" authorId="2" shapeId="0" xr:uid="{00000000-0006-0000-1100-000011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49" authorId="2" shapeId="0" xr:uid="{00000000-0006-0000-1100-000012000000}">
      <text>
        <r>
          <rPr>
            <sz val="8"/>
            <color indexed="81"/>
            <rFont val="Tahoma"/>
            <family val="2"/>
          </rPr>
          <t xml:space="preserve">
        VARIACIONES en el nº de socios dados de alta en la empresa (Incrementos o disminuciones).
        Por regla general como mínimo deberá haber 1 socio en el RETA, salvo casos especiales.
      En los casos en que los socios no tengan obligación de estar en el RETA de la Seg. Social. Habrá que poner que la cuota es 0, NO que el nº de socios sea 0</t>
        </r>
      </text>
    </comment>
    <comment ref="A50" authorId="2" shapeId="0" xr:uid="{00000000-0006-0000-1100-000013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55" authorId="2" shapeId="0" xr:uid="{00000000-0006-0000-1100-000014000000}">
      <text>
        <r>
          <rPr>
            <sz val="8"/>
            <color indexed="81"/>
            <rFont val="Tahoma"/>
            <family val="2"/>
          </rPr>
          <t xml:space="preserve">        Salvo que se especifique otra cosa, se supone que la estacionalidad en la presencia de socios en el negocio es la misma del año anterior.</t>
        </r>
      </text>
    </comment>
    <comment ref="A57" authorId="2" shapeId="0" xr:uid="{00000000-0006-0000-1100-000015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 ref="A60" authorId="2" shapeId="0" xr:uid="{00000000-0006-0000-1100-000016000000}">
      <text>
        <r>
          <rPr>
            <sz val="8"/>
            <color indexed="81"/>
            <rFont val="Tahoma"/>
            <family val="2"/>
          </rPr>
          <t xml:space="preserve">
        VARIACIONES en el nº de socios dados de alta en la empresa (Incrementos o disminuciones).
        Por regla general como mínimo deberá haber 1 socio en el RETA, salvo casos especiales.
      En los casos en que los socios no tengan obligación de estar en el RETA de la Seg. Social. Habrá que poner que la cuota es 0, NO que el nº de socios sea 0</t>
        </r>
      </text>
    </comment>
    <comment ref="A61" authorId="2" shapeId="0" xr:uid="{00000000-0006-0000-1100-000017000000}">
      <text>
        <r>
          <rPr>
            <sz val="8"/>
            <color indexed="81"/>
            <rFont val="Tahoma"/>
            <family val="2"/>
          </rPr>
          <t xml:space="preserve">
   VARIACIONES de plantilla. (incrementos o disminuciones).
     Usando esta tabla se puede representar la estacionalidad en la contratación laboral para negocios de temporada.
Se supone que los trabajadores incorporados permanecen en la plantilla indefinidamente, o hasta el mes en que se produzca la disminución.</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Homologacion</author>
    <author>Miguel Martínez</author>
    <author>Miguel</author>
    <author>WinuE</author>
    <author>Abderraman 6.327</author>
  </authors>
  <commentList>
    <comment ref="A9" authorId="0" shapeId="0" xr:uid="{00000000-0006-0000-1200-000001000000}">
      <text>
        <r>
          <rPr>
            <b/>
            <sz val="8"/>
            <color indexed="81"/>
            <rFont val="Tahoma"/>
            <family val="2"/>
          </rPr>
          <t>Por ejemplo la cuota de módulos u otras.</t>
        </r>
        <r>
          <rPr>
            <sz val="8"/>
            <color indexed="81"/>
            <rFont val="Tahoma"/>
            <family val="2"/>
          </rPr>
          <t xml:space="preserve">
</t>
        </r>
      </text>
    </comment>
    <comment ref="B9" authorId="1" shapeId="0" xr:uid="{00000000-0006-0000-1200-000002000000}">
      <text>
        <r>
          <rPr>
            <sz val="8"/>
            <color indexed="81"/>
            <rFont val="Tahoma"/>
            <family val="2"/>
          </rPr>
          <t xml:space="preserve">Colocar estos gastos en los meses correspondientes. SOLO en el AÑO 0
</t>
        </r>
      </text>
    </comment>
    <comment ref="A10" authorId="2" shapeId="0" xr:uid="{00000000-0006-0000-1200-000003000000}">
      <text>
        <r>
          <rPr>
            <sz val="10"/>
            <color indexed="81"/>
            <rFont val="Tahoma"/>
            <family val="2"/>
          </rPr>
          <t xml:space="preserve">Colocar los importes en los meses correspondientes.
</t>
        </r>
      </text>
    </comment>
    <comment ref="B10" authorId="1" shapeId="0" xr:uid="{00000000-0006-0000-1200-000004000000}">
      <text>
        <r>
          <rPr>
            <sz val="8"/>
            <color indexed="81"/>
            <rFont val="Tahoma"/>
            <family val="2"/>
          </rPr>
          <t xml:space="preserve">Colocar estos gastos en los meses correspondientes.
</t>
        </r>
      </text>
    </comment>
    <comment ref="B13" authorId="1" shapeId="0" xr:uid="{00000000-0006-0000-1200-000005000000}">
      <text>
        <r>
          <rPr>
            <sz val="8"/>
            <color indexed="81"/>
            <rFont val="Tahoma"/>
            <family val="2"/>
          </rPr>
          <t xml:space="preserve">Colocar estos gastos en los meses correspondientes. SOLO en el AÑO 0
</t>
        </r>
      </text>
    </comment>
    <comment ref="B17" authorId="1" shapeId="0" xr:uid="{00000000-0006-0000-1200-000006000000}">
      <text>
        <r>
          <rPr>
            <sz val="8"/>
            <color indexed="81"/>
            <rFont val="Tahoma"/>
            <family val="2"/>
          </rPr>
          <t xml:space="preserve">Colocar estos gastos en los meses correspondientes. SOLO en el AÑO 0
</t>
        </r>
      </text>
    </comment>
    <comment ref="A20" authorId="2" shapeId="0" xr:uid="{00000000-0006-0000-1200-000007000000}">
      <text>
        <r>
          <rPr>
            <sz val="10"/>
            <color indexed="81"/>
            <rFont val="Tahoma"/>
            <family val="2"/>
          </rPr>
          <t xml:space="preserve">Colocar los importes en los meses correspondientes.
</t>
        </r>
      </text>
    </comment>
    <comment ref="B20" authorId="1" shapeId="0" xr:uid="{00000000-0006-0000-1200-000008000000}">
      <text>
        <r>
          <rPr>
            <sz val="8"/>
            <color indexed="81"/>
            <rFont val="Tahoma"/>
            <family val="2"/>
          </rPr>
          <t xml:space="preserve">Colocar estos gastos en los meses correspondientes.
</t>
        </r>
      </text>
    </comment>
    <comment ref="B26" authorId="3" shapeId="0" xr:uid="{00000000-0006-0000-1200-000009000000}">
      <text>
        <r>
          <rPr>
            <sz val="10"/>
            <color indexed="81"/>
            <rFont val="Tahoma"/>
            <family val="2"/>
          </rPr>
          <t xml:space="preserve"> Por defecto es el 10% de los demás gastos fijos, pero puede modificarse por cualquier otra cantidad.
</t>
        </r>
      </text>
    </comment>
    <comment ref="C30" authorId="4" shapeId="0" xr:uid="{00000000-0006-0000-1200-00000A000000}">
      <text>
        <r>
          <rPr>
            <b/>
            <sz val="10"/>
            <color indexed="81"/>
            <rFont val="Tahoma"/>
            <family val="2"/>
          </rPr>
          <t>MMP:</t>
        </r>
        <r>
          <rPr>
            <sz val="10"/>
            <color indexed="81"/>
            <rFont val="Tahoma"/>
            <family val="2"/>
          </rPr>
          <t xml:space="preserve">
    Se supone que los meses iniciales sin alquiler son debidos a la inversión en la reforma del local.
    Contablemente se imputa el gasto en el mes en que se produzca (alquiler) pero en el balance inicial en el pasivo aparece el importe de los alquileres que se ahorrarán en el pasivo dentro de Otros acreedores C.P. y los alquileres devengados y no pagados se van detrayendo de esta partida.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11" authorId="0" shapeId="0" xr:uid="{00000000-0006-0000-1300-000001000000}">
      <text>
        <r>
          <rPr>
            <sz val="10"/>
            <color indexed="81"/>
            <rFont val="Tahoma"/>
            <family val="2"/>
          </rPr>
          <t>La columna de datos se puede usar cuando los precios no tienen estacionalidad y son los mismos para todos los meses del año.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11" authorId="0" shapeId="0" xr:uid="{00000000-0006-0000-1400-000001000000}">
      <text>
        <r>
          <rPr>
            <sz val="10"/>
            <color indexed="81"/>
            <rFont val="Tahoma"/>
            <family val="2"/>
          </rPr>
          <t>La columna de datos se puede usar cuando los precios no tienen estacionalidad y son los mismos para todos los meses del año.</t>
        </r>
      </text>
    </comment>
    <comment ref="C11" authorId="0" shapeId="0" xr:uid="{00000000-0006-0000-1400-000002000000}">
      <text>
        <r>
          <rPr>
            <b/>
            <sz val="10"/>
            <color indexed="81"/>
            <rFont val="Tahoma"/>
            <family val="2"/>
          </rPr>
          <t>Incremento interanual.</t>
        </r>
        <r>
          <rPr>
            <sz val="10"/>
            <color indexed="81"/>
            <rFont val="Tahoma"/>
            <family val="2"/>
          </rPr>
          <t xml:space="preserve">
Cada % se aplica sobre los costes variables de cada producto o familia del año anterior. SOBRE LOS PRECIOS DE COSTE VARIABLE.
Los incrementos interanuales de Precios de Venta están en la hoja </t>
        </r>
        <r>
          <rPr>
            <b/>
            <sz val="10"/>
            <color indexed="81"/>
            <rFont val="Tahoma"/>
            <family val="2"/>
          </rPr>
          <t>Precios de Venta</t>
        </r>
        <r>
          <rPr>
            <sz val="10"/>
            <color indexed="81"/>
            <rFont val="Tahoma"/>
            <family val="2"/>
          </rPr>
          <t xml:space="preserve">. Los incrementos de unidades vendidas se encentran en la hojas de previsión de ventas </t>
        </r>
        <r>
          <rPr>
            <b/>
            <sz val="10"/>
            <color indexed="81"/>
            <rFont val="Tahoma"/>
            <family val="2"/>
          </rPr>
          <t xml:space="preserve">Prev. Ventas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20" authorId="0" shapeId="0" xr:uid="{00000000-0006-0000-1600-000001000000}">
      <text>
        <r>
          <rPr>
            <sz val="8"/>
            <color indexed="81"/>
            <rFont val="Tahoma"/>
            <family val="2"/>
          </rPr>
          <t xml:space="preserve">No puede haber pagos de contado a proveedores pendientes, como poco a 30 días.
</t>
        </r>
      </text>
    </comment>
    <comment ref="B67" authorId="0" shapeId="0" xr:uid="{00000000-0006-0000-1600-000002000000}">
      <text>
        <r>
          <rPr>
            <sz val="8"/>
            <color indexed="81"/>
            <rFont val="Tahoma"/>
            <family val="2"/>
          </rPr>
          <t xml:space="preserve">No puede haber pagos de contado a proveedores pendientes, como poco a 30 días.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A1" authorId="0" shapeId="0" xr:uid="{00000000-0006-0000-1700-000001000000}">
      <text>
        <r>
          <rPr>
            <b/>
            <sz val="8"/>
            <color indexed="81"/>
            <rFont val="Tahoma"/>
            <family val="2"/>
          </rPr>
          <t>Miguel:</t>
        </r>
        <r>
          <rPr>
            <sz val="8"/>
            <color indexed="81"/>
            <rFont val="Tahoma"/>
            <family val="2"/>
          </rPr>
          <t xml:space="preserve">
Todavía no desarrollada</t>
        </r>
      </text>
    </comment>
    <comment ref="M22" authorId="0" shapeId="0" xr:uid="{00000000-0006-0000-1700-000002000000}">
      <text>
        <r>
          <rPr>
            <b/>
            <sz val="10"/>
            <color indexed="81"/>
            <rFont val="Tahoma"/>
            <family val="2"/>
          </rPr>
          <t>Miguel:</t>
        </r>
        <r>
          <rPr>
            <sz val="10"/>
            <color indexed="81"/>
            <rFont val="Tahoma"/>
            <family val="2"/>
          </rPr>
          <t xml:space="preserve">
Si la liquidación del Imp. De Sociedades del año 0 que se presentó en julio del año 1, resultara negativa (exceso de pagos a cuenta), Hacienda devolvería el exceso unos meses más tarde, por ejemplo en diciembre).</t>
        </r>
      </text>
    </comment>
    <comment ref="M33" authorId="0" shapeId="0" xr:uid="{00000000-0006-0000-1700-000003000000}">
      <text>
        <r>
          <rPr>
            <b/>
            <sz val="8"/>
            <color indexed="81"/>
            <rFont val="Tahoma"/>
            <family val="2"/>
          </rPr>
          <t>Miguel:</t>
        </r>
        <r>
          <rPr>
            <sz val="8"/>
            <color indexed="81"/>
            <rFont val="Tahoma"/>
            <family val="2"/>
          </rPr>
          <t xml:space="preserve">
Si la liquidación del Imp. De Sociedades del año 1 que se presentó en julio del año 2, resultara negativa (exceso de pagos a cuenta), Hacienda devolvería el exceso unos meses más tarde, por ejemplo en diciembre).</t>
        </r>
      </text>
    </comment>
    <comment ref="M44" authorId="0" shapeId="0" xr:uid="{00000000-0006-0000-1700-000004000000}">
      <text>
        <r>
          <rPr>
            <b/>
            <sz val="8"/>
            <color indexed="81"/>
            <rFont val="Tahoma"/>
            <family val="2"/>
          </rPr>
          <t>Miguel:</t>
        </r>
        <r>
          <rPr>
            <sz val="8"/>
            <color indexed="81"/>
            <rFont val="Tahoma"/>
            <family val="2"/>
          </rPr>
          <t xml:space="preserve">
Si la liquidación del Imp. De Sociedades del año 1 que se presentó en julio del año 2, resultara negativa (exceso de pagos a cuenta), Hacienda devolvería el exceso unos meses más tarde, por ejemplo en diciembre).</t>
        </r>
      </text>
    </comment>
    <comment ref="M55" authorId="0" shapeId="0" xr:uid="{00000000-0006-0000-1700-000005000000}">
      <text>
        <r>
          <rPr>
            <b/>
            <sz val="8"/>
            <color indexed="81"/>
            <rFont val="Tahoma"/>
            <family val="2"/>
          </rPr>
          <t>Miguel:</t>
        </r>
        <r>
          <rPr>
            <sz val="8"/>
            <color indexed="81"/>
            <rFont val="Tahoma"/>
            <family val="2"/>
          </rPr>
          <t xml:space="preserve">
Si la liquidación del Imp. De Sociedades del año 1 que se presentó en julio del año 2, resultara negativa (exceso de pagos a cuenta), Hacienda devolvería el exceso unos meses más tarde, por ejemplo en diciembre).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B14" authorId="0" shapeId="0" xr:uid="{00000000-0006-0000-2C00-000001000000}">
      <text>
        <r>
          <rPr>
            <sz val="8"/>
            <color indexed="81"/>
            <rFont val="Tahoma"/>
            <family val="2"/>
          </rPr>
          <t xml:space="preserve">El primer ejercicio (Año 0) no se cierra hasta junio del año 1, por lo que no hay ingresos a cuenta hasta el 2P del 2º año o Año 1
</t>
        </r>
      </text>
    </comment>
    <comment ref="D14" authorId="0" shapeId="0" xr:uid="{00000000-0006-0000-2C00-000002000000}">
      <text>
        <r>
          <rPr>
            <sz val="8"/>
            <color indexed="81"/>
            <rFont val="Tahoma"/>
            <family val="2"/>
          </rPr>
          <t xml:space="preserve">El primer ejercicio (Año 0) no se cierra hasta junio del año 1, por lo que no hay ingresos a cuenta hasta el 2P del 2º año o Año 1
</t>
        </r>
      </text>
    </comment>
    <comment ref="B15" authorId="0" shapeId="0" xr:uid="{00000000-0006-0000-2C00-000003000000}">
      <text>
        <r>
          <rPr>
            <sz val="8"/>
            <color indexed="81"/>
            <rFont val="Tahoma"/>
            <family val="2"/>
          </rPr>
          <t xml:space="preserve">El primer ejercicio (Año 0) no se cierra hasta junio del año 1, por lo que no hay ingresos a cuenta hasta el 2P del 2º año o Año 1
</t>
        </r>
      </text>
    </comment>
    <comment ref="B16" authorId="0" shapeId="0" xr:uid="{00000000-0006-0000-2C00-000004000000}">
      <text>
        <r>
          <rPr>
            <sz val="8"/>
            <color indexed="81"/>
            <rFont val="Tahoma"/>
            <family val="2"/>
          </rPr>
          <t xml:space="preserve">El primer ejercicio (Año 0) no se cierra hasta junio del año 1, por lo que no hay ingresos a cuenta hasta el 2P del 2º año o Año 1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A1" authorId="0" shapeId="0" xr:uid="{00000000-0006-0000-2D00-000001000000}">
      <text>
        <r>
          <rPr>
            <b/>
            <sz val="10"/>
            <color indexed="81"/>
            <rFont val="Tahoma"/>
            <family val="2"/>
          </rPr>
          <t>Miguel:</t>
        </r>
        <r>
          <rPr>
            <sz val="10"/>
            <color indexed="81"/>
            <rFont val="Tahoma"/>
            <family val="2"/>
          </rPr>
          <t xml:space="preserve">
SOLO Para Profesionales y Empresarios Individuales, Sociedades Civiles y Comunidades de Bienes.
NO Para Cooperativas, Sociedades Limitadas o Anónimas.</t>
        </r>
      </text>
    </comment>
    <comment ref="B15" authorId="0" shapeId="0" xr:uid="{00000000-0006-0000-2D00-000004000000}">
      <text>
        <r>
          <rPr>
            <b/>
            <sz val="8"/>
            <color indexed="81"/>
            <rFont val="Tahoma"/>
            <family val="2"/>
          </rPr>
          <t>Miguel:</t>
        </r>
        <r>
          <rPr>
            <sz val="8"/>
            <color indexed="81"/>
            <rFont val="Tahoma"/>
            <family val="2"/>
          </rPr>
          <t xml:space="preserve">
Los Sueldos de los socios no son gastos deducibles.</t>
        </r>
      </text>
    </comment>
    <comment ref="B24" authorId="0" shapeId="0" xr:uid="{00000000-0006-0000-2D00-000005000000}">
      <text>
        <r>
          <rPr>
            <b/>
            <sz val="10"/>
            <color indexed="81"/>
            <rFont val="Tahoma"/>
            <family val="2"/>
          </rPr>
          <t>Miguel:</t>
        </r>
        <r>
          <rPr>
            <sz val="10"/>
            <color indexed="81"/>
            <rFont val="Tahoma"/>
            <family val="2"/>
          </rPr>
          <t xml:space="preserve">
Solo en el caso de profesionales
</t>
        </r>
      </text>
    </comment>
    <comment ref="B29" authorId="0" shapeId="0" xr:uid="{00000000-0006-0000-2D00-000006000000}">
      <text>
        <r>
          <rPr>
            <sz val="11"/>
            <color indexed="81"/>
            <rFont val="Tahoma"/>
            <family val="2"/>
          </rPr>
          <t>Esta cantidad también depende de condiciones personales del sujeto pasivo y de otros factores como por ejemplo si se declara conjuntamente con el cónyege o no, entre otros.
Aún así, se ha considerado. Por defecto 3000€ es el mínimo posible para una sola persona.</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A1" authorId="0" shapeId="0" xr:uid="{00000000-0006-0000-2E00-000001000000}">
      <text>
        <r>
          <rPr>
            <b/>
            <sz val="10"/>
            <color indexed="81"/>
            <rFont val="Tahoma"/>
            <family val="2"/>
          </rPr>
          <t>Miguel:</t>
        </r>
        <r>
          <rPr>
            <sz val="10"/>
            <color indexed="81"/>
            <rFont val="Tahoma"/>
            <family val="2"/>
          </rPr>
          <t xml:space="preserve">
SOLO Para Profesionales y Empresarios Individuales, Sociedades Civiles y Comunidades de Bienes.
NO Para Cooperativas, Sociedades Limitadas o Anónimas.</t>
        </r>
      </text>
    </comment>
    <comment ref="A7" authorId="0" shapeId="0" xr:uid="{00000000-0006-0000-2E00-000002000000}">
      <text>
        <r>
          <rPr>
            <b/>
            <sz val="11"/>
            <color indexed="81"/>
            <rFont val="Tahoma"/>
            <family val="2"/>
          </rPr>
          <t>Miguel:</t>
        </r>
        <r>
          <rPr>
            <sz val="11"/>
            <color indexed="81"/>
            <rFont val="Tahoma"/>
            <family val="2"/>
          </rPr>
          <t xml:space="preserve">
Cantidades a descontar y a ingresar por los clientes en sus modelos 110 correspondientes.</t>
        </r>
      </text>
    </comment>
    <comment ref="A10" authorId="0" shapeId="0" xr:uid="{00000000-0006-0000-2E00-000003000000}">
      <text>
        <r>
          <rPr>
            <b/>
            <sz val="8"/>
            <color indexed="81"/>
            <rFont val="Tahoma"/>
            <family val="2"/>
          </rPr>
          <t>Miguel:</t>
        </r>
        <r>
          <rPr>
            <sz val="8"/>
            <color indexed="81"/>
            <rFont val="Tahoma"/>
            <family val="2"/>
          </rPr>
          <t xml:space="preserve">
Gastos Variables+Otros Gastos Fijos+Sueldos y Seguridad Social, EXCEPTO Sueldos de los socios.</t>
        </r>
      </text>
    </comment>
    <comment ref="N13" authorId="0" shapeId="0" xr:uid="{00000000-0006-0000-2E00-000004000000}">
      <text>
        <r>
          <rPr>
            <b/>
            <sz val="8"/>
            <color indexed="81"/>
            <rFont val="Tahoma"/>
            <family val="2"/>
          </rPr>
          <t>Miguel:</t>
        </r>
        <r>
          <rPr>
            <sz val="8"/>
            <color indexed="81"/>
            <rFont val="Tahoma"/>
            <family val="2"/>
          </rPr>
          <t xml:space="preserve">
Pendiente para enero del año siguiente</t>
        </r>
      </text>
    </comment>
    <comment ref="A16" authorId="0" shapeId="0" xr:uid="{00000000-0006-0000-2E00-000005000000}">
      <text>
        <r>
          <rPr>
            <b/>
            <sz val="11"/>
            <color indexed="81"/>
            <rFont val="Tahoma"/>
            <family val="2"/>
          </rPr>
          <t>Miguel:</t>
        </r>
        <r>
          <rPr>
            <sz val="11"/>
            <color indexed="81"/>
            <rFont val="Tahoma"/>
            <family val="2"/>
          </rPr>
          <t xml:space="preserve">
Cantidades a descontar y a ingresar por los clientes en sus modelos 110 correspondientes.</t>
        </r>
      </text>
    </comment>
    <comment ref="B22" authorId="0" shapeId="0" xr:uid="{00000000-0006-0000-2E00-000006000000}">
      <text>
        <r>
          <rPr>
            <b/>
            <sz val="8"/>
            <color indexed="81"/>
            <rFont val="Tahoma"/>
            <family val="2"/>
          </rPr>
          <t>Miguel:</t>
        </r>
        <r>
          <rPr>
            <sz val="8"/>
            <color indexed="81"/>
            <rFont val="Tahoma"/>
            <family val="2"/>
          </rPr>
          <t xml:space="preserve">
4T del año anterior</t>
        </r>
      </text>
    </comment>
    <comment ref="N22" authorId="0" shapeId="0" xr:uid="{00000000-0006-0000-2E00-000007000000}">
      <text>
        <r>
          <rPr>
            <b/>
            <sz val="8"/>
            <color indexed="81"/>
            <rFont val="Tahoma"/>
            <family val="2"/>
          </rPr>
          <t>Miguel:</t>
        </r>
        <r>
          <rPr>
            <sz val="8"/>
            <color indexed="81"/>
            <rFont val="Tahoma"/>
            <family val="2"/>
          </rPr>
          <t xml:space="preserve">
Pendiente para enero del año siguiente</t>
        </r>
      </text>
    </comment>
    <comment ref="A25" authorId="0" shapeId="0" xr:uid="{00000000-0006-0000-2E00-000008000000}">
      <text>
        <r>
          <rPr>
            <b/>
            <sz val="11"/>
            <color indexed="81"/>
            <rFont val="Tahoma"/>
            <family val="2"/>
          </rPr>
          <t>Miguel:</t>
        </r>
        <r>
          <rPr>
            <sz val="11"/>
            <color indexed="81"/>
            <rFont val="Tahoma"/>
            <family val="2"/>
          </rPr>
          <t xml:space="preserve">
Cantidades a descontar y a ingresar por los clientes en sus modelos 110 correspondientes.</t>
        </r>
      </text>
    </comment>
    <comment ref="B31" authorId="0" shapeId="0" xr:uid="{00000000-0006-0000-2E00-000009000000}">
      <text>
        <r>
          <rPr>
            <b/>
            <sz val="8"/>
            <color indexed="81"/>
            <rFont val="Tahoma"/>
            <family val="2"/>
          </rPr>
          <t>Miguel:</t>
        </r>
        <r>
          <rPr>
            <sz val="8"/>
            <color indexed="81"/>
            <rFont val="Tahoma"/>
            <family val="2"/>
          </rPr>
          <t xml:space="preserve">
4T del año anterior</t>
        </r>
      </text>
    </comment>
    <comment ref="N31" authorId="0" shapeId="0" xr:uid="{00000000-0006-0000-2E00-00000A000000}">
      <text>
        <r>
          <rPr>
            <b/>
            <sz val="8"/>
            <color indexed="81"/>
            <rFont val="Tahoma"/>
            <family val="2"/>
          </rPr>
          <t>Miguel:</t>
        </r>
        <r>
          <rPr>
            <sz val="8"/>
            <color indexed="81"/>
            <rFont val="Tahoma"/>
            <family val="2"/>
          </rPr>
          <t xml:space="preserve">
Pendiente para enero del año siguiente</t>
        </r>
      </text>
    </comment>
    <comment ref="A34" authorId="0" shapeId="0" xr:uid="{00000000-0006-0000-2E00-00000B000000}">
      <text>
        <r>
          <rPr>
            <b/>
            <sz val="11"/>
            <color indexed="81"/>
            <rFont val="Tahoma"/>
            <family val="2"/>
          </rPr>
          <t>Miguel:</t>
        </r>
        <r>
          <rPr>
            <sz val="11"/>
            <color indexed="81"/>
            <rFont val="Tahoma"/>
            <family val="2"/>
          </rPr>
          <t xml:space="preserve">
Cantidades a descontar y a ingresar por los clientes en sus modelos 110 correspondientes.</t>
        </r>
      </text>
    </comment>
    <comment ref="B40" authorId="0" shapeId="0" xr:uid="{00000000-0006-0000-2E00-00000C000000}">
      <text>
        <r>
          <rPr>
            <b/>
            <sz val="8"/>
            <color indexed="81"/>
            <rFont val="Tahoma"/>
            <family val="2"/>
          </rPr>
          <t>Miguel:</t>
        </r>
        <r>
          <rPr>
            <sz val="8"/>
            <color indexed="81"/>
            <rFont val="Tahoma"/>
            <family val="2"/>
          </rPr>
          <t xml:space="preserve">
4T del año anterior</t>
        </r>
      </text>
    </comment>
    <comment ref="N40" authorId="0" shapeId="0" xr:uid="{00000000-0006-0000-2E00-00000D000000}">
      <text>
        <r>
          <rPr>
            <b/>
            <sz val="8"/>
            <color indexed="81"/>
            <rFont val="Tahoma"/>
            <family val="2"/>
          </rPr>
          <t>Miguel:</t>
        </r>
        <r>
          <rPr>
            <sz val="8"/>
            <color indexed="81"/>
            <rFont val="Tahoma"/>
            <family val="2"/>
          </rPr>
          <t xml:space="preserve">
Pendiente para enero del año siguiente</t>
        </r>
      </text>
    </comment>
    <comment ref="A43" authorId="0" shapeId="0" xr:uid="{00000000-0006-0000-2E00-00000E000000}">
      <text>
        <r>
          <rPr>
            <b/>
            <sz val="11"/>
            <color indexed="81"/>
            <rFont val="Tahoma"/>
            <family val="2"/>
          </rPr>
          <t>Miguel:</t>
        </r>
        <r>
          <rPr>
            <sz val="11"/>
            <color indexed="81"/>
            <rFont val="Tahoma"/>
            <family val="2"/>
          </rPr>
          <t xml:space="preserve">
Cantidades a descontar y a ingresar por los clientes en sus modelos 110 correspondientes.</t>
        </r>
      </text>
    </comment>
    <comment ref="B49" authorId="0" shapeId="0" xr:uid="{00000000-0006-0000-2E00-00000F000000}">
      <text>
        <r>
          <rPr>
            <b/>
            <sz val="8"/>
            <color indexed="81"/>
            <rFont val="Tahoma"/>
            <family val="2"/>
          </rPr>
          <t>Miguel:</t>
        </r>
        <r>
          <rPr>
            <sz val="8"/>
            <color indexed="81"/>
            <rFont val="Tahoma"/>
            <family val="2"/>
          </rPr>
          <t xml:space="preserve">
4T del año anterior</t>
        </r>
      </text>
    </comment>
    <comment ref="N49" authorId="0" shapeId="0" xr:uid="{00000000-0006-0000-2E00-000010000000}">
      <text>
        <r>
          <rPr>
            <b/>
            <sz val="8"/>
            <color indexed="81"/>
            <rFont val="Tahoma"/>
            <family val="2"/>
          </rPr>
          <t>Miguel:</t>
        </r>
        <r>
          <rPr>
            <sz val="8"/>
            <color indexed="81"/>
            <rFont val="Tahoma"/>
            <family val="2"/>
          </rPr>
          <t xml:space="preserve">
Pendiente para enero del año siguiente</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Miguel Martínez</author>
    <author>Miguel</author>
  </authors>
  <commentList>
    <comment ref="C9" authorId="0" shapeId="0" xr:uid="{00000000-0006-0000-3400-000001000000}">
      <text>
        <r>
          <rPr>
            <b/>
            <sz val="8"/>
            <color indexed="81"/>
            <rFont val="Tahoma"/>
            <family val="2"/>
          </rPr>
          <t>Miguel Martínez:</t>
        </r>
        <r>
          <rPr>
            <sz val="8"/>
            <color indexed="81"/>
            <rFont val="Tahoma"/>
            <family val="2"/>
          </rPr>
          <t xml:space="preserve">
El número de socios y de trabajadores se modifica en la hoja de RR HH (NO Aquí)</t>
        </r>
      </text>
    </comment>
    <comment ref="B12" authorId="1" shapeId="0" xr:uid="{00000000-0006-0000-3400-000002000000}">
      <text>
        <r>
          <rPr>
            <sz val="8"/>
            <color indexed="81"/>
            <rFont val="Tahoma"/>
            <family val="2"/>
          </rPr>
          <t xml:space="preserve">% de la paga extra sobre el salario normal bruto.
</t>
        </r>
      </text>
    </comment>
    <comment ref="C14" authorId="0" shapeId="0" xr:uid="{00000000-0006-0000-3400-000003000000}">
      <text>
        <r>
          <rPr>
            <b/>
            <sz val="8"/>
            <color indexed="81"/>
            <rFont val="Tahoma"/>
            <family val="2"/>
          </rPr>
          <t>Miguel Martínez:</t>
        </r>
        <r>
          <rPr>
            <sz val="8"/>
            <color indexed="81"/>
            <rFont val="Tahoma"/>
            <family val="2"/>
          </rPr>
          <t xml:space="preserve">
El número de socios y de trabajadores se modifica en la hoja de RR HH (NO Aquí)</t>
        </r>
      </text>
    </comment>
    <comment ref="B16" authorId="1" shapeId="0" xr:uid="{00000000-0006-0000-3400-000004000000}">
      <text>
        <r>
          <rPr>
            <sz val="8"/>
            <color indexed="81"/>
            <rFont val="Tahoma"/>
            <family val="2"/>
          </rPr>
          <t xml:space="preserve">% de la paga extra sobre el salario normal bruto.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Miguel Martínez</author>
    <author>Miguel</author>
  </authors>
  <commentList>
    <comment ref="A11" authorId="0" shapeId="0" xr:uid="{00000000-0006-0000-3900-000001000000}">
      <text>
        <r>
          <rPr>
            <b/>
            <sz val="8"/>
            <color indexed="81"/>
            <rFont val="Tahoma"/>
            <family val="2"/>
          </rPr>
          <t>Miguel Martínez:</t>
        </r>
        <r>
          <rPr>
            <sz val="8"/>
            <color indexed="81"/>
            <rFont val="Tahoma"/>
            <family val="2"/>
          </rPr>
          <t xml:space="preserve">
Coeficientes de prorrata trimestrales. Se aplican "a posteriori" sobre el soportado de los tres meses de ese mismo trimestre.</t>
        </r>
      </text>
    </comment>
    <comment ref="C22" authorId="1" shapeId="0" xr:uid="{00000000-0006-0000-3900-000002000000}">
      <text>
        <r>
          <rPr>
            <b/>
            <sz val="8"/>
            <color indexed="81"/>
            <rFont val="Tahoma"/>
            <family val="2"/>
          </rPr>
          <t>IVA de la inversión inicial</t>
        </r>
      </text>
    </comment>
    <comment ref="O26" authorId="1" shapeId="0" xr:uid="{00000000-0006-0000-3900-000003000000}">
      <text>
        <r>
          <rPr>
            <sz val="10"/>
            <color indexed="81"/>
            <rFont val="Tahoma"/>
            <family val="2"/>
          </rPr>
          <t>Pendiente 1T del siguiente año</t>
        </r>
        <r>
          <rPr>
            <sz val="8"/>
            <color indexed="81"/>
            <rFont val="Tahoma"/>
            <family val="2"/>
          </rPr>
          <t xml:space="preserve">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O26" authorId="0" shapeId="0" xr:uid="{00000000-0006-0000-3A00-000001000000}">
      <text>
        <r>
          <rPr>
            <sz val="10"/>
            <color indexed="81"/>
            <rFont val="Tahoma"/>
            <family val="2"/>
          </rPr>
          <t>Pendiente 1T del siguiente año</t>
        </r>
        <r>
          <rPr>
            <sz val="8"/>
            <color indexed="81"/>
            <rFont val="Tahoma"/>
            <family val="2"/>
          </rPr>
          <t xml:space="preserve">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A8" authorId="0" shapeId="0" xr:uid="{00000000-0006-0000-4000-000001000000}">
      <text>
        <r>
          <rPr>
            <sz val="12"/>
            <color indexed="81"/>
            <rFont val="Tahoma"/>
            <family val="2"/>
          </rPr>
          <t>Solo para empresas en régimen especial de empresas exportadoras.</t>
        </r>
        <r>
          <rPr>
            <sz val="8"/>
            <color indexed="81"/>
            <rFont val="Tahoma"/>
            <family val="2"/>
          </rPr>
          <t xml:space="preserve">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L7" authorId="0" shapeId="0" xr:uid="{00000000-0006-0000-4100-000001000000}">
      <text>
        <r>
          <rPr>
            <sz val="8"/>
            <color indexed="81"/>
            <rFont val="Tahoma"/>
            <family val="2"/>
          </rPr>
          <t xml:space="preserve">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C16" authorId="0" shapeId="0" xr:uid="{00000000-0006-0000-4700-000001000000}">
      <text>
        <r>
          <rPr>
            <b/>
            <sz val="8"/>
            <color indexed="81"/>
            <rFont val="Tahoma"/>
            <family val="2"/>
          </rPr>
          <t>Pendiente de incluir las existencias (compras distintas de costes variables)</t>
        </r>
        <r>
          <rPr>
            <sz val="8"/>
            <color indexed="81"/>
            <rFont val="Tahoma"/>
            <family val="2"/>
          </rPr>
          <t xml:space="preserve">
</t>
        </r>
      </text>
    </comment>
    <comment ref="C19" authorId="0" shapeId="0" xr:uid="{00000000-0006-0000-4700-000002000000}">
      <text>
        <r>
          <rPr>
            <b/>
            <sz val="8"/>
            <color indexed="81"/>
            <rFont val="Tahoma"/>
            <family val="2"/>
          </rPr>
          <t>Pendiente de incluir las existencias (compras distintas de costes variables)</t>
        </r>
        <r>
          <rPr>
            <sz val="8"/>
            <color indexed="81"/>
            <rFont val="Tahoma"/>
            <family val="2"/>
          </rPr>
          <t xml:space="preserve">
</t>
        </r>
      </text>
    </comment>
    <comment ref="C32" authorId="0" shapeId="0" xr:uid="{00000000-0006-0000-4700-000003000000}">
      <text>
        <r>
          <rPr>
            <b/>
            <sz val="8"/>
            <color indexed="81"/>
            <rFont val="Tahoma"/>
            <family val="2"/>
          </rPr>
          <t>No se tienen en cuenta los gastos financieros. Solo Fijos y amortizaciones.</t>
        </r>
        <r>
          <rPr>
            <sz val="8"/>
            <color indexed="81"/>
            <rFont val="Tahoma"/>
            <family val="2"/>
          </rPr>
          <t xml:space="preserve">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C16" authorId="0" shapeId="0" xr:uid="{00000000-0006-0000-4800-000001000000}">
      <text>
        <r>
          <rPr>
            <b/>
            <sz val="8"/>
            <color indexed="81"/>
            <rFont val="Tahoma"/>
            <family val="2"/>
          </rPr>
          <t>Pendiente de incluir las existencias (compras distintas de costes variables)</t>
        </r>
        <r>
          <rPr>
            <sz val="8"/>
            <color indexed="81"/>
            <rFont val="Tahoma"/>
            <family val="2"/>
          </rPr>
          <t xml:space="preserve">
</t>
        </r>
      </text>
    </comment>
    <comment ref="C19" authorId="0" shapeId="0" xr:uid="{00000000-0006-0000-4800-000002000000}">
      <text>
        <r>
          <rPr>
            <b/>
            <sz val="8"/>
            <color indexed="81"/>
            <rFont val="Tahoma"/>
            <family val="2"/>
          </rPr>
          <t>Pendiente de incluir las existencias (compras distintas de costes variables)</t>
        </r>
        <r>
          <rPr>
            <sz val="8"/>
            <color indexed="81"/>
            <rFont val="Tahoma"/>
            <family val="2"/>
          </rPr>
          <t xml:space="preserve">
</t>
        </r>
      </text>
    </comment>
    <comment ref="C32" authorId="0" shapeId="0" xr:uid="{00000000-0006-0000-4800-000003000000}">
      <text>
        <r>
          <rPr>
            <b/>
            <sz val="8"/>
            <color indexed="81"/>
            <rFont val="Tahoma"/>
            <family val="2"/>
          </rPr>
          <t>No se tienen en cuenta los gastos financieros. Solo Fijos y amortizaciones.</t>
        </r>
        <r>
          <rPr>
            <sz val="8"/>
            <color indexed="81"/>
            <rFont val="Tahoma"/>
            <family val="2"/>
          </rPr>
          <t xml:space="preserve">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C16" authorId="0" shapeId="0" xr:uid="{00000000-0006-0000-4900-000001000000}">
      <text>
        <r>
          <rPr>
            <b/>
            <sz val="8"/>
            <color indexed="81"/>
            <rFont val="Tahoma"/>
            <family val="2"/>
          </rPr>
          <t>Pendiente de incluir las existencias (compras distintas de costes variables)</t>
        </r>
        <r>
          <rPr>
            <sz val="8"/>
            <color indexed="81"/>
            <rFont val="Tahoma"/>
            <family val="2"/>
          </rPr>
          <t xml:space="preserve">
</t>
        </r>
      </text>
    </comment>
    <comment ref="C19" authorId="0" shapeId="0" xr:uid="{00000000-0006-0000-4900-000002000000}">
      <text>
        <r>
          <rPr>
            <b/>
            <sz val="8"/>
            <color indexed="81"/>
            <rFont val="Tahoma"/>
            <family val="2"/>
          </rPr>
          <t>Pendiente de incluir las existencias (compras distintas de costes variables)</t>
        </r>
        <r>
          <rPr>
            <sz val="8"/>
            <color indexed="81"/>
            <rFont val="Tahoma"/>
            <family val="2"/>
          </rPr>
          <t xml:space="preserve">
</t>
        </r>
      </text>
    </comment>
    <comment ref="C32" authorId="0" shapeId="0" xr:uid="{00000000-0006-0000-4900-000003000000}">
      <text>
        <r>
          <rPr>
            <b/>
            <sz val="8"/>
            <color indexed="81"/>
            <rFont val="Tahoma"/>
            <family val="2"/>
          </rPr>
          <t>No se tienen en cuenta los gastos financieros. Solo Fijos y amortizaciones.</t>
        </r>
        <r>
          <rPr>
            <sz val="8"/>
            <color indexed="81"/>
            <rFont val="Tahoma"/>
            <family val="2"/>
          </rPr>
          <t xml:space="preserve">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Miguel</author>
  </authors>
  <commentList>
    <comment ref="C49" authorId="0" shapeId="0" xr:uid="{00000000-0006-0000-4A00-000001000000}">
      <text>
        <r>
          <rPr>
            <b/>
            <sz val="8"/>
            <color indexed="81"/>
            <rFont val="Tahoma"/>
            <family val="2"/>
          </rPr>
          <t>No se tienen en cuenta los gastos financieros. Solo Fijos y amortizaciones.</t>
        </r>
        <r>
          <rPr>
            <sz val="8"/>
            <color indexed="81"/>
            <rFont val="Tahoma"/>
            <family val="2"/>
          </rPr>
          <t xml:space="preserve">
</t>
        </r>
      </text>
    </comment>
    <comment ref="F49" authorId="0" shapeId="0" xr:uid="{00000000-0006-0000-4A00-000002000000}">
      <text>
        <r>
          <rPr>
            <b/>
            <sz val="8"/>
            <color indexed="81"/>
            <rFont val="Tahoma"/>
            <family val="2"/>
          </rPr>
          <t>No se tienen en cuenta los gastos financieros. Solo Fijos y amortizaciones.</t>
        </r>
        <r>
          <rPr>
            <sz val="8"/>
            <color indexed="81"/>
            <rFont val="Tahoma"/>
            <family val="2"/>
          </rPr>
          <t xml:space="preserve">
</t>
        </r>
      </text>
    </comment>
    <comment ref="C50" authorId="0" shapeId="0" xr:uid="{00000000-0006-0000-4A00-000003000000}">
      <text>
        <r>
          <rPr>
            <b/>
            <sz val="8"/>
            <color indexed="81"/>
            <rFont val="Tahoma"/>
            <family val="2"/>
          </rPr>
          <t>No se tienen en cuenta los gastos financieros. Solo Fijos y amortizaciones.</t>
        </r>
        <r>
          <rPr>
            <sz val="8"/>
            <color indexed="81"/>
            <rFont val="Tahoma"/>
            <family val="2"/>
          </rPr>
          <t xml:space="preserve">
</t>
        </r>
      </text>
    </comment>
    <comment ref="F50" authorId="0" shapeId="0" xr:uid="{00000000-0006-0000-4A00-000004000000}">
      <text>
        <r>
          <rPr>
            <b/>
            <sz val="8"/>
            <color indexed="81"/>
            <rFont val="Tahoma"/>
            <family val="2"/>
          </rPr>
          <t>No se tienen en cuenta los gastos financieros. Solo Fijos y amortizaciones.</t>
        </r>
        <r>
          <rPr>
            <sz val="8"/>
            <color indexed="81"/>
            <rFont val="Tahoma"/>
            <family val="2"/>
          </rPr>
          <t xml:space="preserve">
</t>
        </r>
      </text>
    </comment>
  </commentList>
</comments>
</file>

<file path=xl/sharedStrings.xml><?xml version="1.0" encoding="utf-8"?>
<sst xmlns="http://schemas.openxmlformats.org/spreadsheetml/2006/main" count="2978" uniqueCount="1284">
  <si>
    <t>Intereses Cuenta Corriente</t>
  </si>
  <si>
    <t>Ingresos financieros</t>
  </si>
  <si>
    <t>Datos generales del Proyecto</t>
  </si>
  <si>
    <t>en especie</t>
  </si>
  <si>
    <t>Ptas.</t>
  </si>
  <si>
    <t>Impuesto de Sociedades</t>
  </si>
  <si>
    <t>Empresa exportadora:</t>
  </si>
  <si>
    <t>Devoluciones IVA</t>
  </si>
  <si>
    <t>Empresa exportadora</t>
  </si>
  <si>
    <t>Devoluciones de IVA</t>
  </si>
  <si>
    <t>Otros suministros (agua, gas, etc.)</t>
  </si>
  <si>
    <t xml:space="preserve">          RESUMEN VENTAS 5 AÑOS</t>
  </si>
  <si>
    <t xml:space="preserve">          PARÁMETROS PARA LA SIMULACIÓN</t>
  </si>
  <si>
    <t>PLAN ECONÓMICO FINANCIERO PREVISIONAL A 5 AÑOS</t>
  </si>
  <si>
    <t>Ventas previstas / Punto de equilibrio</t>
  </si>
  <si>
    <t>margen medio x (Ventas - Punto Muerto)</t>
  </si>
  <si>
    <t>ROE</t>
  </si>
  <si>
    <t>ROI</t>
  </si>
  <si>
    <t>Coef. Seguridad</t>
  </si>
  <si>
    <t>Plazo recuperación inversión</t>
  </si>
  <si>
    <t>Nombre de la empresa(proyecto):</t>
  </si>
  <si>
    <t>Puestos de trabajo</t>
  </si>
  <si>
    <t>Gastos de personal</t>
  </si>
  <si>
    <t>Trabajadores asalariados (nº trabaj.)</t>
  </si>
  <si>
    <t>Total Gastos de Personal</t>
  </si>
  <si>
    <t>Total Otros Gastos Fijos</t>
  </si>
  <si>
    <t>Nº medio de puestos de trabajo</t>
  </si>
  <si>
    <t>(Empleados + socios)</t>
  </si>
  <si>
    <t>Seg. Social Socios (R.E.T.A.)</t>
  </si>
  <si>
    <t>1 € =</t>
  </si>
  <si>
    <t>MONEDA :</t>
  </si>
  <si>
    <t>Incrementos de precios</t>
  </si>
  <si>
    <t>interanuales</t>
  </si>
  <si>
    <t>IPC para Gastos Fijos</t>
  </si>
  <si>
    <t>enero
(30 días)</t>
  </si>
  <si>
    <t>febrero
(60 días)</t>
  </si>
  <si>
    <t>marzo
(90 días)</t>
  </si>
  <si>
    <t>abril
(120 días)</t>
  </si>
  <si>
    <t>mayo
(150 días)</t>
  </si>
  <si>
    <t>junio
(180 días)</t>
  </si>
  <si>
    <t>Pagos a preveedores</t>
  </si>
  <si>
    <t>Documentación y suscripciones</t>
  </si>
  <si>
    <t>Tipo nominal</t>
  </si>
  <si>
    <t>Principal</t>
  </si>
  <si>
    <t>Nº total de pagos</t>
  </si>
  <si>
    <t>Tipo de cambio</t>
  </si>
  <si>
    <t>Euros</t>
  </si>
  <si>
    <t>Media</t>
  </si>
  <si>
    <t>nº trabajadores</t>
  </si>
  <si>
    <t>mes de inicio de actividad</t>
  </si>
  <si>
    <t>incremento
interanual</t>
  </si>
  <si>
    <t>Ventas (unidades)</t>
  </si>
  <si>
    <t>Ventas (Unidades)</t>
  </si>
  <si>
    <t xml:space="preserve">Aplicación de </t>
  </si>
  <si>
    <t>Beneficios:</t>
  </si>
  <si>
    <t>Tipo IVA
C.V.</t>
  </si>
  <si>
    <t>Gastos iniciales</t>
  </si>
  <si>
    <t>nº socios R.E.T.A.</t>
  </si>
  <si>
    <t>Altas y Bajas de personal</t>
  </si>
  <si>
    <t>Altas y bajas de trajadores</t>
  </si>
  <si>
    <t>Altas y bajas de socios en R.E.T.A.</t>
  </si>
  <si>
    <t>Plantilla por meses</t>
  </si>
  <si>
    <t>Recursos Humanos de la empresa</t>
  </si>
  <si>
    <t>anterior</t>
  </si>
  <si>
    <t>Cotizantes R.E.T.A.</t>
  </si>
  <si>
    <t>Datos de Evaluación</t>
  </si>
  <si>
    <t>Máximo dispuesto de póliza de crédito</t>
  </si>
  <si>
    <t>Descuadres</t>
  </si>
  <si>
    <t>PP. Y GG.</t>
  </si>
  <si>
    <t>F. Maniobra</t>
  </si>
  <si>
    <t>BALANCES</t>
  </si>
  <si>
    <t>Coef. Seg.</t>
  </si>
  <si>
    <t>Resultado</t>
  </si>
  <si>
    <t>Max. Rojo</t>
  </si>
  <si>
    <t>Liquidez</t>
  </si>
  <si>
    <t>Tipo hoja</t>
  </si>
  <si>
    <t>Auxiliar</t>
  </si>
  <si>
    <t>Resultados</t>
  </si>
  <si>
    <t>nº pagos</t>
  </si>
  <si>
    <t>I.R.P.F. Profesionales y Empresarios Individuales</t>
  </si>
  <si>
    <t>Impuesto Renta (I.R.P.F.)</t>
  </si>
  <si>
    <t>% Retención en Facturas</t>
  </si>
  <si>
    <t>% cuota IRPF (Ing-Gastos)</t>
  </si>
  <si>
    <t>Retenciones IRPF</t>
  </si>
  <si>
    <t>Gastos Deducibles</t>
  </si>
  <si>
    <t>Cuotas IRPF</t>
  </si>
  <si>
    <t>Liquidaciones Trimestrales</t>
  </si>
  <si>
    <t>Rendimientos del trabajo</t>
  </si>
  <si>
    <t>Costes Variables</t>
  </si>
  <si>
    <t>Costes de Personal</t>
  </si>
  <si>
    <t>Otros Gastos Fijos</t>
  </si>
  <si>
    <t>Gastos de Personal y Seg. Social</t>
  </si>
  <si>
    <t>Total Gastos Deducibles</t>
  </si>
  <si>
    <t>Base Imponible I.R.P.F.</t>
  </si>
  <si>
    <t>Retenciones y pagos a cuenta</t>
  </si>
  <si>
    <t>Retenciones a cuenta</t>
  </si>
  <si>
    <t>Total ventas (Ingresos Brutos)</t>
  </si>
  <si>
    <t>Dotación para amortizaciones</t>
  </si>
  <si>
    <t>Pagos a cuenta del Impuesto</t>
  </si>
  <si>
    <t>hasta</t>
  </si>
  <si>
    <t>estatal</t>
  </si>
  <si>
    <t>autonómico</t>
  </si>
  <si>
    <t>desde</t>
  </si>
  <si>
    <t>Nº de socios</t>
  </si>
  <si>
    <t>Base Imponible por socio</t>
  </si>
  <si>
    <t>Previsión cuota íntegra</t>
  </si>
  <si>
    <t>Previsión cuota diferencial</t>
  </si>
  <si>
    <t>Total Retenciones y Pagos a cuenta</t>
  </si>
  <si>
    <t>Ejercicios Fiscales</t>
  </si>
  <si>
    <t>Intereses de la cuenta corriente</t>
  </si>
  <si>
    <t>Tipo de interés del crédito</t>
  </si>
  <si>
    <t>Otros pagos (Imp. Soc./IRPF)</t>
  </si>
  <si>
    <t>Gastos - Ingresos Financieros</t>
  </si>
  <si>
    <t>Otros Costes fijos</t>
  </si>
  <si>
    <t xml:space="preserve">   H.P. Pagos y retenciones IRPF</t>
  </si>
  <si>
    <t xml:space="preserve">   H.P. acreedora Imp. Soc./IRPF</t>
  </si>
  <si>
    <t>Otros cobros atípicos</t>
  </si>
  <si>
    <t>Sueldos mensuales</t>
  </si>
  <si>
    <t>Pagas Extraordinarias</t>
  </si>
  <si>
    <t>Seguridad Social</t>
  </si>
  <si>
    <t>Cuota S.S. R.E.T.A.</t>
  </si>
  <si>
    <t>Coste de Alta/Baja socio</t>
  </si>
  <si>
    <t>Coste de Alta/Baja Empleado</t>
  </si>
  <si>
    <t>Costes de Altas y Bajas</t>
  </si>
  <si>
    <t>Remuneraciones Salariales y Costes Laborales</t>
  </si>
  <si>
    <t>salarios brutos</t>
  </si>
  <si>
    <t>Condiciones de Uso</t>
  </si>
  <si>
    <t>Resultado Negativo a devolver</t>
  </si>
  <si>
    <t>años</t>
  </si>
  <si>
    <t>Forma Jurídica:</t>
  </si>
  <si>
    <t>Plantilla Inicial de la empresa</t>
  </si>
  <si>
    <t>Fecha de realización del Plan:</t>
  </si>
  <si>
    <t>Impuesto de sociedades</t>
  </si>
  <si>
    <t>Otras ratios y parámetros</t>
  </si>
  <si>
    <t>Ventas anuales previstas</t>
  </si>
  <si>
    <t>Venta mensual media prevista</t>
  </si>
  <si>
    <t>P.E. Mensual medio</t>
  </si>
  <si>
    <t>Beneficio Bruto Estimado (B.A.I.I.)</t>
  </si>
  <si>
    <t>Acreedores L.P. Financieros</t>
  </si>
  <si>
    <t>Otros Acreedores L.P.</t>
  </si>
  <si>
    <t>Acreedores C.P. Financieros</t>
  </si>
  <si>
    <t>Crédito financiero C.P.</t>
  </si>
  <si>
    <t>Proveedores</t>
  </si>
  <si>
    <t>H.P. acreedora IVA</t>
  </si>
  <si>
    <t>H.P. Acreedora Imp. Soc./IRPF</t>
  </si>
  <si>
    <t>Otros Acreedores C.P.</t>
  </si>
  <si>
    <t>Cuadro de Amortizaciones Contables</t>
  </si>
  <si>
    <t>% amortización</t>
  </si>
  <si>
    <t>anual</t>
  </si>
  <si>
    <t>Forma Jurídica / Fiscal:</t>
  </si>
  <si>
    <t>I.R.P.F. De Profesionales y Autónomos</t>
  </si>
  <si>
    <t>Tipo marginal</t>
  </si>
  <si>
    <t>Importe</t>
  </si>
  <si>
    <t>Período</t>
  </si>
  <si>
    <t>Ingresos extraordinarios</t>
  </si>
  <si>
    <t>Total Ingresos imputables</t>
  </si>
  <si>
    <t>Precios
Venta</t>
  </si>
  <si>
    <t>Costes
Variables</t>
  </si>
  <si>
    <t>Márgenes y Costes Variables Unitarios</t>
  </si>
  <si>
    <t>Precios de Venta e incrementos interanuales</t>
  </si>
  <si>
    <t>Pendiente para el año siguiente:</t>
  </si>
  <si>
    <t xml:space="preserve">Fondo de Maniobra </t>
  </si>
  <si>
    <t>Punto Muerto o Punto de Equilibrio</t>
  </si>
  <si>
    <t>Previsiones de ventas</t>
  </si>
  <si>
    <t>Beneficio o pérdida brutos previstos (BAII)</t>
  </si>
  <si>
    <t>nº socios R.E.T.A. (altas y bajas)</t>
  </si>
  <si>
    <t>altas de trabajadores</t>
  </si>
  <si>
    <t>bajas de trabajadores</t>
  </si>
  <si>
    <t>Cotizantes R.E.T.A. (altas y bajas)</t>
  </si>
  <si>
    <t>Dev. Otros Acreedores LP</t>
  </si>
  <si>
    <t>Conexión a Internet (tarifa plana)</t>
  </si>
  <si>
    <t>Impresión de hojas</t>
  </si>
  <si>
    <t>Estudio 
Preliminar</t>
  </si>
  <si>
    <t>Proyecto
Final</t>
  </si>
  <si>
    <t>NO</t>
  </si>
  <si>
    <t>SÍ</t>
  </si>
  <si>
    <t>folios</t>
  </si>
  <si>
    <t>Cuadro de amortizaciones de inmovilizado</t>
  </si>
  <si>
    <t xml:space="preserve">meses sin alquiler al inicio por reformas     </t>
  </si>
  <si>
    <t>Máximo plazo cobro</t>
  </si>
  <si>
    <t>ITPyAJD</t>
  </si>
  <si>
    <t>Máximo plazo pago</t>
  </si>
  <si>
    <t>% s/ sueldo previsto en el transitorio</t>
  </si>
  <si>
    <t>Nombre de la Hoja de Cálculo</t>
  </si>
  <si>
    <t>nº</t>
  </si>
  <si>
    <t>% facturación con retención</t>
  </si>
  <si>
    <t>Tipos interés saldos deudores y acreedores</t>
  </si>
  <si>
    <t>Datos Generales de Evaluación del Proyecto</t>
  </si>
  <si>
    <t>No</t>
  </si>
  <si>
    <t xml:space="preserve">Inicio de actividad    </t>
  </si>
  <si>
    <t>Cuadros de alarmas</t>
  </si>
  <si>
    <t>Previsiones económicas</t>
  </si>
  <si>
    <t>Cuadro Resumen</t>
  </si>
  <si>
    <t>Flujo de caja del periodo  (Cash Flow)</t>
  </si>
  <si>
    <t>Flujos de caja previstos  (Cash Flow)</t>
  </si>
  <si>
    <t>(Incr. Tesorería + Decr. Póliza credito)</t>
  </si>
  <si>
    <t>Total Facturación</t>
  </si>
  <si>
    <t>Ventas sujetas a IVA</t>
  </si>
  <si>
    <t>Ventas exentas de IVA</t>
  </si>
  <si>
    <t>Coeficiente para la prorrata</t>
  </si>
  <si>
    <t>Total IVA soportado deducible</t>
  </si>
  <si>
    <t>Total IVA soportado</t>
  </si>
  <si>
    <t>Total IVA soportado a gasto</t>
  </si>
  <si>
    <t>materias primas</t>
  </si>
  <si>
    <t>mercaderías</t>
  </si>
  <si>
    <t>otros aprovisionamientos</t>
  </si>
  <si>
    <t>Gastos laborales</t>
  </si>
  <si>
    <t>Otros Gastos</t>
  </si>
  <si>
    <t>4. Apalancamiento Financiero</t>
  </si>
  <si>
    <t>5. Cobertura del Inmovilizado</t>
  </si>
  <si>
    <t>6. Plazo Medio de Cobro (días)</t>
  </si>
  <si>
    <t>7. Plazo Medio de Pago (días)</t>
  </si>
  <si>
    <t>8. Capacidad máxima de crecimiento</t>
  </si>
  <si>
    <t>RESULTADOS</t>
  </si>
  <si>
    <t xml:space="preserve">          PLANTILLA</t>
  </si>
  <si>
    <t xml:space="preserve">          ESTIMACIÓN DEL PUNTO DE EQUILIBRIO</t>
  </si>
  <si>
    <t xml:space="preserve">          RATIOS BÁSICOS</t>
  </si>
  <si>
    <t xml:space="preserve">          RESUMEN GASTOS FIJOS</t>
  </si>
  <si>
    <t xml:space="preserve">          INGRESOS Y GASTOS FINANCIEROS</t>
  </si>
  <si>
    <t xml:space="preserve">          CUADRO AMORTIZACIONES INMOVILIZADO</t>
  </si>
  <si>
    <t xml:space="preserve">          DATOS EVALUACIÓN</t>
  </si>
  <si>
    <t>PREVISIÓN DE INGRESOS</t>
  </si>
  <si>
    <t xml:space="preserve">          INCENTIVOS A LA INVERSIÓN</t>
  </si>
  <si>
    <t xml:space="preserve">          PREVISIÓN VENTAS 5 AÑOS</t>
  </si>
  <si>
    <t>PREVISIÓN DE GASTOS</t>
  </si>
  <si>
    <t xml:space="preserve">          RRHH</t>
  </si>
  <si>
    <t xml:space="preserve">          COSTES FIJOS</t>
  </si>
  <si>
    <t xml:space="preserve">          PRÉSTAMOS</t>
  </si>
  <si>
    <t xml:space="preserve">          LEASING</t>
  </si>
  <si>
    <t xml:space="preserve">          RENTING</t>
  </si>
  <si>
    <t>INICIO ACTIVIDAD</t>
  </si>
  <si>
    <t xml:space="preserve">          DATOS BÁSICOS</t>
  </si>
  <si>
    <t xml:space="preserve">          INVERSIONES INICIALES ACTIVOS CORRIENTES</t>
  </si>
  <si>
    <t xml:space="preserve">          INVERSIONES INICIALES ACTIVOS NO CORRIENTES</t>
  </si>
  <si>
    <t xml:space="preserve">          FINANCIACIÓN INICIAL</t>
  </si>
  <si>
    <t>(BAI/BAII  x  Activo Total/Recursos Propios)</t>
  </si>
  <si>
    <t>Mínimo Vital</t>
  </si>
  <si>
    <t>Resultado Neto</t>
  </si>
  <si>
    <t>Empr. Individual (Reg. General)</t>
  </si>
  <si>
    <t>Empr. Individual (Rec. Equiv.)</t>
  </si>
  <si>
    <t>Fundación</t>
  </si>
  <si>
    <t>Soc.
t. Med</t>
  </si>
  <si>
    <t>IRPF
cuota</t>
  </si>
  <si>
    <t>IRPF
retención</t>
  </si>
  <si>
    <t>Cuentas de Resultados: Comparativa</t>
  </si>
  <si>
    <t>Margen Medio Contribución</t>
  </si>
  <si>
    <t>TESORERÍAS</t>
  </si>
  <si>
    <t xml:space="preserve"> </t>
  </si>
  <si>
    <t xml:space="preserve">        Mobiliario</t>
  </si>
  <si>
    <t xml:space="preserve">        Utillaje y Herramienta</t>
  </si>
  <si>
    <t xml:space="preserve">        Maquinaria</t>
  </si>
  <si>
    <t xml:space="preserve">        Instalaciones</t>
  </si>
  <si>
    <t xml:space="preserve">        Terrenos y edificaciones</t>
  </si>
  <si>
    <t xml:space="preserve">        Elementos de transporte</t>
  </si>
  <si>
    <t xml:space="preserve">        Otro Inmovilizado Material</t>
  </si>
  <si>
    <t xml:space="preserve">        Inmovilizado Inmaterial</t>
  </si>
  <si>
    <t xml:space="preserve">        Gastos de Constitución</t>
  </si>
  <si>
    <t xml:space="preserve">        Gastos de Establecimiento</t>
  </si>
  <si>
    <t xml:space="preserve">        Inmovilizado Financiero L. P.</t>
  </si>
  <si>
    <t>Soc. Civil de profesionales</t>
  </si>
  <si>
    <t>Pagos de compras y gastos variables (IVA inc.)</t>
  </si>
  <si>
    <t>Compras y Costes variables (IVA incl.)</t>
  </si>
  <si>
    <t>Ventas (IVA incl.)</t>
  </si>
  <si>
    <t>Pago de compras y Costes Variables (IVA incl.)</t>
  </si>
  <si>
    <t>Pagos de Gastos Fijos (IVA incl.)</t>
  </si>
  <si>
    <t>IVA sop. de Compras y C.V.</t>
  </si>
  <si>
    <t>Total PAGOS</t>
  </si>
  <si>
    <t>IVA Soportado</t>
  </si>
  <si>
    <t>Coeficientes de prorrata trimestrales</t>
  </si>
  <si>
    <t>Inmovilizado financiero Corto Plazo</t>
  </si>
  <si>
    <t>Fianzas a corto plazo</t>
  </si>
  <si>
    <t xml:space="preserve">   Inmov. Financiero Largo Plazo</t>
  </si>
  <si>
    <t xml:space="preserve">   Inmov. Financiero Corto Plazo</t>
  </si>
  <si>
    <t>Instalaciones</t>
  </si>
  <si>
    <t>Parámetros</t>
  </si>
  <si>
    <t>Políticas de dividendos y reservas</t>
  </si>
  <si>
    <t>Previsiones de Ventas de la empresa</t>
  </si>
  <si>
    <t>Página Web (Host, mantenimiento, etc)</t>
  </si>
  <si>
    <t>antigüedad</t>
  </si>
  <si>
    <t>Total Gastos Fijos</t>
  </si>
  <si>
    <t>Resultados Financieros</t>
  </si>
  <si>
    <t>Beneficio Estimado (B.A.I.)</t>
  </si>
  <si>
    <t>Coef. de seguridad (con gastos financ.)</t>
  </si>
  <si>
    <t>Coef. de seguridad (sin gastos financ.)</t>
  </si>
  <si>
    <t>Punto de Equilibrio (sin gastos financ.)</t>
  </si>
  <si>
    <t>Punto de Equilibrio (con gastos financ.)</t>
  </si>
  <si>
    <t>"</t>
  </si>
  <si>
    <t xml:space="preserve">meses de fianza del alquiler  </t>
  </si>
  <si>
    <t xml:space="preserve"> = Prev. Ventas / Pto. Equilibrio</t>
  </si>
  <si>
    <t>Máximos sueldos socios</t>
  </si>
  <si>
    <t>Previsión de Cuota diferencial para cada uno de los socios</t>
  </si>
  <si>
    <t>(margex(1-%dividendos)xActivo/RR,PP.) /
 1/rotación-margen*(1-%dividendos)xActivo/RR.PP.)</t>
  </si>
  <si>
    <t>Valor Actualizado Neto  (VAN)</t>
  </si>
  <si>
    <t>Tasa Interna de Retorno (TIR)</t>
  </si>
  <si>
    <t>Valor Actualizado de la inversión</t>
  </si>
  <si>
    <t>% inflación que hace 0 el VAN</t>
  </si>
  <si>
    <t>Vida útil ponderada prevista</t>
  </si>
  <si>
    <t>Vida útil promedia prevista de la Inversión</t>
  </si>
  <si>
    <t>Número de años de vida útil prevista de la inversión</t>
  </si>
  <si>
    <t>Tasa Interna de Retorno Corregida (TIRC)</t>
  </si>
  <si>
    <t>TIR corregida con coste financiación e intereses de saldos positivos</t>
  </si>
  <si>
    <t>TIR</t>
  </si>
  <si>
    <t>Vida útil promedio prevista</t>
  </si>
  <si>
    <t>TIR Corregida</t>
  </si>
  <si>
    <t xml:space="preserve">Total Gastos Fijos  </t>
  </si>
  <si>
    <t>Gastos Fijos anuales</t>
  </si>
  <si>
    <t xml:space="preserve"> Cash Flow</t>
  </si>
  <si>
    <t>Máxima tesorería mensual</t>
  </si>
  <si>
    <t>mes máxima disposición de póliza de crédito</t>
  </si>
  <si>
    <t xml:space="preserve">       Número de socios</t>
  </si>
  <si>
    <t xml:space="preserve">       Sueldos de los socios</t>
  </si>
  <si>
    <t xml:space="preserve">      Pagas extras de los socios</t>
  </si>
  <si>
    <t xml:space="preserve">      Trabajadores asalariados (nº trabaj.)</t>
  </si>
  <si>
    <t xml:space="preserve">      Sueldos de los trabajadores</t>
  </si>
  <si>
    <t xml:space="preserve">      Pagas extras trabajadores</t>
  </si>
  <si>
    <t>mes máxima tesorería mensual</t>
  </si>
  <si>
    <t>Previsión de Costes Variables de la empresa</t>
  </si>
  <si>
    <t>Estacionalidad de las Ventas</t>
  </si>
  <si>
    <t>incr. %</t>
  </si>
  <si>
    <t>Costes Var.</t>
  </si>
  <si>
    <t>Costes variables anuales</t>
  </si>
  <si>
    <t>Recursos Humanos</t>
  </si>
  <si>
    <t>Gastos Fijos: Datos</t>
  </si>
  <si>
    <t>Precios de Venta y Costes Variables por familias</t>
  </si>
  <si>
    <t>Estimación de Ventas: Datos</t>
  </si>
  <si>
    <t>Balances Anuales Previsionales: Comparativa</t>
  </si>
  <si>
    <t>Ventas Anuales: resúmen</t>
  </si>
  <si>
    <t>Gastos Fijos Anuales: Resumen</t>
  </si>
  <si>
    <t>Ingresos y Gastos Financieros</t>
  </si>
  <si>
    <t>Tesoerías Mensuales: Resúmen</t>
  </si>
  <si>
    <t>Ratios Básicos de la Empresa</t>
  </si>
  <si>
    <t>Datos para las previsiones de ventas en unidades</t>
  </si>
  <si>
    <t>Sociedad Limitada Unipersonal</t>
  </si>
  <si>
    <t>Sociedad Limitada Laboral (S.L.L.)</t>
  </si>
  <si>
    <t>Sociedad Anónima Laboral (S.A.L.)</t>
  </si>
  <si>
    <t>Sociedad Anonima  (S.A.)</t>
  </si>
  <si>
    <t>S.L. Nueva Empresa (S.L.N.E.)</t>
  </si>
  <si>
    <t>Tipo de IVA repercutido</t>
  </si>
  <si>
    <t>Tipo de IVA soportado</t>
  </si>
  <si>
    <t>Generación de los 12 meses del año para compatibilidad con sistemas Linux y Windows en otros idiomas.</t>
  </si>
  <si>
    <t>Políticas de Cobros de Ventas</t>
  </si>
  <si>
    <t>Otros gastos imprevistos</t>
  </si>
  <si>
    <t>Datos para las previsiones de Gastos Fijos de la empresa</t>
  </si>
  <si>
    <t>Beneficio Antes Interes e Impuestos / Activo Total x 100</t>
  </si>
  <si>
    <t>Beneficio Bruto / Ingresos de Explotación x 100</t>
  </si>
  <si>
    <t>ITP  Imp. Transmisiones Patrimoniales</t>
  </si>
  <si>
    <t>Años
antigüedad</t>
  </si>
  <si>
    <t>plazo
amort.</t>
  </si>
  <si>
    <t>amort.
previa</t>
  </si>
  <si>
    <t>IVA soportado</t>
  </si>
  <si>
    <t>Aportado en Especie</t>
  </si>
  <si>
    <t>% Aport. especie</t>
  </si>
  <si>
    <t>amort. previa</t>
  </si>
  <si>
    <t>Ap. Especie</t>
  </si>
  <si>
    <t>% especie</t>
  </si>
  <si>
    <t>Total valor obra construida</t>
  </si>
  <si>
    <t>Obras de Reforma / Adecuación local</t>
  </si>
  <si>
    <t>Edificaciones</t>
  </si>
  <si>
    <t>Instalación eléctrica</t>
  </si>
  <si>
    <t>Agua y saneamiento</t>
  </si>
  <si>
    <t>Telecomunicaciones</t>
  </si>
  <si>
    <t>Iluminación</t>
  </si>
  <si>
    <t>Instalación contraincendios</t>
  </si>
  <si>
    <t>Alarmas e instalaciones de seguridad</t>
  </si>
  <si>
    <t>Máquina</t>
  </si>
  <si>
    <t>Herramientas de mano</t>
  </si>
  <si>
    <t>Utiles de fabricación</t>
  </si>
  <si>
    <t>Utillaje y Herramienta</t>
  </si>
  <si>
    <t>Mobiliario oficina</t>
  </si>
  <si>
    <t>Estanterías almacén, expositores</t>
  </si>
  <si>
    <t>Otro mobiliario</t>
  </si>
  <si>
    <t>Elementos de transporte</t>
  </si>
  <si>
    <t>Terminales Punto de Venta</t>
  </si>
  <si>
    <t>Impresoras y fotocopiadoras</t>
  </si>
  <si>
    <t>Centralitas, enrutadores, red local</t>
  </si>
  <si>
    <t>Equipos Tratamiento Información</t>
  </si>
  <si>
    <t>Aplic. Informáticas (Software)</t>
  </si>
  <si>
    <t>Inversiones I+D+I</t>
  </si>
  <si>
    <t>Patentes, marcas o similares</t>
  </si>
  <si>
    <t>Notaría, Registro Mercantil</t>
  </si>
  <si>
    <t>Proyectos, visados, Licencias</t>
  </si>
  <si>
    <t>ITP (Imp. Transmisiones Patrimoniales)</t>
  </si>
  <si>
    <t>Inmovilizados Financieros L. P.</t>
  </si>
  <si>
    <t>Fianzas de locales</t>
  </si>
  <si>
    <t>Años de antigüedad en el mercado</t>
  </si>
  <si>
    <t>Principales</t>
  </si>
  <si>
    <t>Pago periódico</t>
  </si>
  <si>
    <t>meses carencia</t>
  </si>
  <si>
    <t>meses préstamo</t>
  </si>
  <si>
    <t>1er mes carencia</t>
  </si>
  <si>
    <t>1er mes préstamo</t>
  </si>
  <si>
    <t>mes final préstamo</t>
  </si>
  <si>
    <t>Préstamo 1</t>
  </si>
  <si>
    <t>Impuestos Indirectos: IVA</t>
  </si>
  <si>
    <t>Utilllaje y herramientas</t>
  </si>
  <si>
    <t>Otros inmovilizados materiales</t>
  </si>
  <si>
    <t>Centro :</t>
  </si>
  <si>
    <t>Proyecto / empresa:</t>
  </si>
  <si>
    <t>Tipo impositivo:</t>
  </si>
  <si>
    <t>Tasa de inflacción prevista</t>
  </si>
  <si>
    <t>Retenciones y pagos a cuenta del I.R.P.F.</t>
  </si>
  <si>
    <t>Comunidad Bienes  (C.B.)</t>
  </si>
  <si>
    <t>Sociedad Limitada  (S.L.)</t>
  </si>
  <si>
    <t>Sociedad Civil  (S.C.)</t>
  </si>
  <si>
    <t>Mal</t>
  </si>
  <si>
    <t>preocupante</t>
  </si>
  <si>
    <t>bien</t>
  </si>
  <si>
    <t>No usados normalmente en empresas pequeñas de nueva creación. Pero si para empresas en Modernización.</t>
  </si>
  <si>
    <t>Muy bien</t>
  </si>
  <si>
    <t>Increibles</t>
  </si>
  <si>
    <t>&lt; 5%</t>
  </si>
  <si>
    <t>Beneficio Neto / Activo Total x 100</t>
  </si>
  <si>
    <t>Beneficio Neto / Ingresos de Explotación x 100</t>
  </si>
  <si>
    <t>DEPENDE SOBRE TODO DEL SECTOR DE ACTIVIDAD</t>
  </si>
  <si>
    <t>Hardware, material construcción, maquinaria, alimentación</t>
  </si>
  <si>
    <t>Venta otros productos a particulares o empresas</t>
  </si>
  <si>
    <t>Hostelería, tiendas ropa y calzado</t>
  </si>
  <si>
    <t>Servicios intensivos en mano de obra</t>
  </si>
  <si>
    <t>Servicios profesionales</t>
  </si>
  <si>
    <t>2 o mas</t>
  </si>
  <si>
    <t>(SOLO CUANDO HAY ALMACENES)</t>
  </si>
  <si>
    <t>&lt; 1</t>
  </si>
  <si>
    <t>( Depende de los sectores )</t>
  </si>
  <si>
    <t>adelantado</t>
  </si>
  <si>
    <t>Venta / distribución a otras empresas</t>
  </si>
  <si>
    <t>Subcontratistas construcción / instalaciones / administración</t>
  </si>
  <si>
    <t>( En relación al IPC o Inflacción )</t>
  </si>
  <si>
    <t>IPC</t>
  </si>
  <si>
    <t>IPC + 3%</t>
  </si>
  <si>
    <t>(margex(1-%dividendos)xActivo/RR,PP.) / 1/rotación-margen*(1-%dividendos)xActivo/RR.PP.)</t>
  </si>
  <si>
    <t>&lt; 0</t>
  </si>
  <si>
    <t>5% Activo</t>
  </si>
  <si>
    <t>10% Activo</t>
  </si>
  <si>
    <t>20% Activo</t>
  </si>
  <si>
    <t>30% Activo</t>
  </si>
  <si>
    <t>(Empleados + socios) (Solo indica volúmen)</t>
  </si>
  <si>
    <t>Número de años que se tarda en recuperar la Inversión Inicial
(Depende del tipo de activos mayoritarios y del sector)</t>
  </si>
  <si>
    <t>Fabricación (u otras) con fuertes inversiones a largo Plazo</t>
  </si>
  <si>
    <t>Venta / distribución</t>
  </si>
  <si>
    <t>Profesionales, comisionistas</t>
  </si>
  <si>
    <t>5% ventas</t>
  </si>
  <si>
    <t>10% ventas</t>
  </si>
  <si>
    <t>15% ventas</t>
  </si>
  <si>
    <t>20% ventas</t>
  </si>
  <si>
    <t xml:space="preserve">   * Los intervalos de valores para las distintas ratios son meramente orientativos y deben ser analizados conjutamente junto con otras variables económicas y financieras</t>
  </si>
  <si>
    <t>La interpretación de toda esta información económica depende de más factores como el sector de actividad, el entorno económico, las coyunturas, la normativa legal y fiscal y otras.</t>
  </si>
  <si>
    <t>NOTA IMPORTANTE:</t>
  </si>
  <si>
    <t>Ratios Básicos: Criterios orientativos de interpretación básica</t>
  </si>
  <si>
    <t>Venta directa al público: productos y servicios</t>
  </si>
  <si>
    <t>normal</t>
  </si>
  <si>
    <t>Plan de Tesorería</t>
  </si>
  <si>
    <t>Cuenta de Resultados, o de Pérdidas y Ganancias por meses</t>
  </si>
  <si>
    <t>Cuotas y pagos a cuenta del Impuesto de Sociedades</t>
  </si>
  <si>
    <t>Aplicación de resultados: Dotación de reservas y reparto de dividendos</t>
  </si>
  <si>
    <t>Datos para las declaraciones anuales de I.R.P.F.</t>
  </si>
  <si>
    <t>Previsiones de retenciones y pagos a cuenta del I.R.P.F.</t>
  </si>
  <si>
    <t>Previsiones de Gastos Fijos de la empresa</t>
  </si>
  <si>
    <t xml:space="preserve">Previsiones de liquidaciones de IVA </t>
  </si>
  <si>
    <t>Liquidaciones IVA de la empresa</t>
  </si>
  <si>
    <t>Regla de prorrata</t>
  </si>
  <si>
    <t>Previsiones de Ingresos y Gastos Financieros de la empresa</t>
  </si>
  <si>
    <t>Familias de productos</t>
  </si>
  <si>
    <t>Otros Pagos de la empresa</t>
  </si>
  <si>
    <t>Otros Cobros de la empresa</t>
  </si>
  <si>
    <t>Otros Cobros y Pagos de la Empresa</t>
  </si>
  <si>
    <t>Fondo de Maniobra</t>
  </si>
  <si>
    <t>Financiación de la Inversión Inicial</t>
  </si>
  <si>
    <t>Datos Préstamos</t>
  </si>
  <si>
    <t>Meses</t>
  </si>
  <si>
    <t>Localidad :</t>
  </si>
  <si>
    <t>Inversión Inicial Total</t>
  </si>
  <si>
    <t xml:space="preserve">Recursos Propios </t>
  </si>
  <si>
    <t xml:space="preserve">V.A.N. </t>
  </si>
  <si>
    <t>Ventas Previstas</t>
  </si>
  <si>
    <t>Gastos de Explotación</t>
  </si>
  <si>
    <t>Resultados financieros</t>
  </si>
  <si>
    <t>Resultados previstos</t>
  </si>
  <si>
    <t xml:space="preserve">Flujos de caja previstos </t>
  </si>
  <si>
    <t>Incremento Gastos Fijos</t>
  </si>
  <si>
    <t>Código de colores de celdas</t>
  </si>
  <si>
    <t>Dato imprescindible</t>
  </si>
  <si>
    <t>Parámetro de ajuste (opcional)</t>
  </si>
  <si>
    <t>Parámetro de ajuste fino (opcional)</t>
  </si>
  <si>
    <t>Dato de ejercicios anteriores: Solo en empresas NO nuevas</t>
  </si>
  <si>
    <t>Dato anterior al inicio y no usado (cualquier color)</t>
  </si>
  <si>
    <t>Año 0</t>
  </si>
  <si>
    <t>Código de colores de pestañas de hojas</t>
  </si>
  <si>
    <t>Hoja de datos. Imprescindible</t>
  </si>
  <si>
    <t>Cooperativa Especialmente Protegida (S.C.A.)</t>
  </si>
  <si>
    <t>Sociedad Cooperativa  (S.C.A.)</t>
  </si>
  <si>
    <t>ret, Soc</t>
  </si>
  <si>
    <t>Pago único</t>
  </si>
  <si>
    <t>Hoja de datos opcionales</t>
  </si>
  <si>
    <t>nº empleados/as y nº socios Rég. General</t>
  </si>
  <si>
    <t>Hoja interna: NO usar</t>
  </si>
  <si>
    <t>Hoja de resultados: Imprescindible</t>
  </si>
  <si>
    <t>Hoja de Resúmen de resultados</t>
  </si>
  <si>
    <t>BALANCE: ACTIVO</t>
  </si>
  <si>
    <t>CANTIDAD</t>
  </si>
  <si>
    <t>CUENTA</t>
  </si>
  <si>
    <t>AÑO -3</t>
  </si>
  <si>
    <t>AÑO -2</t>
  </si>
  <si>
    <t>AÑO -1</t>
  </si>
  <si>
    <t>ACTUAL</t>
  </si>
  <si>
    <t>AÑO +1</t>
  </si>
  <si>
    <t>AÑO +2</t>
  </si>
  <si>
    <t>Accionistas (socios) por desembolsos no exigidos</t>
  </si>
  <si>
    <t>Gastos de establecimiento</t>
  </si>
  <si>
    <t>Gastos de investigación y desarrollo</t>
  </si>
  <si>
    <t>Concesiones, patentes, licencias, marcas y similares</t>
  </si>
  <si>
    <t>Fondo de comercio</t>
  </si>
  <si>
    <t>Derechos de traspaso</t>
  </si>
  <si>
    <t>Aplicaciones informáticas</t>
  </si>
  <si>
    <t>Derechos sobre bienes en régimen de arrendamiento financiero</t>
  </si>
  <si>
    <t>Anticipos</t>
  </si>
  <si>
    <t>Provisiones</t>
  </si>
  <si>
    <t>Inmovilizaciones inmateriales</t>
  </si>
  <si>
    <t>Terrenos y construcciones</t>
  </si>
  <si>
    <t>Instalaciones técnicas y maquinaria</t>
  </si>
  <si>
    <t>Otras instalaciones, utillaje y mobiliario</t>
  </si>
  <si>
    <t>Anticipos e inmovilizaciones materiales en curso</t>
  </si>
  <si>
    <t>Otro inmovilizado</t>
  </si>
  <si>
    <t>Inmovilizaciones materiales</t>
  </si>
  <si>
    <t>Participaciones en empresas del grupo</t>
  </si>
  <si>
    <t>Créditos a empresas del grupo</t>
  </si>
  <si>
    <t>Participaciones en empresas asociadas</t>
  </si>
  <si>
    <t>Créditos a empresas asociadas</t>
  </si>
  <si>
    <t>Cartera de valores a largo plazo</t>
  </si>
  <si>
    <t>Otros créditos</t>
  </si>
  <si>
    <t>Depósitos y fianzas constituidos a largo plazo</t>
  </si>
  <si>
    <t>Administraciones Públicas a largo plazo</t>
  </si>
  <si>
    <t>Inmovilizaciones financieras</t>
  </si>
  <si>
    <t>Acciones propias</t>
  </si>
  <si>
    <t>Deudores por operaciones de tráfico a largo plazo</t>
  </si>
  <si>
    <t>Gastos a distribuir en varios ejercicios</t>
  </si>
  <si>
    <t>Accionistas por desembolsos exigidos</t>
  </si>
  <si>
    <t>Existencias comerciales</t>
  </si>
  <si>
    <t>Materias primas y otros aprovisionamientos</t>
  </si>
  <si>
    <t>Productos en curso y semiterminados</t>
  </si>
  <si>
    <t>Productos terminados</t>
  </si>
  <si>
    <t>Subproductos, residuos y materiales recuperados</t>
  </si>
  <si>
    <t>ACTIVOS NO CORRIENTES</t>
  </si>
  <si>
    <t>ACTIVOS CORRIENTES</t>
  </si>
  <si>
    <t>PATRIMONIO NETO</t>
  </si>
  <si>
    <t>PASIVOS EXIGIBLES A LARGO PLAZO</t>
  </si>
  <si>
    <t>PASIVOS EXIGIBLES A CORTO PLAZO</t>
  </si>
  <si>
    <t xml:space="preserve">Existencias   </t>
  </si>
  <si>
    <t>Clientes por ventas y prestaciones de servicios</t>
  </si>
  <si>
    <t>Empresas del grupo, deudores</t>
  </si>
  <si>
    <t>Empresas asociadas, deudores</t>
  </si>
  <si>
    <t>Deudores varios</t>
  </si>
  <si>
    <t>Personal</t>
  </si>
  <si>
    <t xml:space="preserve">Administraciones Públicas </t>
  </si>
  <si>
    <t>Deudores</t>
  </si>
  <si>
    <t>Cartera de valores a corto plazo</t>
  </si>
  <si>
    <t>Depósitos y fianzas constituidos a corto plazo</t>
  </si>
  <si>
    <t>Inversiones financieras temporales</t>
  </si>
  <si>
    <t>Acciones propias a corto plazo</t>
  </si>
  <si>
    <t>Tesorería</t>
  </si>
  <si>
    <t>Ajustes por periodificación</t>
  </si>
  <si>
    <t>Total activo</t>
  </si>
  <si>
    <t>BALANCE PASIVO</t>
  </si>
  <si>
    <t>Capital suscrito</t>
  </si>
  <si>
    <t xml:space="preserve">Prima de emisión </t>
  </si>
  <si>
    <t xml:space="preserve">Reserva de revalorización </t>
  </si>
  <si>
    <t>Reserva legal</t>
  </si>
  <si>
    <t>Reserva para acciones propias</t>
  </si>
  <si>
    <t>Reserva para acciones de la sociedad dominante</t>
  </si>
  <si>
    <t>Reservas estatutarias</t>
  </si>
  <si>
    <t>Diferencia por ajuste del capital a euros</t>
  </si>
  <si>
    <t>Reserva para Inversiones en Canarias</t>
  </si>
  <si>
    <t>Otras reservas</t>
  </si>
  <si>
    <t>Remanente</t>
  </si>
  <si>
    <t>Resultados negativos de ejercicios anteriores</t>
  </si>
  <si>
    <t>Aportaciones de socios para compensación de pérdidas</t>
  </si>
  <si>
    <t>Pérdidas y ganancias (beneficio o pérdida)</t>
  </si>
  <si>
    <t>Dividendo a cuenta entregado en el ejercicio</t>
  </si>
  <si>
    <t>Acciones propias para reducción de capital</t>
  </si>
  <si>
    <t>Fondos propios</t>
  </si>
  <si>
    <t>Subvenciones de capital</t>
  </si>
  <si>
    <t>Diferencias positivas de cambio</t>
  </si>
  <si>
    <t>Otros ingresos a distribuir en varios ejercicios</t>
  </si>
  <si>
    <t>Ingresos fiscales a distribuir en varios ejercicios</t>
  </si>
  <si>
    <t>Ingresos a distribuir en varios ejercicios</t>
  </si>
  <si>
    <t>Provisiones para pensiones y obligaciones similares</t>
  </si>
  <si>
    <t>Provisiones para impuestos</t>
  </si>
  <si>
    <t>Otras provisiones</t>
  </si>
  <si>
    <t>Fondo de reversión</t>
  </si>
  <si>
    <t>Provisiones para riesgos y gastos</t>
  </si>
  <si>
    <t>Obligaciones no convertibles</t>
  </si>
  <si>
    <t>Obligaciones convertibles</t>
  </si>
  <si>
    <t>Otras deudas representadas en valores negociables</t>
  </si>
  <si>
    <t>Deudas a largo plazo con entidades de crédito</t>
  </si>
  <si>
    <t>Acreedores por arrendamiento financiero a largo plazo</t>
  </si>
  <si>
    <t>Deudas con empresas del grupo</t>
  </si>
  <si>
    <t>Deudas con empresas asociadas</t>
  </si>
  <si>
    <t>Deudas representadas por efectos a pagar</t>
  </si>
  <si>
    <t>Otras deudas</t>
  </si>
  <si>
    <t>Fianzas y depósitos recibidos a largo plazo</t>
  </si>
  <si>
    <t>Desembolsos pendientes sobre acciones no exigidos de empresas del grupo</t>
  </si>
  <si>
    <t>Desembolsos pendientes sobre acciones no exigidos de empresas asociadas</t>
  </si>
  <si>
    <t>Desembolsos pendientes sobre acciones no exigidos de otras empresas</t>
  </si>
  <si>
    <t>Acreedores por operaciones de tráfico a largo plazo</t>
  </si>
  <si>
    <t>Acreedores a largo plazo</t>
  </si>
  <si>
    <t>Intereses de obligaciones y otros valores</t>
  </si>
  <si>
    <t>Préstamos y otras deudas</t>
  </si>
  <si>
    <t>Deudas por intereses</t>
  </si>
  <si>
    <t>Acreedores por arrendamiento financiero a corto plazo</t>
  </si>
  <si>
    <t>Anticipos recibidos por pedidos</t>
  </si>
  <si>
    <t>Deudas por compras o prestaciones de servicios</t>
  </si>
  <si>
    <t>Deudas no comerciales representadas por efectos a pagar</t>
  </si>
  <si>
    <t xml:space="preserve">Otras deudas  </t>
  </si>
  <si>
    <t>Remuneraciones pendientes de pago</t>
  </si>
  <si>
    <t>Fianzas y depósitos recibidos a corto plazo</t>
  </si>
  <si>
    <t>Provisiones para operaciones de tráfico</t>
  </si>
  <si>
    <t>Acreedores a corto plazo</t>
  </si>
  <si>
    <t>Provisiones para riesgos y gastos a corto plazo</t>
  </si>
  <si>
    <t>Total pasivo</t>
  </si>
  <si>
    <t>CUENTA DE RESULTADOS</t>
  </si>
  <si>
    <t>HABER</t>
  </si>
  <si>
    <t>Prestaciones de servicios</t>
  </si>
  <si>
    <t>Devoluciones y rappels sobre ventas</t>
  </si>
  <si>
    <t>Importe neto de la cifra de negocios</t>
  </si>
  <si>
    <t>Aumentos de existencias de productos terminados y en curso de fabricación</t>
  </si>
  <si>
    <t>Trabajos efectuados por la empresa para el inmovilizado</t>
  </si>
  <si>
    <t>Ingresos accesorios y otros de gestión corriente</t>
  </si>
  <si>
    <t>Excesos de provisiones de riesgos y gastos</t>
  </si>
  <si>
    <t>Otros ingresos de explotación</t>
  </si>
  <si>
    <t>Ingresos de participaciones en capital en empresas del grupo</t>
  </si>
  <si>
    <t>Ingresos de participaciones en capital en empresas asociadas</t>
  </si>
  <si>
    <t>Ingresos de participaciones en capital en empresas fuera del grupo</t>
  </si>
  <si>
    <t>Ingresos de participaciones en capital</t>
  </si>
  <si>
    <t>Ingresos de otros valores negociables y de créditos del activo inmovilizado de empresas del grupo</t>
  </si>
  <si>
    <t>Ingresos de otros valores negociables y de créditos del activo inmovilizado de empresas asociadas</t>
  </si>
  <si>
    <t>Ingresos de otros valores negociables y de créditos del activo inmovilizado de empresas fuera del grupo</t>
  </si>
  <si>
    <t>Ingresos de otros valores negociables y de créditos del activo inmovilizado</t>
  </si>
  <si>
    <t>Otros intereses e ingresos asimilados de empresas del grupo</t>
  </si>
  <si>
    <t>Otros intereses e ingresos asimilados de empresas asociadas</t>
  </si>
  <si>
    <t>Otros intereses</t>
  </si>
  <si>
    <t xml:space="preserve">Beneficios en inversiones financieras </t>
  </si>
  <si>
    <t>Otros intereses e ingresos asimilados</t>
  </si>
  <si>
    <t>Beneficios en enajenación de inmovilizado inmaterial, material y cartera de control</t>
  </si>
  <si>
    <t>Beneficios por operaciones con acciones y obligaciones propias</t>
  </si>
  <si>
    <t>Subvenciones de capital transferidas al resultado del ejercicio</t>
  </si>
  <si>
    <t>Ingresos y beneficios de otros ejercicios</t>
  </si>
  <si>
    <t>Resultado de ejercicio (pérdidas)</t>
  </si>
  <si>
    <t>Total haber</t>
  </si>
  <si>
    <t>DEBE</t>
  </si>
  <si>
    <t>Reducción de existencias de productos terminados y en curso de fabricación</t>
  </si>
  <si>
    <t>Consumo de mercaderías</t>
  </si>
  <si>
    <t>Consumo de materias primas y otras materias consumibles</t>
  </si>
  <si>
    <t>Otros gastos externos</t>
  </si>
  <si>
    <t>Aprovisionamientos</t>
  </si>
  <si>
    <t>Sueldos, salarios y asimilados</t>
  </si>
  <si>
    <t>Cargas sociales</t>
  </si>
  <si>
    <t>Dotaciones para amortizaciones del inmovilizado</t>
  </si>
  <si>
    <t>Variación de las provisiones de existencias</t>
  </si>
  <si>
    <t>Compañía de seguridad / Alarma</t>
  </si>
  <si>
    <t>Colegio/ Asociación profesional</t>
  </si>
  <si>
    <t>Renting: Cálculos detallados</t>
  </si>
  <si>
    <t>nº total hojas de cálculo</t>
  </si>
  <si>
    <t>Variación de las provisiones y pérdidas de créditos incobrables</t>
  </si>
  <si>
    <t>Variación de otras provisiones de tráfico</t>
  </si>
  <si>
    <t>Variación de las provisiones de tráfico</t>
  </si>
  <si>
    <t>Servicios exteriores</t>
  </si>
  <si>
    <t xml:space="preserve">Tributos </t>
  </si>
  <si>
    <t>Otros gastos de gestión corriente</t>
  </si>
  <si>
    <t>Dotación al fondo de reversión</t>
  </si>
  <si>
    <t>Otros gastos de explotación</t>
  </si>
  <si>
    <t>Gastos financieros por deudas con empresas del grupo</t>
  </si>
  <si>
    <t>Gastos financieros por deudas con empresas asociadas</t>
  </si>
  <si>
    <t>Gastos financieros por deudas con terceros y gastos asimilados</t>
  </si>
  <si>
    <t>Pérdidas de inversiones financieras</t>
  </si>
  <si>
    <t>Gastos financieros y asimilados</t>
  </si>
  <si>
    <t>Variación de las provisiones de inversiones financieras</t>
  </si>
  <si>
    <t>Diferencias negativas de cambio</t>
  </si>
  <si>
    <t>Variación de provisiones de inmov. inmaterial, material y cartera de control</t>
  </si>
  <si>
    <t>Pérdidas procedentes del inmovilizado inmaterial, material y cartera de control</t>
  </si>
  <si>
    <t>Pérdidas por operaciones con acciones y obligaciones propias</t>
  </si>
  <si>
    <t>Gastos extraordinarios</t>
  </si>
  <si>
    <t>Gastos y pérdidas de otros ejercicios</t>
  </si>
  <si>
    <t>Impuesto sobre Sociedades</t>
  </si>
  <si>
    <t>Otros impuestos</t>
  </si>
  <si>
    <t>Resultado del ejercicio (beneficios)</t>
  </si>
  <si>
    <t>Total debe</t>
  </si>
  <si>
    <t>Hoja para traspaso de datos al modelo de la Agencia de Innovación</t>
  </si>
  <si>
    <t>Hoja de cálculos internos detallados</t>
  </si>
  <si>
    <t>Hoja de referencia e información</t>
  </si>
  <si>
    <t>plazo medio de</t>
  </si>
  <si>
    <t>No usados en empresas "normales" de nueva creación</t>
  </si>
  <si>
    <t>No usados normalmente en empresas pequeñas</t>
  </si>
  <si>
    <t>NO USAR ESTAS COLUMNAS</t>
  </si>
  <si>
    <t>Desglose más detallado (no imprescindible)</t>
  </si>
  <si>
    <t>Año 1</t>
  </si>
  <si>
    <t>Año 2</t>
  </si>
  <si>
    <t>OK</t>
  </si>
  <si>
    <t>Difrencias ACTIVOS</t>
  </si>
  <si>
    <t>Sueldos y salarios</t>
  </si>
  <si>
    <t>Incentivos a la inversión</t>
  </si>
  <si>
    <t>Importes
invertidos</t>
  </si>
  <si>
    <t>Nivel de tesorería Mínimo</t>
  </si>
  <si>
    <t>Importes incentivables</t>
  </si>
  <si>
    <t>% incentivable</t>
  </si>
  <si>
    <t>Incentivo</t>
  </si>
  <si>
    <t>incentivable</t>
  </si>
  <si>
    <t>Terrenos y Edificaciones</t>
  </si>
  <si>
    <t>Solo elementos nuevos</t>
  </si>
  <si>
    <t>Sistemas operativos y ofimática</t>
  </si>
  <si>
    <t>No amortizada previamente.</t>
  </si>
  <si>
    <t>Elementos de transporte interior</t>
  </si>
  <si>
    <t>Elementos de transporte exterior</t>
  </si>
  <si>
    <t>Otros elementos de transporte</t>
  </si>
  <si>
    <t>Equipos Informáticos / EPIs</t>
  </si>
  <si>
    <t>Equipos informáticos / EPIs</t>
  </si>
  <si>
    <t>Ordenadores, PDAs, etc.</t>
  </si>
  <si>
    <t>Escenario Incentivos</t>
  </si>
  <si>
    <t>Cuota líquida (a pagar)</t>
  </si>
  <si>
    <t>Costes variables (directos)</t>
  </si>
  <si>
    <t>Hoja Balances</t>
  </si>
  <si>
    <t>Dif. Activo</t>
  </si>
  <si>
    <t>Diferencia</t>
  </si>
  <si>
    <t>Difrencias Pasivos</t>
  </si>
  <si>
    <t>Retribuciones de los socios/as</t>
  </si>
  <si>
    <t>Sueldos de los socios/as</t>
  </si>
  <si>
    <t>pagas extras de los socios/as</t>
  </si>
  <si>
    <t>Sueldos de los trabajadores/as</t>
  </si>
  <si>
    <t>pagas extras trabajadores/as</t>
  </si>
  <si>
    <t>Seg. Social Empleados/as</t>
  </si>
  <si>
    <t>Seg. Social Socios/as (R.E.T.A.)</t>
  </si>
  <si>
    <t>Altas y bajas de socios/as en R.E.T.A.</t>
  </si>
  <si>
    <t>Altas y bajas de trajadores/as</t>
  </si>
  <si>
    <t>Sueldo de los socios/as</t>
  </si>
  <si>
    <t>Sueldo de los empleados/as</t>
  </si>
  <si>
    <t>nº pagas socios/as</t>
  </si>
  <si>
    <t>% paga extra socios/as</t>
  </si>
  <si>
    <t>sueldo máximo de socios/as</t>
  </si>
  <si>
    <t>incr. max. sueldo socios/as</t>
  </si>
  <si>
    <t>nº pagas empleados/as</t>
  </si>
  <si>
    <t>% paga extra empleados/as</t>
  </si>
  <si>
    <t>% S.S. empleados/as</t>
  </si>
  <si>
    <t>nº socios/as R.E.T.A.</t>
  </si>
  <si>
    <t>Ingresos por ventas</t>
  </si>
  <si>
    <t>Imputación de subvenciones</t>
  </si>
  <si>
    <t>Ingresos</t>
  </si>
  <si>
    <t>Resultado del Periodo (B.A.I.)</t>
  </si>
  <si>
    <t>Profesional Independiente</t>
  </si>
  <si>
    <t>NO INCENTIVABLE</t>
  </si>
  <si>
    <t>Inversión
Total</t>
  </si>
  <si>
    <t>Inversión Incentivable</t>
  </si>
  <si>
    <t>Importe del incentivo</t>
  </si>
  <si>
    <t>Solo maquinaria nueva,</t>
  </si>
  <si>
    <t>No aportada en especie</t>
  </si>
  <si>
    <t>I + E</t>
  </si>
  <si>
    <t>Fomento del Empleo Asociado</t>
  </si>
  <si>
    <t>Autoempleo</t>
  </si>
  <si>
    <t>Tipo de incentivo :</t>
  </si>
  <si>
    <t xml:space="preserve">ACTIVO </t>
  </si>
  <si>
    <t>PASIVO</t>
  </si>
  <si>
    <t>Balances Anuales Previsionales</t>
  </si>
  <si>
    <t>Incentivos</t>
  </si>
  <si>
    <t>Plantilla Detallada por meses</t>
  </si>
  <si>
    <t>Notas de Ratios</t>
  </si>
  <si>
    <t>Informativa</t>
  </si>
  <si>
    <t>ACTIVO</t>
  </si>
  <si>
    <r>
      <t>Otros gastos de 1</t>
    </r>
    <r>
      <rPr>
        <vertAlign val="superscript"/>
        <sz val="10"/>
        <rFont val="Arial"/>
        <family val="2"/>
      </rPr>
      <t>er</t>
    </r>
    <r>
      <rPr>
        <sz val="10"/>
        <rFont val="Arial"/>
        <family val="2"/>
      </rPr>
      <t xml:space="preserve"> establecimiento</t>
    </r>
  </si>
  <si>
    <t>Amortizaciones anuales</t>
  </si>
  <si>
    <t>Res. antes Int. e Imp. (BAII)</t>
  </si>
  <si>
    <t>Res. antes Impuestos (BAI)</t>
  </si>
  <si>
    <t>Previsiones de retenciones y pagos de I.R.P.F.</t>
  </si>
  <si>
    <t>Incrementos de ventas necesarios</t>
  </si>
  <si>
    <t>Inversiones Iniciales Activos No Corrientes</t>
  </si>
  <si>
    <t>Inversiones Activos Corrientes</t>
  </si>
  <si>
    <t>Inversiones Iniciales en Activos No Corrientes ( Fijos )</t>
  </si>
  <si>
    <t>Elementos / activos no corrientes</t>
  </si>
  <si>
    <t>Patrimonio Neto ( Recursos Propios )</t>
  </si>
  <si>
    <t>Pasivos Ajenos</t>
  </si>
  <si>
    <t>Amort. Acum. Inm Material</t>
  </si>
  <si>
    <t>Amort. Acum. Inm inmaterial</t>
  </si>
  <si>
    <t>Inmov. Financiero Largo Plazo</t>
  </si>
  <si>
    <t>Inmov. Financiero Corto Plazo</t>
  </si>
  <si>
    <t>Existencias</t>
  </si>
  <si>
    <t>Clientes</t>
  </si>
  <si>
    <t>H.P. Pagos y retenciones IRPF</t>
  </si>
  <si>
    <t>H.P. Deudora I. Sociedades</t>
  </si>
  <si>
    <t xml:space="preserve">H.P. Deudora IVA </t>
  </si>
  <si>
    <t>PATRIMONIO NETO Y PASIVOS</t>
  </si>
  <si>
    <t>Resultado antes Int. e Imp.</t>
  </si>
  <si>
    <t>Total Ingresos</t>
  </si>
  <si>
    <t>Elementos / Activos No Corrientes</t>
  </si>
  <si>
    <t>Certificado negativo del nombre</t>
  </si>
  <si>
    <t>Registro Mercantil, BORME</t>
  </si>
  <si>
    <t>Gastos de Establecimiento</t>
  </si>
  <si>
    <t>Gastos de Constitución</t>
  </si>
  <si>
    <t>Tasas de apertura</t>
  </si>
  <si>
    <t>Publicidad de lanzamiento</t>
  </si>
  <si>
    <t>Gastos de constitución</t>
  </si>
  <si>
    <t>máximo 10% Base incentivable</t>
  </si>
  <si>
    <t>Cálculo detallado de pagos de Leasing</t>
  </si>
  <si>
    <t>Cálculo detallados de pagos de Préstamos</t>
  </si>
  <si>
    <t>Intereses de préstamos</t>
  </si>
  <si>
    <t>Intereses de préstamoss</t>
  </si>
  <si>
    <t>Intereses de póliza de crédito</t>
  </si>
  <si>
    <t>Cuotas de Renting</t>
  </si>
  <si>
    <t>Total Pagos Renting</t>
  </si>
  <si>
    <t>Leasing 1</t>
  </si>
  <si>
    <t>Leasing 2</t>
  </si>
  <si>
    <t>meses Leasing</t>
  </si>
  <si>
    <t>1er mes Leasing</t>
  </si>
  <si>
    <t>mes final Leasing</t>
  </si>
  <si>
    <t>Valores residuales</t>
  </si>
  <si>
    <t>Datos Leasing</t>
  </si>
  <si>
    <t>Pagos periódicos</t>
  </si>
  <si>
    <t>Prestamos: cálculos detallados</t>
  </si>
  <si>
    <t>Leasing: Cálculos detallados</t>
  </si>
  <si>
    <t>intereses de Leasing</t>
  </si>
  <si>
    <t>Eliminado en el Plan General Contable 2007</t>
  </si>
  <si>
    <t>Renting 1</t>
  </si>
  <si>
    <t>Renting 2</t>
  </si>
  <si>
    <t>Datos de las operaciones</t>
  </si>
  <si>
    <t>Otros Datos</t>
  </si>
  <si>
    <t>Datos préstamos</t>
  </si>
  <si>
    <t>Datos Renting</t>
  </si>
  <si>
    <t>Amort. Acum. Inmov. Material</t>
  </si>
  <si>
    <t>Cuotas</t>
  </si>
  <si>
    <t>Valor residual</t>
  </si>
  <si>
    <t>Cuotas periódicas</t>
  </si>
  <si>
    <t>Amort. Acum. Inmov. Inmaterial</t>
  </si>
  <si>
    <t xml:space="preserve">   Inmovilizado Inmaterial</t>
  </si>
  <si>
    <t xml:space="preserve">   Inmovilizado Material</t>
  </si>
  <si>
    <t xml:space="preserve">   Acreedores L.P. Financieros Leasing</t>
  </si>
  <si>
    <t xml:space="preserve">   Acreedores L.P. Financieros Préstamos</t>
  </si>
  <si>
    <t xml:space="preserve">   Acreedores C.P. Financieros Leasing</t>
  </si>
  <si>
    <t xml:space="preserve">   Acreedores C.P. Financieros Préstamos</t>
  </si>
  <si>
    <t>Cálculo detallado de pagos de Renting</t>
  </si>
  <si>
    <t>meses Renting</t>
  </si>
  <si>
    <t>mes final Renting</t>
  </si>
  <si>
    <r>
      <t>1</t>
    </r>
    <r>
      <rPr>
        <vertAlign val="superscript"/>
        <sz val="14"/>
        <rFont val="Arial"/>
        <family val="2"/>
      </rPr>
      <t>er</t>
    </r>
    <r>
      <rPr>
        <sz val="14"/>
        <rFont val="Arial"/>
        <family val="2"/>
      </rPr>
      <t xml:space="preserve"> mes Renting</t>
    </r>
  </si>
  <si>
    <t>Devolución de principal (préstamos y leasing)</t>
  </si>
  <si>
    <t>IVA sop. Cuotas Leasing / Renting</t>
  </si>
  <si>
    <t>Pagos IVA cuotas Leasing / Renting</t>
  </si>
  <si>
    <t>Activos No Corrientes ( Fijos )</t>
  </si>
  <si>
    <t>Activo Corrientes</t>
  </si>
  <si>
    <t>Pasivos (Recursos Ajenos)</t>
  </si>
  <si>
    <t>Patrimonio Neto (Recursos Propios)</t>
  </si>
  <si>
    <t>Activos Corrientes</t>
  </si>
  <si>
    <t>Total Patrimonio Neto y Pasivos</t>
  </si>
  <si>
    <t>INVERSIONES EN ACTIVOS NO CORRIENTES</t>
  </si>
  <si>
    <t>Concepto</t>
  </si>
  <si>
    <t>Inmovilizado Material</t>
  </si>
  <si>
    <t>Maquinaria</t>
  </si>
  <si>
    <t>Mobiliario</t>
  </si>
  <si>
    <t>Equipos informáticos</t>
  </si>
  <si>
    <t>Gastos Amortizables</t>
  </si>
  <si>
    <t>Realizable</t>
  </si>
  <si>
    <t>Total Activo</t>
  </si>
  <si>
    <t>Crédito de accionistas</t>
  </si>
  <si>
    <t>Subvenciones</t>
  </si>
  <si>
    <t>Recursos Ajenos</t>
  </si>
  <si>
    <t>Créditos a Corto Plazo</t>
  </si>
  <si>
    <t>Total Pasivo</t>
  </si>
  <si>
    <t>Total</t>
  </si>
  <si>
    <t>Inmovilizado Inmaterial</t>
  </si>
  <si>
    <t>Intereses</t>
  </si>
  <si>
    <t>Periodos</t>
  </si>
  <si>
    <t>Ventas</t>
  </si>
  <si>
    <t>Totales</t>
  </si>
  <si>
    <t>Margen Bruto s/Ventas</t>
  </si>
  <si>
    <t>Material de oficina</t>
  </si>
  <si>
    <t>Publicidad y propaganda</t>
  </si>
  <si>
    <t>Arrendamientos</t>
  </si>
  <si>
    <t>Dotación Amortizaciones</t>
  </si>
  <si>
    <t>Total Gastos Explotación</t>
  </si>
  <si>
    <t>Ingresos Financieros</t>
  </si>
  <si>
    <t>Gastos Financieros</t>
  </si>
  <si>
    <t>Resultado Financiero</t>
  </si>
  <si>
    <t>Res. Acumulado Ejercicio</t>
  </si>
  <si>
    <t>Cobro de ventas</t>
  </si>
  <si>
    <t>Otras entradas</t>
  </si>
  <si>
    <t>% / Vtas</t>
  </si>
  <si>
    <t>Coste</t>
  </si>
  <si>
    <t>% / Ctes</t>
  </si>
  <si>
    <t xml:space="preserve">% contribución </t>
  </si>
  <si>
    <t>Fecha de realización:</t>
  </si>
  <si>
    <t xml:space="preserve">   Otros Acreedores L.P.</t>
  </si>
  <si>
    <t xml:space="preserve">   Otros Acreedores C.P.</t>
  </si>
  <si>
    <t>Créditos Largo Plazo</t>
  </si>
  <si>
    <t>%</t>
  </si>
  <si>
    <t>Tributos: IAE, IBI, ...</t>
  </si>
  <si>
    <t>Mantenimiento y reparación</t>
  </si>
  <si>
    <t>Conceptos</t>
  </si>
  <si>
    <t>Total Fuentes de Financiación</t>
  </si>
  <si>
    <t>Porcentaje</t>
  </si>
  <si>
    <t>Variación</t>
  </si>
  <si>
    <t>Costes variables</t>
  </si>
  <si>
    <t xml:space="preserve">   Existencias</t>
  </si>
  <si>
    <t xml:space="preserve">   Tesorería</t>
  </si>
  <si>
    <t>Total Recursos Permanentes</t>
  </si>
  <si>
    <t>Total Recursos Ajenos</t>
  </si>
  <si>
    <t>Ratios Básicos</t>
  </si>
  <si>
    <t>Ratios de Rentabilidad</t>
  </si>
  <si>
    <t>Fórmulas</t>
  </si>
  <si>
    <t>1. (Retorno sobre Inversión)</t>
  </si>
  <si>
    <t xml:space="preserve">    ROE (Return On Equity)</t>
  </si>
  <si>
    <t>Beneficio Neto / Recursos Propios x 100</t>
  </si>
  <si>
    <t>2. (Retorno sobre Activo)</t>
  </si>
  <si>
    <t xml:space="preserve">    ROI (Return On Investment)</t>
  </si>
  <si>
    <t>3. Margen sobre Ventas</t>
  </si>
  <si>
    <t xml:space="preserve">    ROS (Return On Sales)</t>
  </si>
  <si>
    <t>Ratios de Eficiencia</t>
  </si>
  <si>
    <t>1. Rotación del Activo</t>
  </si>
  <si>
    <t>Ingresos de Explotación / Activo Total</t>
  </si>
  <si>
    <t>2. Rotación del Circulante</t>
  </si>
  <si>
    <t>Ingresos de Explotación / Activo Circulante</t>
  </si>
  <si>
    <t>3. Rotación de Existencias</t>
  </si>
  <si>
    <t>Ingresos de Explotación / Existencias</t>
  </si>
  <si>
    <t>Ratios Financieros</t>
  </si>
  <si>
    <t>1. Liquidez</t>
  </si>
  <si>
    <t>(Activo Circulante - Existencias) / Pasivo Exigible a Corto</t>
  </si>
  <si>
    <t>2. Disponibilidad</t>
  </si>
  <si>
    <t>Activo Circulante  / Pasivo Exigible a Corto</t>
  </si>
  <si>
    <t>3. Endeudamiento o Apalancamiento</t>
  </si>
  <si>
    <t>Pasivo Exigible Total / Recursos Propios</t>
  </si>
  <si>
    <t>(Recursos Propios + Pasivo Exigible a Largo) / Activo Fijo</t>
  </si>
  <si>
    <t>(Clientes / Ingresos de Explotación) x 365</t>
  </si>
  <si>
    <t>(Acreedores Comerciales / Coste de Ventas) x 365</t>
  </si>
  <si>
    <t>Activo Circulante - Pasivo Exigible a Corto Plazo</t>
  </si>
  <si>
    <t>(Recursos Propios + Pasivo Exigible a Largo Plazo) - Activo Fijo</t>
  </si>
  <si>
    <t>Plazo de Recuperación de la Inversión:</t>
  </si>
  <si>
    <t>Número de años que se tarda en recuperar la Inversión Inicial</t>
  </si>
  <si>
    <t>Volumen de Ventas a partir del cual se genera Beneficio</t>
  </si>
  <si>
    <t>Otro Inmovilizado Material</t>
  </si>
  <si>
    <t>Existencias Iniciales</t>
  </si>
  <si>
    <t>Tesorería inicial / Disponible</t>
  </si>
  <si>
    <t>Utillaje, Herramientas, ...</t>
  </si>
  <si>
    <t>Los precios son precios medios unitarios de venta.</t>
  </si>
  <si>
    <t>Primas de Seguros</t>
  </si>
  <si>
    <t>Ventas del periodo</t>
  </si>
  <si>
    <t>Plazos de cobro</t>
  </si>
  <si>
    <t>Contado</t>
  </si>
  <si>
    <t>Compras del periodo</t>
  </si>
  <si>
    <t>Plazos de pago</t>
  </si>
  <si>
    <t xml:space="preserve">   Reservas</t>
  </si>
  <si>
    <t>Índice de Hojas del Plan Financiero:</t>
  </si>
  <si>
    <t>Años de actividad:</t>
  </si>
  <si>
    <t>% / Ventas</t>
  </si>
  <si>
    <t xml:space="preserve">   Acreedores L.P. Financieros</t>
  </si>
  <si>
    <t xml:space="preserve">   Acreedores C.P. Financieros</t>
  </si>
  <si>
    <t>Margen</t>
  </si>
  <si>
    <t>% de margen</t>
  </si>
  <si>
    <t>tipo IVA</t>
  </si>
  <si>
    <t>Productos</t>
  </si>
  <si>
    <t>% contado</t>
  </si>
  <si>
    <t>Electricidad</t>
  </si>
  <si>
    <t>Teléfono</t>
  </si>
  <si>
    <t>Teléfono móviles</t>
  </si>
  <si>
    <t>Asesoría</t>
  </si>
  <si>
    <t>Devolución de principal del préstamo</t>
  </si>
  <si>
    <t>IVA soportado de Gastos fijos</t>
  </si>
  <si>
    <t>Datos</t>
  </si>
  <si>
    <t>Interés nominal</t>
  </si>
  <si>
    <t>enero</t>
  </si>
  <si>
    <t>febrero</t>
  </si>
  <si>
    <t>marzo</t>
  </si>
  <si>
    <t>abril</t>
  </si>
  <si>
    <t>mayo</t>
  </si>
  <si>
    <t>junio</t>
  </si>
  <si>
    <t>julio</t>
  </si>
  <si>
    <t>agosto</t>
  </si>
  <si>
    <t>septiembre</t>
  </si>
  <si>
    <t>octubre</t>
  </si>
  <si>
    <t>noviembre</t>
  </si>
  <si>
    <t xml:space="preserve">  Equipos Tratamiento Información</t>
  </si>
  <si>
    <t>diciembre</t>
  </si>
  <si>
    <t>Seg. Social Empleados</t>
  </si>
  <si>
    <t>Inversión</t>
  </si>
  <si>
    <t>Inicial</t>
  </si>
  <si>
    <t>amortización</t>
  </si>
  <si>
    <t>Vehículos</t>
  </si>
  <si>
    <t>Inversión
Inicial</t>
  </si>
  <si>
    <t xml:space="preserve">   Proveedores</t>
  </si>
  <si>
    <t>COBROS</t>
  </si>
  <si>
    <t>PAGOS</t>
  </si>
  <si>
    <t>Tesorería acumulada</t>
  </si>
  <si>
    <t>Tesorerías mensuales</t>
  </si>
  <si>
    <t>Total COBROS</t>
  </si>
  <si>
    <t>Otros gastos fijos</t>
  </si>
  <si>
    <t>Reservas</t>
  </si>
  <si>
    <t>Otros pagos NO gastos</t>
  </si>
  <si>
    <t>Cobros por Ventas del año</t>
  </si>
  <si>
    <t>Total IVA Repercutido</t>
  </si>
  <si>
    <t>IVA sop. De inversiones</t>
  </si>
  <si>
    <t>IVA sop. de Gastos fijos</t>
  </si>
  <si>
    <t>Diferencias IVA</t>
  </si>
  <si>
    <t>Liquidaciones de IVA</t>
  </si>
  <si>
    <t xml:space="preserve">   H.P. acreedora IVA</t>
  </si>
  <si>
    <t>IVA repercutido</t>
  </si>
  <si>
    <t>IVA soportado de inversiones iniciales</t>
  </si>
  <si>
    <t>Cuotas de IVA</t>
  </si>
  <si>
    <t>Amortizaciones</t>
  </si>
  <si>
    <t>Margen Medio de Contribución</t>
  </si>
  <si>
    <t>Estimación del Punto de Equilibrio</t>
  </si>
  <si>
    <t xml:space="preserve">   H.P. Deudora IVA </t>
  </si>
  <si>
    <t xml:space="preserve">   Clientes</t>
  </si>
  <si>
    <t xml:space="preserve">   Crédito de accionistas</t>
  </si>
  <si>
    <t xml:space="preserve">   Subvenciones</t>
  </si>
  <si>
    <t>Coeficiente de seguridad</t>
  </si>
  <si>
    <t>Otras salidas de caja</t>
  </si>
  <si>
    <t>Terrenos y solares</t>
  </si>
  <si>
    <t>Dispuesto de póliza de crédito</t>
  </si>
  <si>
    <t xml:space="preserve">   Crédito financiero C.P.</t>
  </si>
  <si>
    <t>Nº pagos por año</t>
  </si>
  <si>
    <t>nº total de pagos</t>
  </si>
  <si>
    <t>Pagos</t>
  </si>
  <si>
    <t>periodos de carencia</t>
  </si>
  <si>
    <t>Tipo IVA
Venta</t>
  </si>
  <si>
    <t>nº páginas</t>
  </si>
  <si>
    <t>Datos Básicos</t>
  </si>
  <si>
    <t>Balance previsional año 0</t>
  </si>
  <si>
    <t>Balance previsional año 1</t>
  </si>
  <si>
    <t>Balance previsional año 2</t>
  </si>
  <si>
    <t>IVA sop. de inversiones</t>
  </si>
  <si>
    <t>COMPARATIVA Cuentas de Pérdidas y Ganancias</t>
  </si>
  <si>
    <t>Cobros y de Pagos de la Empresa</t>
  </si>
  <si>
    <t>Índice</t>
  </si>
  <si>
    <t>Transporte</t>
  </si>
  <si>
    <t>Pagos de inversiones</t>
  </si>
  <si>
    <t>Pago de dividendos</t>
  </si>
  <si>
    <t>Fuentes de Financiación Inicial</t>
  </si>
  <si>
    <t>Dotación de reservas</t>
  </si>
  <si>
    <t>Dividendos</t>
  </si>
  <si>
    <t>Resultados del ejercicio</t>
  </si>
  <si>
    <t>dotación a reservas</t>
  </si>
  <si>
    <t>Dividendo a distribuir</t>
  </si>
  <si>
    <t>% / Beneficio</t>
  </si>
  <si>
    <t xml:space="preserve">   Resultados pend. aplicación</t>
  </si>
  <si>
    <t>Promotores:</t>
  </si>
  <si>
    <t>Pérdidas a compensar</t>
  </si>
  <si>
    <t>Pagos a cuenta</t>
  </si>
  <si>
    <t>1P (abril)</t>
  </si>
  <si>
    <t>2P (octubre)</t>
  </si>
  <si>
    <t>3P (diciembre)</t>
  </si>
  <si>
    <t>Base Imponible</t>
  </si>
  <si>
    <t xml:space="preserve">% </t>
  </si>
  <si>
    <t>Cuota liquidable</t>
  </si>
  <si>
    <t>Beneficio Neto</t>
  </si>
  <si>
    <t>Resultado aplicable</t>
  </si>
  <si>
    <t xml:space="preserve">   H.P. Deudora I. Sociedades</t>
  </si>
  <si>
    <t>Pagos de Gastos Financieros</t>
  </si>
  <si>
    <t>Créditos de los socios</t>
  </si>
  <si>
    <t>% ingresos a cuenta
     Imp. Sociedades</t>
  </si>
  <si>
    <t>Inicio de la actividad:</t>
  </si>
  <si>
    <t>Trimestre Inv. Inicial</t>
  </si>
  <si>
    <t>mes</t>
  </si>
  <si>
    <t>Cobros de clientes</t>
  </si>
  <si>
    <t>Pagos pend. proveedores</t>
  </si>
  <si>
    <t>Cobros pendientes clientes</t>
  </si>
  <si>
    <t>Pagos pend. A proveedores</t>
  </si>
  <si>
    <t>Dev. préstamos socios</t>
  </si>
  <si>
    <t>Capital desembolsado</t>
  </si>
  <si>
    <t>Amortización Acumulada</t>
  </si>
  <si>
    <t>Previa</t>
  </si>
  <si>
    <t xml:space="preserve">   IVA pendiente de pago a Hacienda</t>
  </si>
  <si>
    <t>Cuota anual
amortización</t>
  </si>
  <si>
    <t>Almacén final del ejercicio anterior</t>
  </si>
  <si>
    <t xml:space="preserve">   Dispuesto crédito mes ant. al 0</t>
  </si>
  <si>
    <t>Política de Cobros de Clientes Pendientes del ejercicio anterior</t>
  </si>
  <si>
    <t>Política de Pagos pendientes a proveedores del ejercicio anterior</t>
  </si>
  <si>
    <t>Resultados anteriores (Reservas)</t>
  </si>
  <si>
    <t>Pérdidas acumuladas anteriores</t>
  </si>
  <si>
    <t>Compensación de pérdidas</t>
  </si>
  <si>
    <t>Familias de Productos
(productos o servicios)</t>
  </si>
  <si>
    <t>Tipo de IVA soportado de Gastos Fijos e Inversiones</t>
  </si>
  <si>
    <t>Balance Inicial Previo</t>
  </si>
  <si>
    <t>nº total de páginas</t>
  </si>
  <si>
    <t>Otras gastos fijos (SIN IVA)</t>
  </si>
  <si>
    <t>datos</t>
  </si>
  <si>
    <t>Déficits de tesorería</t>
  </si>
  <si>
    <t>Otros ingresos financieros</t>
  </si>
  <si>
    <t xml:space="preserve"> COMPARATIVA Balances Anuales </t>
  </si>
  <si>
    <t>Inversiones en Activos Corrientes</t>
  </si>
  <si>
    <t>Ratios Básicos Reales</t>
  </si>
  <si>
    <t>Comparativa Ratios Básicos</t>
  </si>
  <si>
    <t>Balances Anuales Reales</t>
  </si>
  <si>
    <t xml:space="preserve">Cuentas de Pérdidas y Ganancias </t>
  </si>
  <si>
    <t>Cuentas de Pérdidas y Ganancias Reales</t>
  </si>
  <si>
    <t>Parámetros de la simulación</t>
  </si>
  <si>
    <t>Recursos Humanos de la Empresa</t>
  </si>
  <si>
    <t>RR.HH. detallado por meses</t>
  </si>
  <si>
    <t>TOTAL</t>
  </si>
  <si>
    <t>Estimación del Umbral de Rentabilidad o Punto de Equilibrio</t>
  </si>
  <si>
    <t>Políticas de Pagos de Costes Variables</t>
  </si>
  <si>
    <t xml:space="preserve">          Ingresos</t>
  </si>
  <si>
    <t xml:space="preserve">          Margen Bruto s/Ventas</t>
  </si>
  <si>
    <t xml:space="preserve">          Total Gastos Explotación</t>
  </si>
  <si>
    <t xml:space="preserve">         Res. antes Int. e Imp. (BAII)</t>
  </si>
  <si>
    <t xml:space="preserve">          Resultado Financiero</t>
  </si>
  <si>
    <t xml:space="preserve">         Res. antes Impuestos (BAI)</t>
  </si>
  <si>
    <t>Activo Corriente  / Pasivo Corriente</t>
  </si>
  <si>
    <t>(Activo Corriente - Existencias) / Pasivo Corriente</t>
  </si>
  <si>
    <t>Ingresos de Explotación / Activo Corriente</t>
  </si>
  <si>
    <t>Pasivo Exigible Total / Patrimonio Neto</t>
  </si>
  <si>
    <t>Beneficio Neto / Patrimonio Neto x 100</t>
  </si>
  <si>
    <t>(BAI/BAII  x  Activo Total/Patrimonio Neto)</t>
  </si>
  <si>
    <t>(Patrimonio Neto + Pasivo No Corriente) / Activo No Corriente</t>
  </si>
  <si>
    <t>Activo Corriente - Pasivo Corriente</t>
  </si>
  <si>
    <t>(Patrimonio Neto + Pasivo No Corriente) - Activo No Corriente</t>
  </si>
  <si>
    <t xml:space="preserve">          ACTIVO</t>
  </si>
  <si>
    <t xml:space="preserve">          PASIVO</t>
  </si>
  <si>
    <t xml:space="preserve">          DEBE</t>
  </si>
  <si>
    <t xml:space="preserve">          HABER</t>
  </si>
  <si>
    <t>Activo</t>
  </si>
  <si>
    <t>Pasivo</t>
  </si>
  <si>
    <t>Debe</t>
  </si>
  <si>
    <t>Haber</t>
  </si>
  <si>
    <t>Cooperativa Protegida (S.C.A.)</t>
  </si>
  <si>
    <t>Total Inv. Inicial Activo Corriente</t>
  </si>
  <si>
    <t>Activos No Corrientes</t>
  </si>
  <si>
    <t xml:space="preserve">Patrimonio Neto </t>
  </si>
  <si>
    <t>Pasivos No Corrientes</t>
  </si>
  <si>
    <t>Pasivos Corrientes</t>
  </si>
  <si>
    <r>
      <t xml:space="preserve">          BALANCES ANUALES </t>
    </r>
    <r>
      <rPr>
        <b/>
        <sz val="14"/>
        <color theme="6" tint="-0.249977111117893"/>
        <rFont val="Verdana"/>
        <family val="2"/>
      </rPr>
      <t>PREVISIONALES</t>
    </r>
  </si>
  <si>
    <r>
      <t xml:space="preserve">          BALANCES ANUALES </t>
    </r>
    <r>
      <rPr>
        <b/>
        <sz val="14"/>
        <color theme="6" tint="-0.249977111117893"/>
        <rFont val="Verdana"/>
        <family val="2"/>
      </rPr>
      <t>REALES</t>
    </r>
  </si>
  <si>
    <r>
      <t xml:space="preserve">          </t>
    </r>
    <r>
      <rPr>
        <b/>
        <sz val="14"/>
        <color theme="6" tint="-0.249977111117893"/>
        <rFont val="Verdana"/>
        <family val="2"/>
      </rPr>
      <t>COMPARATIVA</t>
    </r>
    <r>
      <rPr>
        <sz val="14"/>
        <color theme="6" tint="-0.249977111117893"/>
        <rFont val="Verdana"/>
        <family val="2"/>
      </rPr>
      <t xml:space="preserve"> BALANCES ANUALES </t>
    </r>
  </si>
  <si>
    <r>
      <t xml:space="preserve">          CUENTAS DE RESULTADOS </t>
    </r>
    <r>
      <rPr>
        <b/>
        <sz val="14"/>
        <color theme="6" tint="-0.249977111117893"/>
        <rFont val="Verdana"/>
        <family val="2"/>
      </rPr>
      <t>PREVISIONALES</t>
    </r>
  </si>
  <si>
    <r>
      <t xml:space="preserve">          CUENTAS DE RESULTADOS </t>
    </r>
    <r>
      <rPr>
        <b/>
        <sz val="14"/>
        <color theme="6" tint="-0.249977111117893"/>
        <rFont val="Verdana"/>
        <family val="2"/>
      </rPr>
      <t>REALES</t>
    </r>
  </si>
  <si>
    <r>
      <t xml:space="preserve">          </t>
    </r>
    <r>
      <rPr>
        <b/>
        <sz val="14"/>
        <color theme="6" tint="-0.249977111117893"/>
        <rFont val="Verdana"/>
        <family val="2"/>
      </rPr>
      <t>COMPARATIVA</t>
    </r>
    <r>
      <rPr>
        <sz val="14"/>
        <color theme="6" tint="-0.249977111117893"/>
        <rFont val="Verdana"/>
        <family val="2"/>
      </rPr>
      <t xml:space="preserve"> CUENTAS DE RESULTADOS</t>
    </r>
  </si>
  <si>
    <r>
      <t xml:space="preserve">          RATIOS BÁSICOS </t>
    </r>
    <r>
      <rPr>
        <b/>
        <sz val="14"/>
        <color theme="6" tint="-0.249977111117893"/>
        <rFont val="Verdana"/>
        <family val="2"/>
      </rPr>
      <t>REALES</t>
    </r>
  </si>
  <si>
    <r>
      <t xml:space="preserve">          </t>
    </r>
    <r>
      <rPr>
        <b/>
        <sz val="14"/>
        <color theme="6" tint="-0.249977111117893"/>
        <rFont val="Verdana"/>
        <family val="2"/>
      </rPr>
      <t>COMPARATIVA</t>
    </r>
    <r>
      <rPr>
        <sz val="14"/>
        <color theme="6" tint="-0.249977111117893"/>
        <rFont val="Verdana"/>
        <family val="2"/>
      </rPr>
      <t xml:space="preserve"> RATIOS BÁSICOS</t>
    </r>
  </si>
  <si>
    <t>Traspaso de datos a Agencia IDEA</t>
  </si>
  <si>
    <t>Financiación Inicial</t>
  </si>
  <si>
    <t>2. (Retorno sobre Inversión)</t>
  </si>
  <si>
    <t>1. (Retorno sobre Capital)</t>
  </si>
  <si>
    <t>AÑO+1</t>
  </si>
  <si>
    <t>AÑO+2</t>
  </si>
  <si>
    <t>AÑO +3</t>
  </si>
  <si>
    <t>Año 3</t>
  </si>
  <si>
    <t>Plan de Inversiones Iniciales</t>
  </si>
  <si>
    <t>Edificios, locales, obras y terrenos</t>
  </si>
  <si>
    <t>Mobiliario y útiles de oficina</t>
  </si>
  <si>
    <t>Maquinaria y herramientas</t>
  </si>
  <si>
    <t>Equipos y aplicaciones informáticas</t>
  </si>
  <si>
    <t>Marcas y patentes</t>
  </si>
  <si>
    <t>Depósitos y fianzas</t>
  </si>
  <si>
    <t>Estudios previos</t>
  </si>
  <si>
    <t>Gastos de constitución (licéncias, permisos,…)</t>
  </si>
  <si>
    <t>Otros gastos</t>
  </si>
  <si>
    <t>Provisión de fondos / Tesoreria</t>
  </si>
  <si>
    <t>Inmovilizado material</t>
  </si>
  <si>
    <t>Plan de Financiación</t>
  </si>
  <si>
    <t>Recursos Propios (Mínimo el 5 % de la inversión)</t>
  </si>
  <si>
    <t>Microcrédito</t>
  </si>
  <si>
    <t>Balance de situación</t>
  </si>
  <si>
    <t>Cuenta</t>
  </si>
  <si>
    <t>Capital social</t>
  </si>
  <si>
    <t>Reserva Estatutaria</t>
  </si>
  <si>
    <t>Reserva Legal</t>
  </si>
  <si>
    <t>Pérdidas y ganancias</t>
  </si>
  <si>
    <t>Construcciones</t>
  </si>
  <si>
    <t>Otras instalaciones</t>
  </si>
  <si>
    <t>Equipos de proceso información</t>
  </si>
  <si>
    <t>Efectos a pagar</t>
  </si>
  <si>
    <t>Amortización acumulada inmovilizado material</t>
  </si>
  <si>
    <t>Anticipos proveedores</t>
  </si>
  <si>
    <t>Acreedores</t>
  </si>
  <si>
    <t>Efectos a cobrar</t>
  </si>
  <si>
    <t>Anticipos a clientes</t>
  </si>
  <si>
    <t>Hacienda Pública deudora</t>
  </si>
  <si>
    <t>Hacienda Pública Acreedora</t>
  </si>
  <si>
    <t>Amortización acumulada inmovilizado</t>
  </si>
  <si>
    <t>Cuenta de resultados</t>
  </si>
  <si>
    <t>Saldo</t>
  </si>
  <si>
    <t>Ventas (clientes)</t>
  </si>
  <si>
    <t>Otros ingresos</t>
  </si>
  <si>
    <t>Total ingresos</t>
  </si>
  <si>
    <t>Costes</t>
  </si>
  <si>
    <t xml:space="preserve">Compras </t>
  </si>
  <si>
    <t>Alquiler local</t>
  </si>
  <si>
    <t>Suministros (agua, luz, gas,…)</t>
  </si>
  <si>
    <t>Variación existencias</t>
  </si>
  <si>
    <t>Servicios externos</t>
  </si>
  <si>
    <t>Tributos</t>
  </si>
  <si>
    <t>Costes de personal</t>
  </si>
  <si>
    <t>Costes financieros</t>
  </si>
  <si>
    <t>Total costes</t>
  </si>
  <si>
    <t>Beneficios /Perdidas</t>
  </si>
  <si>
    <t>Previsión de Tesorería</t>
  </si>
  <si>
    <t>Cobros</t>
  </si>
  <si>
    <t>Total Cobros</t>
  </si>
  <si>
    <t>Retribciones propias</t>
  </si>
  <si>
    <t>Suministros</t>
  </si>
  <si>
    <t>Gastos exteriores</t>
  </si>
  <si>
    <t>Gastos diversos</t>
  </si>
  <si>
    <t>Alquileres</t>
  </si>
  <si>
    <t>Seguros</t>
  </si>
  <si>
    <t>Cuota microcrédito</t>
  </si>
  <si>
    <t>Gastos Variables</t>
  </si>
  <si>
    <t>Total Pagos</t>
  </si>
  <si>
    <t>Saldo Anterior</t>
  </si>
  <si>
    <t>Saldo Acumulado</t>
  </si>
  <si>
    <t>Caja en efectivo</t>
  </si>
  <si>
    <t>Organismos de Seguridad Social</t>
  </si>
  <si>
    <t>Bancos</t>
  </si>
  <si>
    <t>Deudas a corto plazo con entidades de crédito</t>
  </si>
  <si>
    <t>SUMA TOTAL ACTIVO</t>
  </si>
  <si>
    <t>SUMA TOTAL PASIVO</t>
  </si>
  <si>
    <t>Inmovilizado intangible</t>
  </si>
  <si>
    <t>MICROCRÉDITOS</t>
  </si>
  <si>
    <t xml:space="preserve">Resumen de Tesorerías </t>
  </si>
  <si>
    <t xml:space="preserve">          RESUMEN TESORERÍAS </t>
  </si>
  <si>
    <t>Hacienda Pública</t>
  </si>
  <si>
    <t>Certificaciones, homologaciones y derechos de traspaso</t>
  </si>
  <si>
    <t>Otros activos No corrientes necesarios</t>
  </si>
  <si>
    <t>Inmovilizado Intangible</t>
  </si>
  <si>
    <t xml:space="preserve">          PRECIOS DE VENTA Y POLÍTICA COBROS</t>
  </si>
  <si>
    <t>Precios de Venta y Política de Cobros por Familias de Productos/Servicios</t>
  </si>
  <si>
    <t xml:space="preserve">          COSTES VARIABLES Y POLÍTICA DE PAGOS</t>
  </si>
  <si>
    <t>Costes Variables y Política Pagos por Familias de Productos/Servicios</t>
  </si>
  <si>
    <t>IVA soportado pend. de devolución</t>
  </si>
  <si>
    <t>Nº de pagos por año</t>
  </si>
  <si>
    <t>año 1</t>
  </si>
  <si>
    <t>año 2</t>
  </si>
  <si>
    <t>año 3</t>
  </si>
  <si>
    <t xml:space="preserve">      INTANGIBLE</t>
  </si>
  <si>
    <t xml:space="preserve">      MATERIAL</t>
  </si>
  <si>
    <t>Otro inmovilizado intangible</t>
  </si>
  <si>
    <t>CORRIENTE</t>
  </si>
  <si>
    <t>NO CORRIENTE</t>
  </si>
  <si>
    <t xml:space="preserve">      INVERSIONES FINANCIERAS A L/P</t>
  </si>
  <si>
    <t>Inversiones Financieras a L/P</t>
  </si>
  <si>
    <t xml:space="preserve">      NO CORRIENTE</t>
  </si>
  <si>
    <t xml:space="preserve">      CORRIENTE</t>
  </si>
  <si>
    <t>Otras fianzas</t>
  </si>
  <si>
    <t>plazo amort.</t>
  </si>
  <si>
    <t>% C.V. por Unidad</t>
  </si>
  <si>
    <t>% Margen bruto unitario</t>
  </si>
  <si>
    <t>Inversión en ANC</t>
  </si>
  <si>
    <t>Inversión en AC</t>
  </si>
  <si>
    <t>Total de la Inversión</t>
  </si>
  <si>
    <t>INGRESOS</t>
  </si>
  <si>
    <t>Ejercicio n</t>
  </si>
  <si>
    <t>Ejercicio n+1</t>
  </si>
  <si>
    <t>GASTOS</t>
  </si>
  <si>
    <t>AYUDAS AUTÓNOMO</t>
  </si>
  <si>
    <t>Centro Andaluz de Emprendimiento</t>
  </si>
  <si>
    <t>CALCULO ERRORES DE REDONDEO</t>
  </si>
  <si>
    <t>SI</t>
  </si>
  <si>
    <t>Beneficiario tarifa plana</t>
  </si>
  <si>
    <t>Parte exenta de cuota</t>
  </si>
  <si>
    <t>Cuota resultante</t>
  </si>
  <si>
    <t>Mínimo vital IRPF</t>
  </si>
  <si>
    <t>% Gastos genéricos</t>
  </si>
  <si>
    <t xml:space="preserve">Rendimiento medio mensual </t>
  </si>
  <si>
    <t>SMI 2º año</t>
  </si>
  <si>
    <t>1. Ingresos por ventas y/o prestación de servicios</t>
  </si>
  <si>
    <t>2. Variación de existencias (Existencias iniciales - Existencias finales)</t>
  </si>
  <si>
    <t>3. Otros ingresos de explotación (Ingresos por arrendamientos, otros ingresos...)</t>
  </si>
  <si>
    <t>4. Aprovisionamientos (Compras de mercaderías, materias primas, trabajos realizados por otras empresas...)</t>
  </si>
  <si>
    <t>5. Gastos de personal</t>
  </si>
  <si>
    <t xml:space="preserve">             Retribución propia de la persona trabajadora autónoma.</t>
  </si>
  <si>
    <t xml:space="preserve">             Seguros de autónomos (cotización RETA/REM).</t>
  </si>
  <si>
    <t xml:space="preserve">             Sueldo del personal empleado.</t>
  </si>
  <si>
    <t xml:space="preserve">             Seguridad Social a cargo de la empresa.</t>
  </si>
  <si>
    <t>6. Servicios bancarios</t>
  </si>
  <si>
    <t>7. Gastos tributarios (IBI, IAE...)</t>
  </si>
  <si>
    <t>8. Arrendamientos</t>
  </si>
  <si>
    <t>9. Primas de seguros</t>
  </si>
  <si>
    <t>10. Mantenimiento y reparaciones</t>
  </si>
  <si>
    <t>11. Servicios exteriores (gestoría, honorarios de profesionales de la economía, abogacía,auditoria, notaría...)</t>
  </si>
  <si>
    <t>12. Transporte (combustible)</t>
  </si>
  <si>
    <t>13. Suministros (de electricidad, agua, gas natural, telefonía, internet...)</t>
  </si>
  <si>
    <t>14. Publicidad</t>
  </si>
  <si>
    <t>15. Otros (material de oficina, servicios de limpieza, de seguridad...)</t>
  </si>
  <si>
    <t>16. Amortización del inmovilizado</t>
  </si>
  <si>
    <t>A) RESULTADO DE EXPLOTACIÓN (1+2+3/-4-5-6-7-8-9-10-11-12-13-14-15-16)</t>
  </si>
  <si>
    <t>17. Ingresos financieros (Intereses generados por préstamos concedidos...)</t>
  </si>
  <si>
    <t>18. Gastos financieros (Intereses de un préstamo, crédito u otra deuda...)</t>
  </si>
  <si>
    <t>B) RESULTADO FINANCIERO (17-18)</t>
  </si>
  <si>
    <t>C) RESULTADO ANTES DE IMPUESTOS (A+B)</t>
  </si>
  <si>
    <t>CUENTA DE RESULTADOS PREVISIONAL</t>
  </si>
  <si>
    <t>LINEA 2. INICIO ACTIVIDAD 2023</t>
  </si>
  <si>
    <t>Documentacion y suscripciones</t>
  </si>
  <si>
    <t>Tabla de Tipos del I.R.P.F. En Euros (Ejercicio fiscal 2026)</t>
  </si>
  <si>
    <t>Fecha actualización: Octubre 2026</t>
  </si>
  <si>
    <t>CADE 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</si>
</sst>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2">
    <numFmt numFmtId="44" formatCode="_-* #,##0.00\ &quot;€&quot;_-;\-* #,##0.00\ &quot;€&quot;_-;_-* &quot;-&quot;??\ &quot;€&quot;_-;_-@_-"/>
    <numFmt numFmtId="164" formatCode="_-* #,##0\ _P_t_s_-;\-* #,##0\ _P_t_s_-;_-* &quot;-&quot;\ _P_t_s_-;_-@_-"/>
    <numFmt numFmtId="165" formatCode="_-* #,##0.00\ _P_t_s_-;\-* #,##0.00\ _P_t_s_-;_-* &quot;-&quot;??\ _P_t_s_-;_-@_-"/>
    <numFmt numFmtId="166" formatCode="0.0%"/>
    <numFmt numFmtId="167" formatCode="#,##0.0000000000"/>
    <numFmt numFmtId="168" formatCode="#,##0_ ;[Red]\-#,##0\ "/>
    <numFmt numFmtId="169" formatCode="_-* #,##0\ _P_t_s_-;\(\ #,##0\ \)_*;_-* &quot;-&quot;\ _P_t_s_-;_-@_-"/>
    <numFmt numFmtId="170" formatCode="0_ ;[Red]\-0\ "/>
    <numFmt numFmtId="171" formatCode="&quot;a&quot;\ ###\ &quot;días&quot;"/>
    <numFmt numFmtId="172" formatCode="&quot;% a&quot;\ ###\ &quot;días&quot;"/>
    <numFmt numFmtId="173" formatCode="#,##0\ &quot;periodos&quot;"/>
    <numFmt numFmtId="174" formatCode="#,##0\ \€"/>
    <numFmt numFmtId="175" formatCode="0.000"/>
    <numFmt numFmtId="176" formatCode="mmmm\-yyyy"/>
    <numFmt numFmtId="177" formatCode="#,##0.00_ ;[Red]\-#,##0.00\ "/>
    <numFmt numFmtId="178" formatCode="&quot;mes&quot;\ 0"/>
    <numFmt numFmtId="179" formatCode="mmmm"/>
    <numFmt numFmtId="180" formatCode="0.0%;[Red]\-0.0%"/>
    <numFmt numFmtId="181" formatCode="0.00_ ;[Red]\-0.00\ "/>
    <numFmt numFmtId="182" formatCode="0%;;\-"/>
    <numFmt numFmtId="183" formatCode="_-* #,##0\ _P_t_s_-;\(\ #,##0\ \)_*_*_*;_-* &quot;-&quot;\ _P_t_s_-;_-@_-"/>
    <numFmt numFmtId="184" formatCode="_-* #,##0\ _P_t_s_-;[Red]\(\ #,##0\ \)_*_*_*;_-* &quot;-&quot;\ _P_t_s_-;_-@_-"/>
    <numFmt numFmtId="185" formatCode="0%;\-0%;\-"/>
    <numFmt numFmtId="186" formatCode="#,##0.0"/>
    <numFmt numFmtId="187" formatCode="#,##0\ _€"/>
    <numFmt numFmtId="188" formatCode="\+\ #,##0\ ;[Red]\-\ #,##0;\-"/>
    <numFmt numFmtId="189" formatCode="_-* #,##0\ _P_t_s_-;[Red]\(\ #,##0\ \)\ _P_t_s_-;_-* &quot;-&quot;\ _P_t_s_-;_-@_-"/>
    <numFmt numFmtId="190" formatCode="_-* #,##0\ _P_t_s_-;[Red]\(\ #,##0\ \)\ _*\ \ \ \ ;_-* &quot;-&quot;\ _P_t_s_-;_-@_-"/>
    <numFmt numFmtId="191" formatCode="#,##0.0%_*;[Red]\(\ #,##0.0%\ \)_*"/>
    <numFmt numFmtId="192" formatCode="#,##0_*;[Red]\(\ #,##0\ \)_*"/>
    <numFmt numFmtId="193" formatCode="#,##0.0%;[Red]\(\ #,##0.0%\ \)"/>
    <numFmt numFmtId="194" formatCode="#,##0;[Red]\(\ #,##0\ \)_*"/>
    <numFmt numFmtId="195" formatCode="#,##0.00_*;[Red]\(\ #,##0.00\ \)_*"/>
    <numFmt numFmtId="196" formatCode="#,##0_*;[Red]\(#,##0\)_*"/>
    <numFmt numFmtId="197" formatCode="0.00%_*;[Red]\(\ 0.00%\ \)_*"/>
    <numFmt numFmtId="198" formatCode="#,##0.00_ ;[Red]\-#,##0.00\ ;;@"/>
    <numFmt numFmtId="199" formatCode="#,##0\ \ _*;[Red]\(\ #,##0\ \)_*"/>
    <numFmt numFmtId="200" formatCode="#,##0\ \ _*;[Red]\(\ #,##0\ \)"/>
    <numFmt numFmtId="201" formatCode="#,##0_*"/>
    <numFmt numFmtId="202" formatCode="0.0%_*"/>
    <numFmt numFmtId="203" formatCode="#,##0_*;[Red]\(\ #,##0\ \)"/>
    <numFmt numFmtId="204" formatCode="dd/mm/yyyy;@"/>
    <numFmt numFmtId="205" formatCode="#,##0.0%_*;[Red]\(\ #,##0.0%\ \)"/>
    <numFmt numFmtId="206" formatCode="#,##0.00_*"/>
    <numFmt numFmtId="207" formatCode="0.#0%_*;;\-\ _*"/>
    <numFmt numFmtId="208" formatCode="#,##0_*;;\-\ \ \ _*"/>
    <numFmt numFmtId="209" formatCode="#,##0_*;;\-\ \ _*"/>
    <numFmt numFmtId="210" formatCode="0.00%;;\-\ \ \ _*"/>
    <numFmt numFmtId="211" formatCode="#,##0.00;;\-"/>
    <numFmt numFmtId="212" formatCode="#,##0\ _*;\(\ #,##0\ \)_*"/>
    <numFmt numFmtId="213" formatCode="0.00%_*"/>
    <numFmt numFmtId="214" formatCode="0.0"/>
    <numFmt numFmtId="215" formatCode="#,##0_*\ ;[Red]\(#,##0\)_*"/>
    <numFmt numFmtId="216" formatCode="#,##0_*;[Red]\(#,##0\)"/>
    <numFmt numFmtId="217" formatCode="#,##0_*;\(\ #,##0\ \)_*"/>
    <numFmt numFmtId="218" formatCode="&quot;Año&quot;\ \ 0"/>
    <numFmt numFmtId="219" formatCode="&quot;Año&quot;\ \ 0\ &quot;:&quot;"/>
    <numFmt numFmtId="220" formatCode="&quot;Año&quot;\ 0"/>
    <numFmt numFmtId="221" formatCode="#,##0_*;[Red]\ \(\ #,##0\ \)"/>
    <numFmt numFmtId="222" formatCode="&quot;Año&quot;\ 0\ &quot;:&quot;"/>
    <numFmt numFmtId="223" formatCode="&quot;Año&quot;\ 0&quot;:&quot;"/>
    <numFmt numFmtId="224" formatCode="_-* #,##0.00\ _P_t_s_-;\-* #,##0.00\ _P_t_s_-;_-* &quot;-&quot;\ _P_t_s_-;_-@_-"/>
    <numFmt numFmtId="225" formatCode="&quot;Año &quot;0"/>
    <numFmt numFmtId="226" formatCode="#,##0.00_*;;\-\ \ \ _*"/>
    <numFmt numFmtId="227" formatCode="#,##0.00_*;;\-\ \ _*"/>
    <numFmt numFmtId="228" formatCode="_-* #,##0\ _P_t_s_-;\(\ #,##0\ \)\ \ _*;_-* &quot;-&quot;\ _P_t_s_-;_-@_-"/>
    <numFmt numFmtId="229" formatCode="#,##0.0%;[Red]\ \(#,##0.0%\)"/>
    <numFmt numFmtId="230" formatCode="#,##0_*;;\-\ _*"/>
    <numFmt numFmtId="231" formatCode="#,##0.00_*;[Red]\(\ #,##0.00\ \)_*;\-\ _*"/>
    <numFmt numFmtId="232" formatCode="#,##0_*;;\-\ \-_*"/>
    <numFmt numFmtId="233" formatCode="0.0%_*;[Red]\(0.0%\)"/>
    <numFmt numFmtId="234" formatCode="_-* #,##0\ _P_t_s_-;\-* #,##0\ _P_t_s_-;_-* &quot;-&quot;??\ _P_t_s_-;_-@_-"/>
  </numFmts>
  <fonts count="174" x14ac:knownFonts="1">
    <font>
      <sz val="12"/>
      <name val="Calibri"/>
      <family val="2"/>
    </font>
    <font>
      <sz val="12"/>
      <color theme="1"/>
      <name val="Calibri"/>
      <family val="2"/>
    </font>
    <font>
      <sz val="11"/>
      <name val="Calibri"/>
      <family val="2"/>
    </font>
    <font>
      <sz val="11"/>
      <name val="Calibri"/>
      <family val="2"/>
    </font>
    <font>
      <b/>
      <sz val="11"/>
      <name val="Calibri"/>
      <family val="2"/>
    </font>
    <font>
      <b/>
      <sz val="13"/>
      <name val="Calibri"/>
      <family val="2"/>
    </font>
    <font>
      <b/>
      <sz val="15"/>
      <name val="Calibri"/>
      <family val="2"/>
    </font>
    <font>
      <sz val="15"/>
      <name val="Calibri"/>
      <family val="2"/>
    </font>
    <font>
      <b/>
      <sz val="21"/>
      <name val="Calibri"/>
      <family val="2"/>
    </font>
    <font>
      <b/>
      <sz val="13"/>
      <name val="Calibri"/>
      <family val="2"/>
    </font>
    <font>
      <sz val="13"/>
      <name val="Calibri"/>
      <family val="2"/>
    </font>
    <font>
      <b/>
      <sz val="11"/>
      <name val="Calibri"/>
      <family val="2"/>
    </font>
    <font>
      <b/>
      <sz val="9"/>
      <name val="Calibri"/>
      <family val="2"/>
    </font>
    <font>
      <sz val="9"/>
      <name val="Calibri"/>
      <family val="2"/>
    </font>
    <font>
      <b/>
      <sz val="17"/>
      <name val="Calibri"/>
      <family val="2"/>
    </font>
    <font>
      <b/>
      <sz val="19"/>
      <name val="Calibri"/>
      <family val="2"/>
    </font>
    <font>
      <b/>
      <sz val="13"/>
      <name val="Calibri"/>
      <family val="2"/>
    </font>
    <font>
      <b/>
      <sz val="15"/>
      <name val="Calibri"/>
      <family val="2"/>
    </font>
    <font>
      <i/>
      <sz val="13"/>
      <name val="Calibri"/>
      <family val="2"/>
    </font>
    <font>
      <b/>
      <sz val="11"/>
      <color indexed="9"/>
      <name val="Calibri"/>
      <family val="2"/>
    </font>
    <font>
      <u/>
      <sz val="11.2"/>
      <color rgb="FF1A44A8"/>
      <name val="Calibri"/>
      <family val="2"/>
    </font>
    <font>
      <sz val="13"/>
      <name val="Calibri"/>
      <family val="2"/>
    </font>
    <font>
      <b/>
      <sz val="11"/>
      <name val="Calibri"/>
      <family val="2"/>
    </font>
    <font>
      <sz val="13"/>
      <color indexed="9"/>
      <name val="Calibri"/>
      <family val="2"/>
    </font>
    <font>
      <b/>
      <sz val="15"/>
      <color rgb="FFD92D20"/>
      <name val="Calibri"/>
      <family val="2"/>
    </font>
    <font>
      <b/>
      <sz val="15"/>
      <color indexed="9"/>
      <name val="Calibri"/>
      <family val="2"/>
    </font>
    <font>
      <b/>
      <sz val="13"/>
      <color indexed="9"/>
      <name val="Calibri"/>
      <family val="2"/>
    </font>
    <font>
      <u/>
      <sz val="13"/>
      <color indexed="9"/>
      <name val="Calibri"/>
      <family val="2"/>
    </font>
    <font>
      <sz val="11"/>
      <color indexed="9"/>
      <name val="Calibri"/>
      <family val="2"/>
    </font>
    <font>
      <sz val="21"/>
      <name val="Calibri"/>
      <family val="2"/>
    </font>
    <font>
      <sz val="12"/>
      <name val="Calibri"/>
      <family val="2"/>
    </font>
    <font>
      <sz val="11"/>
      <name val="Calibri"/>
      <family val="2"/>
    </font>
    <font>
      <sz val="11"/>
      <name val="Calibri"/>
      <family val="2"/>
    </font>
    <font>
      <b/>
      <sz val="17"/>
      <name val="Calibri"/>
      <family val="2"/>
    </font>
    <font>
      <sz val="11"/>
      <color indexed="9"/>
      <name val="Calibri"/>
      <family val="2"/>
    </font>
    <font>
      <b/>
      <sz val="11"/>
      <color indexed="9"/>
      <name val="Calibri"/>
      <family val="2"/>
    </font>
    <font>
      <b/>
      <sz val="16"/>
      <name val="Calibri"/>
      <family val="2"/>
    </font>
    <font>
      <b/>
      <sz val="12"/>
      <name val="Calibri"/>
      <family val="2"/>
    </font>
    <font>
      <b/>
      <sz val="23"/>
      <name val="Calibri"/>
      <family val="2"/>
    </font>
    <font>
      <sz val="15"/>
      <name val="Calibri"/>
      <family val="2"/>
    </font>
    <font>
      <sz val="17"/>
      <name val="Calibri"/>
      <family val="2"/>
    </font>
    <font>
      <sz val="13"/>
      <name val="Calibri"/>
      <family val="2"/>
    </font>
    <font>
      <b/>
      <sz val="11"/>
      <color indexed="9"/>
      <name val="Calibri"/>
      <family val="2"/>
    </font>
    <font>
      <b/>
      <sz val="12"/>
      <color indexed="9"/>
      <name val="Calibri"/>
      <family val="2"/>
    </font>
    <font>
      <b/>
      <sz val="15"/>
      <color indexed="9"/>
      <name val="Calibri"/>
      <family val="2"/>
    </font>
    <font>
      <b/>
      <sz val="11"/>
      <color rgb="FFD92D20"/>
      <name val="Calibri"/>
      <family val="2"/>
    </font>
    <font>
      <sz val="13"/>
      <color rgb="FFD92D20"/>
      <name val="Calibri"/>
      <family val="2"/>
    </font>
    <font>
      <sz val="13"/>
      <color indexed="9"/>
      <name val="Calibri"/>
      <family val="2"/>
    </font>
    <font>
      <b/>
      <sz val="13"/>
      <color indexed="9"/>
      <name val="Calibri"/>
      <family val="2"/>
    </font>
    <font>
      <b/>
      <sz val="13"/>
      <color rgb="FFD92D20"/>
      <name val="Calibri"/>
      <family val="2"/>
    </font>
    <font>
      <b/>
      <sz val="19"/>
      <name val="Calibri"/>
      <family val="2"/>
    </font>
    <font>
      <sz val="19"/>
      <name val="Calibri"/>
      <family val="2"/>
    </font>
    <font>
      <b/>
      <sz val="21"/>
      <name val="Calibri"/>
      <family val="2"/>
    </font>
    <font>
      <u/>
      <sz val="13"/>
      <color rgb="FF1A44A8"/>
      <name val="Calibri"/>
      <family val="2"/>
    </font>
    <font>
      <b/>
      <sz val="16"/>
      <color indexed="9"/>
      <name val="Calibri"/>
      <family val="2"/>
    </font>
    <font>
      <sz val="15"/>
      <color indexed="9"/>
      <name val="Calibri"/>
      <family val="2"/>
    </font>
    <font>
      <b/>
      <sz val="9"/>
      <name val="Calibri"/>
      <family val="2"/>
    </font>
    <font>
      <i/>
      <sz val="15"/>
      <name val="Calibri"/>
      <family val="2"/>
    </font>
    <font>
      <b/>
      <sz val="10"/>
      <name val="Calibri"/>
      <family val="2"/>
    </font>
    <font>
      <sz val="11"/>
      <color rgb="FF4A5A6B"/>
      <name val="Calibri"/>
      <family val="2"/>
    </font>
    <font>
      <sz val="11"/>
      <color indexed="9"/>
      <name val="Calibri"/>
      <family val="2"/>
    </font>
    <font>
      <sz val="12"/>
      <name val="Calibri"/>
      <family val="2"/>
    </font>
    <font>
      <sz val="10"/>
      <name val="Calibri"/>
      <family val="2"/>
    </font>
    <font>
      <b/>
      <sz val="20"/>
      <name val="Calibri"/>
      <family val="2"/>
    </font>
    <font>
      <b/>
      <sz val="20"/>
      <color rgb="FFD92D20"/>
      <name val="Calibri"/>
      <family val="2"/>
    </font>
    <font>
      <i/>
      <sz val="13"/>
      <name val="Calibri"/>
      <family val="2"/>
    </font>
    <font>
      <b/>
      <sz val="12"/>
      <color rgb="FFD92D20"/>
      <name val="Calibri"/>
      <family val="2"/>
    </font>
    <font>
      <sz val="9"/>
      <name val="Calibri"/>
      <family val="2"/>
    </font>
    <font>
      <b/>
      <sz val="27"/>
      <name val="Calibri"/>
      <family val="2"/>
    </font>
    <font>
      <sz val="12"/>
      <color rgb="FFD92D20"/>
      <name val="Calibri"/>
      <family val="2"/>
    </font>
    <font>
      <sz val="9"/>
      <color indexed="9"/>
      <name val="Calibri"/>
      <family val="2"/>
    </font>
    <font>
      <b/>
      <sz val="9"/>
      <color indexed="9"/>
      <name val="Calibri"/>
      <family val="2"/>
    </font>
    <font>
      <sz val="12"/>
      <color indexed="8"/>
      <name val="Calibri"/>
      <family val="2"/>
    </font>
    <font>
      <sz val="12"/>
      <color indexed="9"/>
      <name val="Calibri"/>
      <family val="2"/>
    </font>
    <font>
      <sz val="12"/>
      <color rgb="FF0A6A73"/>
      <name val="Calibri"/>
      <family val="2"/>
    </font>
    <font>
      <b/>
      <sz val="12"/>
      <color rgb="FFD92D20"/>
      <name val="Calibri"/>
      <family val="2"/>
    </font>
    <font>
      <b/>
      <sz val="12"/>
      <color indexed="9"/>
      <name val="Calibri"/>
      <family val="2"/>
    </font>
    <font>
      <sz val="12"/>
      <color rgb="FFD92D20"/>
      <name val="Calibri"/>
      <family val="2"/>
    </font>
    <font>
      <b/>
      <sz val="12"/>
      <color rgb="FF1A44A8"/>
      <name val="Calibri"/>
      <family val="2"/>
    </font>
    <font>
      <sz val="12"/>
      <color rgb="FF1A44A8"/>
      <name val="Calibri"/>
      <family val="2"/>
    </font>
    <font>
      <sz val="12"/>
      <color rgb="FF7E6BC4"/>
      <name val="Calibri"/>
      <family val="2"/>
    </font>
    <font>
      <sz val="12"/>
      <color rgb="FFB7791F"/>
      <name val="Calibri"/>
      <family val="2"/>
    </font>
    <font>
      <b/>
      <sz val="12"/>
      <color rgb="FF2B3A4B"/>
      <name val="Calibri"/>
      <family val="2"/>
    </font>
    <font>
      <i/>
      <sz val="12"/>
      <color rgb="FF4A5A6B"/>
      <name val="Calibri"/>
      <family val="2"/>
    </font>
    <font>
      <b/>
      <sz val="19"/>
      <color rgb="FF1A44A8"/>
      <name val="Calibri"/>
      <family val="2"/>
    </font>
    <font>
      <b/>
      <sz val="16"/>
      <color rgb="FF1A44A8"/>
      <name val="Calibri"/>
      <family val="2"/>
    </font>
    <font>
      <b/>
      <sz val="14"/>
      <color rgb="FF1A44A8"/>
      <name val="Calibri"/>
      <family val="2"/>
    </font>
    <font>
      <b/>
      <sz val="12"/>
      <color indexed="8"/>
      <name val="Calibri"/>
      <family val="2"/>
    </font>
    <font>
      <sz val="15"/>
      <color rgb="FF1A44A8"/>
      <name val="Calibri"/>
      <family val="2"/>
    </font>
    <font>
      <b/>
      <sz val="17"/>
      <color indexed="9"/>
      <name val="Calibri"/>
      <family val="2"/>
    </font>
    <font>
      <b/>
      <sz val="15"/>
      <color rgb="FF4A5A6B"/>
      <name val="Calibri"/>
      <family val="2"/>
    </font>
    <font>
      <b/>
      <sz val="15"/>
      <color rgb="FF1A44A8"/>
      <name val="Calibri"/>
      <family val="2"/>
    </font>
    <font>
      <b/>
      <sz val="21"/>
      <color indexed="9"/>
      <name val="Calibri"/>
      <family val="2"/>
    </font>
    <font>
      <sz val="17"/>
      <color indexed="9"/>
      <name val="Calibri"/>
      <family val="2"/>
    </font>
    <font>
      <b/>
      <sz val="19"/>
      <color indexed="9"/>
      <name val="Calibri"/>
      <family val="2"/>
    </font>
    <font>
      <b/>
      <sz val="10"/>
      <color indexed="9"/>
      <name val="Calibri"/>
      <family val="2"/>
    </font>
    <font>
      <b/>
      <sz val="20"/>
      <color indexed="9"/>
      <name val="Calibri"/>
      <family val="2"/>
    </font>
    <font>
      <b/>
      <sz val="13"/>
      <color rgb="FF0A6A73"/>
      <name val="Calibri"/>
      <family val="2"/>
    </font>
    <font>
      <b/>
      <sz val="12"/>
      <color rgb="FF1A44A8"/>
      <name val="Calibri"/>
      <family val="2"/>
    </font>
    <font>
      <sz val="21"/>
      <color indexed="9"/>
      <name val="Calibri"/>
      <family val="2"/>
    </font>
    <font>
      <b/>
      <sz val="13"/>
      <color theme="1"/>
      <name val="Calibri"/>
      <family val="2"/>
    </font>
    <font>
      <b/>
      <sz val="13"/>
      <color theme="0"/>
      <name val="Calibri"/>
      <family val="2"/>
    </font>
    <font>
      <b/>
      <sz val="13"/>
      <color rgb="FF0A6A73"/>
      <name val="Calibri"/>
      <family val="2"/>
    </font>
    <font>
      <b/>
      <sz val="10"/>
      <color theme="0"/>
      <name val="Calibri"/>
      <family val="2"/>
    </font>
    <font>
      <b/>
      <sz val="11"/>
      <color theme="0"/>
      <name val="Calibri"/>
      <family val="2"/>
    </font>
    <font>
      <b/>
      <sz val="21"/>
      <color theme="1"/>
      <name val="Calibri"/>
      <family val="2"/>
    </font>
    <font>
      <sz val="11"/>
      <color theme="0"/>
      <name val="Calibri"/>
      <family val="2"/>
    </font>
    <font>
      <b/>
      <sz val="21"/>
      <color theme="0"/>
      <name val="Calibri"/>
      <family val="2"/>
    </font>
    <font>
      <sz val="21"/>
      <color theme="0"/>
      <name val="Calibri"/>
      <family val="2"/>
    </font>
    <font>
      <b/>
      <sz val="15"/>
      <color theme="0"/>
      <name val="Calibri"/>
      <family val="2"/>
    </font>
    <font>
      <sz val="13"/>
      <color theme="0"/>
      <name val="Calibri"/>
      <family val="2"/>
    </font>
    <font>
      <b/>
      <sz val="17"/>
      <color rgb="FF0A6A73"/>
      <name val="Calibri"/>
      <family val="2"/>
    </font>
    <font>
      <sz val="17"/>
      <color rgb="FF0A6A73"/>
      <name val="Calibri"/>
      <family val="2"/>
    </font>
    <font>
      <b/>
      <sz val="15"/>
      <color rgb="FF4A5A6B"/>
      <name val="Calibri"/>
      <family val="2"/>
    </font>
    <font>
      <b/>
      <sz val="13"/>
      <color rgb="FF4A5A6B"/>
      <name val="Calibri"/>
      <family val="2"/>
    </font>
    <font>
      <b/>
      <sz val="13"/>
      <color rgb="FF4A5A6B"/>
      <name val="Calibri"/>
      <family val="2"/>
    </font>
    <font>
      <sz val="15"/>
      <color rgb="FF4A5A6B"/>
      <name val="Calibri"/>
      <family val="2"/>
    </font>
    <font>
      <sz val="15"/>
      <color rgb="FF0A6A73"/>
      <name val="Calibri"/>
      <family val="2"/>
    </font>
    <font>
      <b/>
      <sz val="15"/>
      <color rgb="FF0A6A73"/>
      <name val="Calibri"/>
      <family val="2"/>
    </font>
    <font>
      <sz val="13"/>
      <color rgb="FF0A6A73"/>
      <name val="Calibri"/>
      <family val="2"/>
    </font>
    <font>
      <b/>
      <sz val="12"/>
      <color rgb="FF4A5A6B"/>
      <name val="Calibri"/>
      <family val="2"/>
    </font>
    <font>
      <b/>
      <sz val="11"/>
      <color rgb="FF4A5A6B"/>
      <name val="Calibri"/>
      <family val="2"/>
    </font>
    <font>
      <b/>
      <sz val="11"/>
      <color rgb="FF1A44A8"/>
      <name val="Calibri"/>
      <family val="2"/>
    </font>
    <font>
      <sz val="11"/>
      <color rgb="FF4A5A6B"/>
      <name val="Calibri"/>
      <family val="2"/>
    </font>
    <font>
      <b/>
      <sz val="11"/>
      <color rgb="FF4A5A6B"/>
      <name val="Calibri"/>
      <family val="2"/>
    </font>
    <font>
      <b/>
      <sz val="9"/>
      <color rgb="FF1A44A8"/>
      <name val="Calibri"/>
      <family val="2"/>
    </font>
    <font>
      <sz val="15"/>
      <color rgb="FF4A5A6B"/>
      <name val="Calibri"/>
      <family val="2"/>
    </font>
    <font>
      <sz val="13"/>
      <color rgb="FFD92D20"/>
      <name val="Calibri"/>
      <family val="2"/>
    </font>
    <font>
      <sz val="11"/>
      <color rgb="FFD92D20"/>
      <name val="Calibri"/>
      <family val="2"/>
    </font>
    <font>
      <sz val="13"/>
      <color theme="0"/>
      <name val="Calibri"/>
      <family val="2"/>
    </font>
    <font>
      <b/>
      <sz val="15"/>
      <color theme="1"/>
      <name val="Calibri"/>
      <family val="2"/>
    </font>
    <font>
      <b/>
      <sz val="11"/>
      <color rgb="FFD92D20"/>
      <name val="Calibri"/>
      <family val="2"/>
    </font>
    <font>
      <b/>
      <sz val="12"/>
      <color theme="0"/>
      <name val="Calibri"/>
      <family val="2"/>
    </font>
    <font>
      <b/>
      <sz val="10"/>
      <color rgb="FF0A6A73"/>
      <name val="Calibri"/>
      <family val="2"/>
    </font>
    <font>
      <b/>
      <sz val="12"/>
      <color theme="1"/>
      <name val="Calibri"/>
      <family val="2"/>
    </font>
    <font>
      <sz val="12"/>
      <color theme="0"/>
      <name val="Calibri"/>
      <family val="2"/>
    </font>
    <font>
      <sz val="10"/>
      <color theme="1"/>
      <name val="Calibri"/>
      <family val="2"/>
    </font>
    <font>
      <sz val="10"/>
      <color rgb="FF0A6A73"/>
      <name val="Calibri"/>
      <family val="2"/>
    </font>
    <font>
      <sz val="10"/>
      <color rgb="FF0A6A73"/>
      <name val="Calibri"/>
      <family val="2"/>
    </font>
    <font>
      <b/>
      <sz val="10"/>
      <color rgb="FF0A6A73"/>
      <name val="Calibri"/>
      <family val="2"/>
    </font>
    <font>
      <sz val="12"/>
      <color rgb="FF0A6A73"/>
      <name val="Calibri"/>
      <family val="2"/>
    </font>
    <font>
      <sz val="11"/>
      <color theme="1"/>
      <name val="Calibri"/>
      <family val="2"/>
    </font>
    <font>
      <sz val="10"/>
      <color theme="0"/>
      <name val="Calibri"/>
      <family val="2"/>
    </font>
    <font>
      <sz val="19"/>
      <name val="Calibri"/>
      <family val="2"/>
    </font>
    <font>
      <b/>
      <sz val="13"/>
      <color rgb="FFD92D20"/>
      <name val="Calibri"/>
      <family val="2"/>
    </font>
    <font>
      <b/>
      <sz val="11"/>
      <color rgb="FFD92D20"/>
      <name val="Calibri"/>
      <family val="2"/>
    </font>
    <font>
      <b/>
      <sz val="13"/>
      <color rgb="FFD92D20"/>
      <name val="Calibri"/>
      <family val="2"/>
    </font>
    <font>
      <b/>
      <sz val="15"/>
      <color rgb="FFD92D20"/>
      <name val="Calibri"/>
      <family val="2"/>
    </font>
    <font>
      <b/>
      <sz val="15"/>
      <color rgb="FFD92D20"/>
      <name val="Calibri"/>
      <family val="2"/>
    </font>
    <font>
      <b/>
      <sz val="13"/>
      <color theme="0"/>
      <name val="Calibri"/>
      <family val="2"/>
    </font>
    <font>
      <b/>
      <sz val="11"/>
      <color rgb="FFFFFFFF"/>
      <name val="Calibri"/>
      <family val="2"/>
    </font>
    <font>
      <sz val="11"/>
      <color rgb="FFFFFFFF"/>
      <name val="Calibri"/>
      <family val="2"/>
    </font>
    <font>
      <b/>
      <sz val="11"/>
      <color rgb="FFFFFFFF"/>
      <name val="Calibri"/>
      <family val="2"/>
    </font>
    <font>
      <sz val="11"/>
      <color rgb="FFFFFFFF"/>
      <name val="Calibri"/>
      <family val="2"/>
    </font>
    <font>
      <b/>
      <sz val="13"/>
      <color rgb="FFFFFFFF"/>
      <name val="Calibri"/>
      <family val="2"/>
    </font>
    <font>
      <sz val="12"/>
      <color rgb="FFFFFFFF"/>
      <name val="Calibri"/>
      <family val="2"/>
    </font>
    <font>
      <sz val="13"/>
      <color rgb="FFFFFFFF"/>
      <name val="Calibri"/>
      <family val="2"/>
    </font>
    <font>
      <sz val="21"/>
      <color rgb="FFFFFFFF"/>
      <name val="Calibri"/>
      <family val="2"/>
    </font>
    <font>
      <sz val="11"/>
      <color rgb="FFFFFFFF"/>
      <name val="Calibri"/>
      <family val="2"/>
    </font>
    <font>
      <sz val="11"/>
      <color rgb="FFFFFFFF"/>
      <name val="Calibri"/>
      <family val="2"/>
    </font>
    <font>
      <vertAlign val="superscript"/>
      <sz val="10"/>
      <name val="Arial"/>
      <family val="2"/>
    </font>
    <font>
      <sz val="10"/>
      <name val="Arial"/>
      <family val="2"/>
    </font>
    <font>
      <vertAlign val="superscript"/>
      <sz val="14"/>
      <name val="Arial"/>
      <family val="2"/>
    </font>
    <font>
      <sz val="14"/>
      <name val="Arial"/>
      <family val="2"/>
    </font>
    <font>
      <b/>
      <sz val="14"/>
      <color theme="6" tint="-0.249977111117893"/>
      <name val="Verdana"/>
      <family val="2"/>
    </font>
    <font>
      <sz val="14"/>
      <color theme="6" tint="-0.249977111117893"/>
      <name val="Verdana"/>
      <family val="2"/>
    </font>
    <font>
      <sz val="12"/>
      <color indexed="81"/>
      <name val="Tahoma"/>
      <family val="2"/>
    </font>
    <font>
      <sz val="8"/>
      <color indexed="81"/>
      <name val="Tahoma"/>
      <family val="2"/>
    </font>
    <font>
      <sz val="10"/>
      <color indexed="81"/>
      <name val="Tahoma"/>
      <family val="2"/>
    </font>
    <font>
      <sz val="11"/>
      <color indexed="81"/>
      <name val="Tahoma"/>
      <family val="2"/>
    </font>
    <font>
      <b/>
      <sz val="10"/>
      <color indexed="81"/>
      <name val="Tahoma"/>
      <family val="2"/>
    </font>
    <font>
      <b/>
      <sz val="8"/>
      <color indexed="81"/>
      <name val="Tahoma"/>
      <family val="2"/>
    </font>
    <font>
      <b/>
      <sz val="12"/>
      <color indexed="81"/>
      <name val="Tahoma"/>
      <family val="2"/>
    </font>
    <font>
      <b/>
      <sz val="11"/>
      <color indexed="81"/>
      <name val="Tahoma"/>
      <family val="2"/>
    </font>
  </fonts>
  <fills count="57">
    <fill>
      <patternFill patternType="none"/>
    </fill>
    <fill>
      <patternFill patternType="gray125"/>
    </fill>
    <fill>
      <patternFill patternType="solid">
        <fgColor rgb="FF80ADD9"/>
        <bgColor indexed="64"/>
      </patternFill>
    </fill>
    <fill>
      <patternFill patternType="solid">
        <fgColor rgb="FFF28B82"/>
        <bgColor indexed="64"/>
      </patternFill>
    </fill>
    <fill>
      <patternFill patternType="solid">
        <fgColor rgb="FFFFEDB0"/>
        <bgColor indexed="64"/>
      </patternFill>
    </fill>
    <fill>
      <patternFill patternType="solid">
        <fgColor rgb="FFCDD2D9"/>
        <bgColor indexed="64"/>
      </patternFill>
    </fill>
    <fill>
      <patternFill patternType="solid">
        <fgColor rgb="FF7CC9D0"/>
        <bgColor indexed="64"/>
      </patternFill>
    </fill>
    <fill>
      <patternFill patternType="solid">
        <fgColor rgb="FFFFDD7A"/>
        <bgColor indexed="64"/>
      </patternFill>
    </fill>
    <fill>
      <patternFill patternType="solid">
        <fgColor rgb="FF7E6BC4"/>
        <bgColor indexed="64"/>
      </patternFill>
    </fill>
    <fill>
      <patternFill patternType="solid">
        <fgColor rgb="FFF28B82"/>
        <bgColor indexed="64"/>
      </patternFill>
    </fill>
    <fill>
      <patternFill patternType="solid">
        <fgColor rgb="FFFFB81F"/>
        <bgColor indexed="64"/>
      </patternFill>
    </fill>
    <fill>
      <patternFill patternType="solid">
        <fgColor rgb="FFFFFFFF"/>
        <bgColor indexed="64"/>
      </patternFill>
    </fill>
    <fill>
      <patternFill patternType="solid">
        <fgColor rgb="FF80858C"/>
        <bgColor indexed="64"/>
      </patternFill>
    </fill>
    <fill>
      <patternFill patternType="solid">
        <fgColor rgb="FF2F6DB5"/>
        <bgColor indexed="64"/>
      </patternFill>
    </fill>
    <fill>
      <patternFill patternType="solid">
        <fgColor rgb="FF2F6DB5"/>
        <bgColor indexed="64"/>
      </patternFill>
    </fill>
    <fill>
      <patternFill patternType="solid">
        <fgColor rgb="FF14A3A8"/>
        <bgColor indexed="64"/>
      </patternFill>
    </fill>
    <fill>
      <patternFill patternType="solid">
        <fgColor rgb="FFF28B82"/>
        <bgColor indexed="64"/>
      </patternFill>
    </fill>
    <fill>
      <patternFill patternType="solid">
        <fgColor rgb="FF7E6BC4"/>
        <bgColor indexed="64"/>
      </patternFill>
    </fill>
    <fill>
      <patternFill patternType="solid">
        <fgColor rgb="FFCDD2D9"/>
        <bgColor indexed="64"/>
      </patternFill>
    </fill>
    <fill>
      <patternFill patternType="solid">
        <fgColor rgb="FFFFFFFF"/>
        <bgColor indexed="64"/>
      </patternFill>
    </fill>
    <fill>
      <patternFill patternType="solid">
        <fgColor rgb="FFD4EFEB"/>
        <bgColor indexed="64"/>
      </patternFill>
    </fill>
    <fill>
      <patternFill patternType="solid">
        <fgColor rgb="FFAAAFB6"/>
        <bgColor indexed="64"/>
      </patternFill>
    </fill>
    <fill>
      <patternFill patternType="solid">
        <fgColor rgb="FFFFDD7A"/>
        <bgColor indexed="64"/>
      </patternFill>
    </fill>
    <fill>
      <patternFill patternType="solid">
        <fgColor rgb="FFD2D9E1"/>
        <bgColor indexed="64"/>
      </patternFill>
    </fill>
    <fill>
      <patternFill patternType="solid">
        <fgColor rgb="FF2C3138"/>
        <bgColor indexed="64"/>
      </patternFill>
    </fill>
    <fill>
      <patternFill patternType="solid">
        <fgColor rgb="FF147A5C"/>
        <bgColor indexed="64"/>
      </patternFill>
    </fill>
    <fill>
      <patternFill patternType="solid">
        <fgColor rgb="FFFFB81F"/>
        <bgColor indexed="64"/>
      </patternFill>
    </fill>
    <fill>
      <patternFill patternType="solid">
        <fgColor rgb="FF2F6DB5"/>
        <bgColor indexed="64"/>
      </patternFill>
    </fill>
    <fill>
      <patternFill patternType="solid">
        <fgColor rgb="FFF28B82"/>
        <bgColor indexed="64"/>
      </patternFill>
    </fill>
    <fill>
      <patternFill patternType="solid">
        <fgColor rgb="FF7CC9D0"/>
        <bgColor indexed="64"/>
      </patternFill>
    </fill>
    <fill>
      <patternFill patternType="solid">
        <fgColor rgb="FF1FA971"/>
        <bgColor indexed="64"/>
      </patternFill>
    </fill>
    <fill>
      <patternFill patternType="solid">
        <fgColor rgb="FF6A6F76"/>
        <bgColor indexed="64"/>
      </patternFill>
    </fill>
    <fill>
      <patternFill patternType="solid">
        <fgColor rgb="FF80ADD9"/>
        <bgColor indexed="64"/>
      </patternFill>
    </fill>
    <fill>
      <patternFill patternType="solid">
        <fgColor rgb="FF7E6BC4"/>
        <bgColor indexed="64"/>
      </patternFill>
    </fill>
    <fill>
      <patternFill patternType="solid">
        <fgColor rgb="FF08414A"/>
        <bgColor indexed="64"/>
      </patternFill>
    </fill>
    <fill>
      <patternFill patternType="solid">
        <fgColor rgb="FFFFEDB0"/>
        <bgColor indexed="64"/>
      </patternFill>
    </fill>
    <fill>
      <patternFill patternType="solid">
        <fgColor rgb="FFD2D9E1"/>
        <bgColor indexed="64"/>
      </patternFill>
    </fill>
    <fill>
      <patternFill patternType="solid">
        <fgColor rgb="FF08414A"/>
        <bgColor indexed="64"/>
      </patternFill>
    </fill>
    <fill>
      <patternFill patternType="solid">
        <fgColor rgb="FFFFFFFF"/>
        <bgColor indexed="64"/>
      </patternFill>
    </fill>
    <fill>
      <patternFill patternType="solid">
        <fgColor rgb="FFA9AEB5"/>
        <bgColor indexed="64"/>
      </patternFill>
    </fill>
    <fill>
      <patternFill patternType="solid">
        <fgColor rgb="FFFFB81F"/>
        <bgColor indexed="64"/>
      </patternFill>
    </fill>
    <fill>
      <patternFill patternType="solid">
        <fgColor rgb="FF147A5C"/>
        <bgColor indexed="64"/>
      </patternFill>
    </fill>
    <fill>
      <patternFill patternType="solid">
        <fgColor rgb="FF7CC9D0"/>
        <bgColor indexed="64"/>
      </patternFill>
    </fill>
    <fill>
      <patternFill patternType="solid">
        <fgColor rgb="FFD4EFEB"/>
        <bgColor indexed="64"/>
      </patternFill>
    </fill>
    <fill>
      <patternFill patternType="solid">
        <fgColor rgb="FF0A6A73"/>
        <bgColor indexed="64"/>
      </patternFill>
    </fill>
    <fill>
      <patternFill patternType="solid">
        <fgColor rgb="FFC3C8CF"/>
        <bgColor indexed="64"/>
      </patternFill>
    </fill>
    <fill>
      <patternFill patternType="solid">
        <fgColor rgb="FFFFEDB0"/>
        <bgColor indexed="64"/>
      </patternFill>
    </fill>
    <fill>
      <gradientFill>
        <stop position="0">
          <color theme="0"/>
        </stop>
        <stop position="1">
          <color rgb="FFD4EFEB"/>
        </stop>
      </gradientFill>
    </fill>
    <fill>
      <patternFill patternType="solid">
        <fgColor rgb="FF1F4A8A"/>
        <bgColor indexed="64"/>
      </patternFill>
    </fill>
    <fill>
      <gradientFill degree="90">
        <stop position="0">
          <color theme="0"/>
        </stop>
        <stop position="1">
          <color rgb="FFA2C6CA"/>
        </stop>
      </gradientFill>
    </fill>
    <fill>
      <gradientFill>
        <stop position="0">
          <color theme="0"/>
        </stop>
        <stop position="1">
          <color rgb="FFA2C6CA"/>
        </stop>
      </gradientFill>
    </fill>
    <fill>
      <gradientFill>
        <stop position="0">
          <color theme="0"/>
        </stop>
        <stop position="1">
          <color rgb="FFFFEDB0"/>
        </stop>
      </gradientFill>
    </fill>
    <fill>
      <gradientFill>
        <stop position="0">
          <color rgb="FFFFFFFF"/>
        </stop>
        <stop position="1">
          <color rgb="FFFFEDB0"/>
        </stop>
      </gradientFill>
    </fill>
    <fill>
      <patternFill patternType="solid">
        <fgColor rgb="FFFFFFFF"/>
        <bgColor indexed="64"/>
      </patternFill>
    </fill>
    <fill>
      <patternFill patternType="solid">
        <fgColor rgb="FF1F4A8A"/>
        <bgColor indexed="64"/>
      </patternFill>
    </fill>
    <fill>
      <patternFill patternType="solid">
        <fgColor rgb="FFFFDD7A"/>
        <bgColor indexed="64"/>
      </patternFill>
    </fill>
    <fill>
      <patternFill patternType="solid">
        <fgColor rgb="FF0A6A73"/>
        <bgColor indexed="64"/>
      </patternFill>
    </fill>
  </fills>
  <borders count="371">
    <border>
      <left/>
      <right/>
      <top/>
      <bottom/>
      <diagonal/>
    </border>
    <border>
      <left style="thin">
        <color rgb="FF7F93A8"/>
      </left>
      <right style="thin">
        <color rgb="FF7F93A8"/>
      </right>
      <top style="thin">
        <color rgb="FF7F93A8"/>
      </top>
      <bottom style="thin">
        <color rgb="FF7F93A8"/>
      </bottom>
      <diagonal/>
    </border>
    <border>
      <left style="double">
        <color rgb="FF7F93A8"/>
      </left>
      <right style="double">
        <color rgb="FF7F93A8"/>
      </right>
      <top style="double">
        <color rgb="FF7F93A8"/>
      </top>
      <bottom style="double">
        <color rgb="FF7F93A8"/>
      </bottom>
      <diagonal/>
    </border>
    <border>
      <left/>
      <right/>
      <top/>
      <bottom style="double">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right/>
      <top/>
      <bottom style="thin">
        <color rgb="FF7F93A8"/>
      </bottom>
      <diagonal/>
    </border>
    <border>
      <left/>
      <right/>
      <top/>
      <bottom style="thin">
        <color rgb="FF7F93A8"/>
      </bottom>
      <diagonal/>
    </border>
    <border>
      <left/>
      <right/>
      <top/>
      <bottom style="thin">
        <color rgb="FF7F93A8"/>
      </bottom>
      <diagonal/>
    </border>
    <border>
      <left/>
      <right/>
      <top style="thin">
        <color rgb="FF7F93A8"/>
      </top>
      <bottom style="double">
        <color rgb="FF7F93A8"/>
      </bottom>
      <diagonal/>
    </border>
    <border>
      <left/>
      <right/>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top style="thin">
        <color rgb="FF7F93A8"/>
      </top>
      <bottom/>
      <diagonal/>
    </border>
    <border>
      <left style="thin">
        <color rgb="FF7F93A8"/>
      </left>
      <right/>
      <top/>
      <bottom style="thin">
        <color rgb="FF7F93A8"/>
      </bottom>
      <diagonal/>
    </border>
    <border>
      <left/>
      <right style="thin">
        <color rgb="FF7F93A8"/>
      </right>
      <top/>
      <bottom/>
      <diagonal/>
    </border>
    <border>
      <left/>
      <right style="thin">
        <color rgb="FF7F93A8"/>
      </right>
      <top/>
      <bottom style="thin">
        <color rgb="FF7F93A8"/>
      </bottom>
      <diagonal/>
    </border>
    <border>
      <left style="thin">
        <color rgb="FF7F93A8"/>
      </left>
      <right style="thin">
        <color rgb="FF7F93A8"/>
      </right>
      <top/>
      <bottom style="thin">
        <color rgb="FF7F93A8"/>
      </bottom>
      <diagonal/>
    </border>
    <border>
      <left style="thin">
        <color rgb="FF7F93A8"/>
      </left>
      <right/>
      <top style="thin">
        <color rgb="FF7F93A8"/>
      </top>
      <bottom style="thin">
        <color rgb="FF7F93A8"/>
      </bottom>
      <diagonal/>
    </border>
    <border>
      <left style="thin">
        <color rgb="FF7F93A8"/>
      </left>
      <right/>
      <top/>
      <bottom/>
      <diagonal/>
    </border>
    <border>
      <left style="thin">
        <color rgb="FF7F93A8"/>
      </left>
      <right style="thin">
        <color rgb="FF7F93A8"/>
      </right>
      <top style="thin">
        <color rgb="FF7F93A8"/>
      </top>
      <bottom/>
      <diagonal/>
    </border>
    <border>
      <left style="thin">
        <color rgb="FF7F93A8"/>
      </left>
      <right style="thin">
        <color rgb="FF7F93A8"/>
      </right>
      <top/>
      <bottom/>
      <diagonal/>
    </border>
    <border>
      <left style="thin">
        <color rgb="FF7F93A8"/>
      </left>
      <right style="thin">
        <color rgb="FF7F93A8"/>
      </right>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right style="thin">
        <color rgb="FF7F93A8"/>
      </right>
      <top style="thin">
        <color rgb="FF7F93A8"/>
      </top>
      <bottom style="thin">
        <color rgb="FF7F93A8"/>
      </bottom>
      <diagonal/>
    </border>
    <border>
      <left style="thin">
        <color rgb="FF7F93A8"/>
      </left>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right style="thin">
        <color rgb="FF7F93A8"/>
      </right>
      <top style="thin">
        <color rgb="FF7F93A8"/>
      </top>
      <bottom style="thin">
        <color rgb="FF7F93A8"/>
      </bottom>
      <diagonal/>
    </border>
    <border>
      <left/>
      <right style="thin">
        <color rgb="FF7F93A8"/>
      </right>
      <top style="thin">
        <color rgb="FF7F93A8"/>
      </top>
      <bottom style="thin">
        <color rgb="FF7F93A8"/>
      </bottom>
      <diagonal/>
    </border>
    <border>
      <left/>
      <right style="thin">
        <color rgb="FF7F93A8"/>
      </right>
      <top style="thin">
        <color rgb="FF7F93A8"/>
      </top>
      <bottom/>
      <diagonal/>
    </border>
    <border>
      <left style="thin">
        <color rgb="FF7F93A8"/>
      </left>
      <right/>
      <top style="thin">
        <color rgb="FF7F93A8"/>
      </top>
      <bottom style="thin">
        <color rgb="FF7F93A8"/>
      </bottom>
      <diagonal/>
    </border>
    <border>
      <left/>
      <right style="thin">
        <color rgb="FF7F93A8"/>
      </right>
      <top style="thin">
        <color rgb="FF7F93A8"/>
      </top>
      <bottom style="thin">
        <color rgb="FF7F93A8"/>
      </bottom>
      <diagonal/>
    </border>
    <border>
      <left/>
      <right/>
      <top style="thin">
        <color rgb="FF7F93A8"/>
      </top>
      <bottom style="thin">
        <color rgb="FF7F93A8"/>
      </bottom>
      <diagonal/>
    </border>
    <border>
      <left style="thin">
        <color rgb="FF7F93A8"/>
      </left>
      <right/>
      <top/>
      <bottom style="thin">
        <color rgb="FF7F93A8"/>
      </bottom>
      <diagonal/>
    </border>
    <border>
      <left/>
      <right style="thin">
        <color rgb="FF7F93A8"/>
      </right>
      <top/>
      <bottom style="thin">
        <color rgb="FF7F93A8"/>
      </bottom>
      <diagonal/>
    </border>
    <border>
      <left style="thin">
        <color rgb="FF7F93A8"/>
      </left>
      <right style="thin">
        <color rgb="FF7F93A8"/>
      </right>
      <top style="thin">
        <color rgb="FF7F93A8"/>
      </top>
      <bottom style="thin">
        <color rgb="FF7F93A8"/>
      </bottom>
      <diagonal/>
    </border>
    <border>
      <left/>
      <right/>
      <top style="thin">
        <color rgb="FF7F93A8"/>
      </top>
      <bottom/>
      <diagonal/>
    </border>
    <border>
      <left/>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diagonal/>
    </border>
    <border>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top style="thin">
        <color rgb="FF7F93A8"/>
      </top>
      <bottom style="thin">
        <color rgb="FF7F93A8"/>
      </bottom>
      <diagonal/>
    </border>
    <border>
      <left style="thin">
        <color rgb="FF7F93A8"/>
      </left>
      <right/>
      <top style="thin">
        <color rgb="FF7F93A8"/>
      </top>
      <bottom style="thin">
        <color rgb="FF7F93A8"/>
      </bottom>
      <diagonal/>
    </border>
    <border>
      <left style="thin">
        <color rgb="FF7F93A8"/>
      </left>
      <right style="thin">
        <color rgb="FF7F93A8"/>
      </right>
      <top style="double">
        <color rgb="FF7F93A8"/>
      </top>
      <bottom style="thin">
        <color rgb="FF7F93A8"/>
      </bottom>
      <diagonal/>
    </border>
    <border>
      <left style="thin">
        <color rgb="FF7F93A8"/>
      </left>
      <right style="double">
        <color rgb="FF7F93A8"/>
      </right>
      <top style="double">
        <color rgb="FF7F93A8"/>
      </top>
      <bottom style="thin">
        <color rgb="FF7F93A8"/>
      </bottom>
      <diagonal/>
    </border>
    <border>
      <left style="double">
        <color rgb="FF7F93A8"/>
      </left>
      <right style="double">
        <color rgb="FF7F93A8"/>
      </right>
      <top style="double">
        <color rgb="FF7F93A8"/>
      </top>
      <bottom style="thin">
        <color rgb="FF7F93A8"/>
      </bottom>
      <diagonal/>
    </border>
    <border>
      <left/>
      <right style="thin">
        <color rgb="FF7F93A8"/>
      </right>
      <top style="double">
        <color rgb="FF7F93A8"/>
      </top>
      <bottom style="thin">
        <color rgb="FF7F93A8"/>
      </bottom>
      <diagonal/>
    </border>
    <border>
      <left style="thin">
        <color rgb="FF7F93A8"/>
      </left>
      <right style="thin">
        <color rgb="FF7F93A8"/>
      </right>
      <top style="double">
        <color rgb="FF7F93A8"/>
      </top>
      <bottom style="thin">
        <color rgb="FF7F93A8"/>
      </bottom>
      <diagonal/>
    </border>
    <border>
      <left style="thin">
        <color rgb="FF7F93A8"/>
      </left>
      <right style="double">
        <color rgb="FF7F93A8"/>
      </right>
      <top style="double">
        <color rgb="FF7F93A8"/>
      </top>
      <bottom style="thin">
        <color rgb="FF7F93A8"/>
      </bottom>
      <diagonal/>
    </border>
    <border>
      <left/>
      <right style="thin">
        <color rgb="FF7F93A8"/>
      </right>
      <top style="thin">
        <color rgb="FF7F93A8"/>
      </top>
      <bottom style="thin">
        <color rgb="FF7F93A8"/>
      </bottom>
      <diagonal/>
    </border>
    <border>
      <left/>
      <right style="thin">
        <color rgb="FF7F93A8"/>
      </right>
      <top style="thin">
        <color rgb="FF7F93A8"/>
      </top>
      <bottom style="thin">
        <color rgb="FF7F93A8"/>
      </bottom>
      <diagonal/>
    </border>
    <border>
      <left style="thin">
        <color rgb="FF7F93A8"/>
      </left>
      <right style="thin">
        <color rgb="FF7F93A8"/>
      </right>
      <top/>
      <bottom style="thin">
        <color rgb="FF7F93A8"/>
      </bottom>
      <diagonal/>
    </border>
    <border>
      <left/>
      <right style="thin">
        <color rgb="FF7F93A8"/>
      </right>
      <top/>
      <bottom style="thin">
        <color rgb="FF7F93A8"/>
      </bottom>
      <diagonal/>
    </border>
    <border>
      <left style="thin">
        <color rgb="FF7F93A8"/>
      </left>
      <right style="thin">
        <color rgb="FF7F93A8"/>
      </right>
      <top/>
      <bottom style="thin">
        <color rgb="FF7F93A8"/>
      </bottom>
      <diagonal/>
    </border>
    <border>
      <left style="thin">
        <color rgb="FF7F93A8"/>
      </left>
      <right style="thin">
        <color rgb="FF7F93A8"/>
      </right>
      <top/>
      <bottom style="thin">
        <color rgb="FF7F93A8"/>
      </bottom>
      <diagonal/>
    </border>
    <border>
      <left style="thin">
        <color rgb="FF7F93A8"/>
      </left>
      <right/>
      <top/>
      <bottom style="thin">
        <color rgb="FF7F93A8"/>
      </bottom>
      <diagonal/>
    </border>
    <border>
      <left/>
      <right style="thin">
        <color rgb="FF7F93A8"/>
      </right>
      <top style="thin">
        <color rgb="FF7F93A8"/>
      </top>
      <bottom style="thin">
        <color rgb="FF7F93A8"/>
      </bottom>
      <diagonal/>
    </border>
    <border>
      <left style="thin">
        <color rgb="FF7F93A8"/>
      </left>
      <right/>
      <top style="thin">
        <color rgb="FF7F93A8"/>
      </top>
      <bottom style="thin">
        <color rgb="FF7F93A8"/>
      </bottom>
      <diagonal/>
    </border>
    <border>
      <left style="thin">
        <color rgb="FF7F93A8"/>
      </left>
      <right style="thin">
        <color rgb="FF7F93A8"/>
      </right>
      <top style="thin">
        <color rgb="FF7F93A8"/>
      </top>
      <bottom/>
      <diagonal/>
    </border>
    <border>
      <left style="thin">
        <color rgb="FF7F93A8"/>
      </left>
      <right/>
      <top style="thin">
        <color rgb="FF7F93A8"/>
      </top>
      <bottom/>
      <diagonal/>
    </border>
    <border>
      <left style="thin">
        <color rgb="FF7F93A8"/>
      </left>
      <right style="thin">
        <color rgb="FF7F93A8"/>
      </right>
      <top style="thin">
        <color rgb="FF7F93A8"/>
      </top>
      <bottom/>
      <diagonal/>
    </border>
    <border>
      <left style="thin">
        <color rgb="FF7F93A8"/>
      </left>
      <right style="thin">
        <color rgb="FF7F93A8"/>
      </right>
      <top style="thin">
        <color rgb="FF7F93A8"/>
      </top>
      <bottom/>
      <diagonal/>
    </border>
    <border>
      <left/>
      <right/>
      <top/>
      <bottom style="thin">
        <color rgb="FF7F93A8"/>
      </bottom>
      <diagonal/>
    </border>
    <border>
      <left style="thin">
        <color rgb="FF7F93A8"/>
      </left>
      <right/>
      <top style="thin">
        <color rgb="FF7F93A8"/>
      </top>
      <bottom style="thin">
        <color rgb="FF7F93A8"/>
      </bottom>
      <diagonal/>
    </border>
    <border>
      <left/>
      <right style="double">
        <color rgb="FF7F93A8"/>
      </right>
      <top style="thin">
        <color rgb="FF7F93A8"/>
      </top>
      <bottom/>
      <diagonal/>
    </border>
    <border>
      <left style="thin">
        <color rgb="FF7F93A8"/>
      </left>
      <right style="thin">
        <color rgb="FF7F93A8"/>
      </right>
      <top/>
      <bottom/>
      <diagonal/>
    </border>
    <border>
      <left style="thin">
        <color rgb="FF7F93A8"/>
      </left>
      <right style="thin">
        <color rgb="FF7F93A8"/>
      </right>
      <top style="thin">
        <color rgb="FF7F93A8"/>
      </top>
      <bottom/>
      <diagonal/>
    </border>
    <border>
      <left style="thin">
        <color rgb="FF7F93A8"/>
      </left>
      <right/>
      <top style="thin">
        <color rgb="FF7F93A8"/>
      </top>
      <bottom/>
      <diagonal/>
    </border>
    <border>
      <left/>
      <right style="thin">
        <color rgb="FF7F93A8"/>
      </right>
      <top style="thin">
        <color rgb="FF7F93A8"/>
      </top>
      <bottom/>
      <diagonal/>
    </border>
    <border>
      <left/>
      <right/>
      <top style="thin">
        <color rgb="FF7F93A8"/>
      </top>
      <bottom/>
      <diagonal/>
    </border>
    <border>
      <left/>
      <right style="thin">
        <color rgb="FF7F93A8"/>
      </right>
      <top/>
      <bottom style="thin">
        <color rgb="FF7F93A8"/>
      </bottom>
      <diagonal/>
    </border>
    <border>
      <left/>
      <right style="thin">
        <color rgb="FF7F93A8"/>
      </right>
      <top/>
      <bottom/>
      <diagonal/>
    </border>
    <border>
      <left style="double">
        <color rgb="FF7F93A8"/>
      </left>
      <right/>
      <top style="double">
        <color rgb="FF7F93A8"/>
      </top>
      <bottom style="thin">
        <color rgb="FF7F93A8"/>
      </bottom>
      <diagonal/>
    </border>
    <border>
      <left/>
      <right style="double">
        <color rgb="FF7F93A8"/>
      </right>
      <top style="double">
        <color rgb="FF7F93A8"/>
      </top>
      <bottom style="thin">
        <color rgb="FF7F93A8"/>
      </bottom>
      <diagonal/>
    </border>
    <border>
      <left style="double">
        <color rgb="FF7F93A8"/>
      </left>
      <right/>
      <top/>
      <bottom/>
      <diagonal/>
    </border>
    <border>
      <left/>
      <right style="double">
        <color rgb="FF7F93A8"/>
      </right>
      <top/>
      <bottom/>
      <diagonal/>
    </border>
    <border>
      <left style="double">
        <color rgb="FF7F93A8"/>
      </left>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style="double">
        <color rgb="FF7F93A8"/>
      </left>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style="double">
        <color rgb="FF7F93A8"/>
      </left>
      <right/>
      <top/>
      <bottom style="thin">
        <color rgb="FF7F93A8"/>
      </bottom>
      <diagonal/>
    </border>
    <border>
      <left style="double">
        <color rgb="FF7F93A8"/>
      </left>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right style="double">
        <color rgb="FF7F93A8"/>
      </right>
      <top/>
      <bottom style="thin">
        <color rgb="FF7F93A8"/>
      </bottom>
      <diagonal/>
    </border>
    <border>
      <left/>
      <right style="double">
        <color rgb="FF7F93A8"/>
      </right>
      <top style="thin">
        <color rgb="FF7F93A8"/>
      </top>
      <bottom/>
      <diagonal/>
    </border>
    <border>
      <left/>
      <right style="double">
        <color rgb="FF7F93A8"/>
      </right>
      <top/>
      <bottom style="thin">
        <color rgb="FF7F93A8"/>
      </bottom>
      <diagonal/>
    </border>
    <border>
      <left style="thin">
        <color rgb="FF7F93A8"/>
      </left>
      <right style="double">
        <color rgb="FF7F93A8"/>
      </right>
      <top/>
      <bottom/>
      <diagonal/>
    </border>
    <border>
      <left style="double">
        <color rgb="FF7F93A8"/>
      </left>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style="double">
        <color rgb="FF7F93A8"/>
      </left>
      <right style="thin">
        <color rgb="FF7F93A8"/>
      </right>
      <top style="thin">
        <color rgb="FF7F93A8"/>
      </top>
      <bottom style="thin">
        <color rgb="FF7F93A8"/>
      </bottom>
      <diagonal/>
    </border>
    <border>
      <left style="thin">
        <color rgb="FF7F93A8"/>
      </left>
      <right style="double">
        <color rgb="FF7F93A8"/>
      </right>
      <top/>
      <bottom style="thin">
        <color rgb="FF7F93A8"/>
      </bottom>
      <diagonal/>
    </border>
    <border>
      <left style="double">
        <color rgb="FF7F93A8"/>
      </left>
      <right style="thin">
        <color rgb="FF7F93A8"/>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style="double">
        <color rgb="FF7F93A8"/>
      </left>
      <right/>
      <top style="thin">
        <color rgb="FF7F93A8"/>
      </top>
      <bottom/>
      <diagonal/>
    </border>
    <border>
      <left style="thin">
        <color rgb="FF7F93A8"/>
      </left>
      <right style="double">
        <color rgb="FF7F93A8"/>
      </right>
      <top style="thin">
        <color rgb="FF7F93A8"/>
      </top>
      <bottom/>
      <diagonal/>
    </border>
    <border>
      <left style="double">
        <color rgb="FF7F93A8"/>
      </left>
      <right style="double">
        <color rgb="FF7F93A8"/>
      </right>
      <top style="thin">
        <color rgb="FF7F93A8"/>
      </top>
      <bottom style="double">
        <color rgb="FF7F93A8"/>
      </bottom>
      <diagonal/>
    </border>
    <border>
      <left style="double">
        <color rgb="FF7F93A8"/>
      </left>
      <right style="thin">
        <color rgb="FF7F93A8"/>
      </right>
      <top style="thin">
        <color rgb="FF7F93A8"/>
      </top>
      <bottom style="double">
        <color rgb="FF7F93A8"/>
      </bottom>
      <diagonal/>
    </border>
    <border>
      <left/>
      <right style="thin">
        <color rgb="FF7F93A8"/>
      </right>
      <top style="thin">
        <color rgb="FF7F93A8"/>
      </top>
      <bottom style="double">
        <color rgb="FF7F93A8"/>
      </bottom>
      <diagonal/>
    </border>
    <border>
      <left style="thin">
        <color rgb="FF7F93A8"/>
      </left>
      <right style="thin">
        <color rgb="FF7F93A8"/>
      </right>
      <top style="thin">
        <color rgb="FF7F93A8"/>
      </top>
      <bottom style="double">
        <color rgb="FF7F93A8"/>
      </bottom>
      <diagonal/>
    </border>
    <border>
      <left style="thin">
        <color rgb="FF7F93A8"/>
      </left>
      <right style="thin">
        <color rgb="FF7F93A8"/>
      </right>
      <top style="thin">
        <color rgb="FF7F93A8"/>
      </top>
      <bottom style="double">
        <color rgb="FF7F93A8"/>
      </bottom>
      <diagonal/>
    </border>
    <border>
      <left style="thin">
        <color rgb="FF7F93A8"/>
      </left>
      <right style="double">
        <color rgb="FF7F93A8"/>
      </right>
      <top style="thin">
        <color rgb="FF7F93A8"/>
      </top>
      <bottom style="double">
        <color rgb="FF7F93A8"/>
      </bottom>
      <diagonal/>
    </border>
    <border>
      <left style="double">
        <color rgb="FF7F93A8"/>
      </left>
      <right style="thin">
        <color rgb="FF7F93A8"/>
      </right>
      <top style="double">
        <color rgb="FF7F93A8"/>
      </top>
      <bottom style="thin">
        <color rgb="FF7F93A8"/>
      </bottom>
      <diagonal/>
    </border>
    <border>
      <left style="double">
        <color rgb="FF7F93A8"/>
      </left>
      <right style="thin">
        <color rgb="FF7F93A8"/>
      </right>
      <top/>
      <bottom style="thin">
        <color rgb="FF7F93A8"/>
      </bottom>
      <diagonal/>
    </border>
    <border>
      <left style="double">
        <color rgb="FF7F93A8"/>
      </left>
      <right style="thin">
        <color rgb="FF7F93A8"/>
      </right>
      <top style="thin">
        <color rgb="FF7F93A8"/>
      </top>
      <bottom style="double">
        <color rgb="FF7F93A8"/>
      </bottom>
      <diagonal/>
    </border>
    <border>
      <left style="thin">
        <color rgb="FF7F93A8"/>
      </left>
      <right style="thin">
        <color rgb="FF7F93A8"/>
      </right>
      <top style="thin">
        <color rgb="FF7F93A8"/>
      </top>
      <bottom style="double">
        <color rgb="FF7F93A8"/>
      </bottom>
      <diagonal/>
    </border>
    <border>
      <left style="thin">
        <color rgb="FF7F93A8"/>
      </left>
      <right style="double">
        <color rgb="FF7F93A8"/>
      </right>
      <top style="thin">
        <color rgb="FF7F93A8"/>
      </top>
      <bottom style="double">
        <color rgb="FF7F93A8"/>
      </bottom>
      <diagonal/>
    </border>
    <border>
      <left style="double">
        <color rgb="FF7F93A8"/>
      </left>
      <right style="thin">
        <color rgb="FF7F93A8"/>
      </right>
      <top style="double">
        <color rgb="FF7F93A8"/>
      </top>
      <bottom style="thin">
        <color rgb="FF7F93A8"/>
      </bottom>
      <diagonal/>
    </border>
    <border>
      <left style="thin">
        <color rgb="FF7F93A8"/>
      </left>
      <right style="thin">
        <color rgb="FF7F93A8"/>
      </right>
      <top style="double">
        <color rgb="FF7F93A8"/>
      </top>
      <bottom style="thin">
        <color rgb="FF7F93A8"/>
      </bottom>
      <diagonal/>
    </border>
    <border>
      <left style="thin">
        <color rgb="FF7F93A8"/>
      </left>
      <right style="double">
        <color rgb="FF7F93A8"/>
      </right>
      <top style="double">
        <color rgb="FF7F93A8"/>
      </top>
      <bottom style="thin">
        <color rgb="FF7F93A8"/>
      </bottom>
      <diagonal/>
    </border>
    <border>
      <left style="double">
        <color rgb="FF7F93A8"/>
      </left>
      <right style="thin">
        <color rgb="FF7F93A8"/>
      </right>
      <top style="double">
        <color rgb="FF7F93A8"/>
      </top>
      <bottom style="double">
        <color rgb="FF7F93A8"/>
      </bottom>
      <diagonal/>
    </border>
    <border>
      <left/>
      <right/>
      <top style="double">
        <color rgb="FF7F93A8"/>
      </top>
      <bottom style="double">
        <color rgb="FF7F93A8"/>
      </bottom>
      <diagonal/>
    </border>
    <border>
      <left style="thin">
        <color rgb="FF7F93A8"/>
      </left>
      <right style="thin">
        <color rgb="FF7F93A8"/>
      </right>
      <top style="double">
        <color rgb="FF7F93A8"/>
      </top>
      <bottom style="double">
        <color rgb="FF7F93A8"/>
      </bottom>
      <diagonal/>
    </border>
    <border>
      <left style="thin">
        <color rgb="FF7F93A8"/>
      </left>
      <right style="double">
        <color rgb="FF7F93A8"/>
      </right>
      <top style="double">
        <color rgb="FF7F93A8"/>
      </top>
      <bottom style="double">
        <color rgb="FF7F93A8"/>
      </bottom>
      <diagonal/>
    </border>
    <border>
      <left style="double">
        <color rgb="FF7F93A8"/>
      </left>
      <right style="thin">
        <color rgb="FF7F93A8"/>
      </right>
      <top style="thin">
        <color rgb="FF7F93A8"/>
      </top>
      <bottom style="thin">
        <color rgb="FF7F93A8"/>
      </bottom>
      <diagonal/>
    </border>
    <border>
      <left style="double">
        <color rgb="FF7F93A8"/>
      </left>
      <right/>
      <top style="thin">
        <color rgb="FF7F93A8"/>
      </top>
      <bottom style="double">
        <color rgb="FF7F93A8"/>
      </bottom>
      <diagonal/>
    </border>
    <border>
      <left/>
      <right style="thin">
        <color rgb="FF7F93A8"/>
      </right>
      <top style="thin">
        <color rgb="FF7F93A8"/>
      </top>
      <bottom style="double">
        <color rgb="FF7F93A8"/>
      </bottom>
      <diagonal/>
    </border>
    <border>
      <left style="thin">
        <color rgb="FF7F93A8"/>
      </left>
      <right/>
      <top style="thin">
        <color rgb="FF7F93A8"/>
      </top>
      <bottom style="double">
        <color rgb="FF7F93A8"/>
      </bottom>
      <diagonal/>
    </border>
    <border>
      <left style="double">
        <color rgb="FF7F93A8"/>
      </left>
      <right style="thin">
        <color rgb="FF7F93A8"/>
      </right>
      <top style="double">
        <color rgb="FF7F93A8"/>
      </top>
      <bottom style="thin">
        <color rgb="FF7F93A8"/>
      </bottom>
      <diagonal/>
    </border>
    <border>
      <left style="double">
        <color rgb="FF7F93A8"/>
      </left>
      <right style="thin">
        <color rgb="FF7F93A8"/>
      </right>
      <top style="double">
        <color rgb="FF7F93A8"/>
      </top>
      <bottom style="thin">
        <color rgb="FF7F93A8"/>
      </bottom>
      <diagonal/>
    </border>
    <border>
      <left style="thin">
        <color rgb="FF7F93A8"/>
      </left>
      <right style="double">
        <color rgb="FF7F93A8"/>
      </right>
      <top style="thin">
        <color rgb="FF7F93A8"/>
      </top>
      <bottom style="thin">
        <color rgb="FF7F93A8"/>
      </bottom>
      <diagonal/>
    </border>
    <border>
      <left style="double">
        <color rgb="FF7F93A8"/>
      </left>
      <right style="thin">
        <color rgb="FF7F93A8"/>
      </right>
      <top style="thin">
        <color rgb="FF7F93A8"/>
      </top>
      <bottom style="thin">
        <color rgb="FF7F93A8"/>
      </bottom>
      <diagonal/>
    </border>
    <border>
      <left style="double">
        <color rgb="FF7F93A8"/>
      </left>
      <right/>
      <top/>
      <bottom style="thin">
        <color rgb="FF7F93A8"/>
      </bottom>
      <diagonal/>
    </border>
    <border>
      <left style="double">
        <color rgb="FF7F93A8"/>
      </left>
      <right style="double">
        <color rgb="FF7F93A8"/>
      </right>
      <top style="double">
        <color rgb="FF7F93A8"/>
      </top>
      <bottom style="thin">
        <color rgb="FF7F93A8"/>
      </bottom>
      <diagonal/>
    </border>
    <border>
      <left style="double">
        <color rgb="FF7F93A8"/>
      </left>
      <right style="thin">
        <color rgb="FF7F93A8"/>
      </right>
      <top style="thin">
        <color rgb="FF7F93A8"/>
      </top>
      <bottom style="double">
        <color rgb="FF7F93A8"/>
      </bottom>
      <diagonal/>
    </border>
    <border>
      <left style="thin">
        <color rgb="FF7F93A8"/>
      </left>
      <right style="double">
        <color rgb="FF7F93A8"/>
      </right>
      <top/>
      <bottom/>
      <diagonal/>
    </border>
    <border>
      <left style="double">
        <color rgb="FF7F93A8"/>
      </left>
      <right style="thin">
        <color rgb="FF7F93A8"/>
      </right>
      <top style="thin">
        <color rgb="FF7F93A8"/>
      </top>
      <bottom style="double">
        <color rgb="FF7F93A8"/>
      </bottom>
      <diagonal/>
    </border>
    <border>
      <left style="thin">
        <color rgb="FF7F93A8"/>
      </left>
      <right style="thin">
        <color rgb="FF7F93A8"/>
      </right>
      <top style="thin">
        <color rgb="FF7F93A8"/>
      </top>
      <bottom style="double">
        <color rgb="FF7F93A8"/>
      </bottom>
      <diagonal/>
    </border>
    <border>
      <left style="double">
        <color rgb="FF7F93A8"/>
      </left>
      <right style="thin">
        <color rgb="FF7F93A8"/>
      </right>
      <top style="double">
        <color rgb="FF7F93A8"/>
      </top>
      <bottom style="double">
        <color rgb="FF7F93A8"/>
      </bottom>
      <diagonal/>
    </border>
    <border>
      <left style="thin">
        <color rgb="FF7F93A8"/>
      </left>
      <right style="thin">
        <color rgb="FF7F93A8"/>
      </right>
      <top style="double">
        <color rgb="FF7F93A8"/>
      </top>
      <bottom style="double">
        <color rgb="FF7F93A8"/>
      </bottom>
      <diagonal/>
    </border>
    <border>
      <left style="thin">
        <color rgb="FF7F93A8"/>
      </left>
      <right style="double">
        <color rgb="FF7F93A8"/>
      </right>
      <top style="double">
        <color rgb="FF7F93A8"/>
      </top>
      <bottom style="double">
        <color rgb="FF7F93A8"/>
      </bottom>
      <diagonal/>
    </border>
    <border>
      <left style="thin">
        <color rgb="FF7F93A8"/>
      </left>
      <right style="thin">
        <color rgb="FF7F93A8"/>
      </right>
      <top style="thin">
        <color rgb="FF7F93A8"/>
      </top>
      <bottom/>
      <diagonal/>
    </border>
    <border>
      <left style="thin">
        <color rgb="FF7F93A8"/>
      </left>
      <right/>
      <top style="thin">
        <color rgb="FF7F93A8"/>
      </top>
      <bottom style="double">
        <color rgb="FF7F93A8"/>
      </bottom>
      <diagonal/>
    </border>
    <border>
      <left style="thin">
        <color rgb="FF7F93A8"/>
      </left>
      <right style="double">
        <color rgb="FF7F93A8"/>
      </right>
      <top style="thin">
        <color rgb="FF7F93A8"/>
      </top>
      <bottom style="thin">
        <color rgb="FF7F93A8"/>
      </bottom>
      <diagonal/>
    </border>
    <border>
      <left style="double">
        <color rgb="FF7F93A8"/>
      </left>
      <right style="thin">
        <color rgb="FF7F93A8"/>
      </right>
      <top style="thin">
        <color rgb="FF7F93A8"/>
      </top>
      <bottom style="thin">
        <color rgb="FF7F93A8"/>
      </bottom>
      <diagonal/>
    </border>
    <border>
      <left style="double">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thin">
        <color rgb="FF7F93A8"/>
      </right>
      <top style="thin">
        <color rgb="FF7F93A8"/>
      </top>
      <bottom style="thin">
        <color rgb="FF7F93A8"/>
      </bottom>
      <diagonal/>
    </border>
    <border>
      <left style="thin">
        <color rgb="FF7F93A8"/>
      </left>
      <right style="double">
        <color rgb="FF7F93A8"/>
      </right>
      <top style="thin">
        <color rgb="FF7F93A8"/>
      </top>
      <bottom style="thin">
        <color rgb="FF7F93A8"/>
      </bottom>
      <diagonal/>
    </border>
    <border>
      <left style="thin">
        <color rgb="FF7F93A8"/>
      </left>
      <right/>
      <top style="thin">
        <color rgb="FF7F93A8"/>
      </top>
      <bottom/>
      <diagonal/>
    </border>
    <border>
      <left style="thin">
        <color rgb="FF7F93A8"/>
      </left>
      <right style="double">
        <color rgb="FF7F93A8"/>
      </right>
      <top style="thin">
        <color rgb="FF7F93A8"/>
      </top>
      <bottom/>
      <diagonal/>
    </border>
    <border>
      <left style="thin">
        <color rgb="FF7F93A8"/>
      </left>
      <right style="thin">
        <color rgb="FF7F93A8"/>
      </right>
      <top style="thin">
        <color rgb="FF7F93A8"/>
      </top>
      <bottom style="double">
        <color rgb="FF7F93A8"/>
      </bottom>
      <diagonal/>
    </border>
    <border>
      <left style="thin">
        <color rgb="FF7F93A8"/>
      </left>
      <right style="double">
        <color rgb="FF7F93A8"/>
      </right>
      <top style="thin">
        <color rgb="FF7F93A8"/>
      </top>
      <bottom style="double">
        <color rgb="FF7F93A8"/>
      </bottom>
      <diagonal/>
    </border>
    <border>
      <left style="thin">
        <color rgb="FF7F93A8"/>
      </left>
      <right style="thin">
        <color rgb="FF7F93A8"/>
      </right>
      <top style="thin">
        <color rgb="FF7F93A8"/>
      </top>
      <bottom/>
      <diagonal/>
    </border>
    <border>
      <left/>
      <right style="thin">
        <color rgb="FF7F93A8"/>
      </right>
      <top style="thin">
        <color rgb="FF7F93A8"/>
      </top>
      <bottom/>
      <diagonal/>
    </border>
    <border>
      <left/>
      <right/>
      <top style="thin">
        <color rgb="FF7F93A8"/>
      </top>
      <bottom/>
      <diagonal/>
    </border>
    <border>
      <left style="thin">
        <color rgb="FF7F93A8"/>
      </left>
      <right/>
      <top/>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diagonal/>
    </border>
    <border>
      <left/>
      <right/>
      <top style="thin">
        <color rgb="FF2E9EA3"/>
      </top>
      <bottom/>
      <diagonal/>
    </border>
    <border>
      <left/>
      <right style="thin">
        <color rgb="FF2E9EA3"/>
      </right>
      <top style="thin">
        <color rgb="FF2E9EA3"/>
      </top>
      <bottom/>
      <diagonal/>
    </border>
    <border>
      <left style="thin">
        <color rgb="FF2E9EA3"/>
      </left>
      <right/>
      <top/>
      <bottom/>
      <diagonal/>
    </border>
    <border>
      <left/>
      <right style="thin">
        <color rgb="FF2E9EA3"/>
      </right>
      <top/>
      <bottom/>
      <diagonal/>
    </border>
    <border>
      <left style="thin">
        <color rgb="FF2E9EA3"/>
      </left>
      <right/>
      <top/>
      <bottom style="thin">
        <color rgb="FF2E9EA3"/>
      </bottom>
      <diagonal/>
    </border>
    <border>
      <left/>
      <right/>
      <top/>
      <bottom style="thin">
        <color rgb="FF2E9EA3"/>
      </bottom>
      <diagonal/>
    </border>
    <border>
      <left/>
      <right style="thin">
        <color rgb="FF2E9EA3"/>
      </right>
      <top/>
      <bottom style="thin">
        <color rgb="FF2E9EA3"/>
      </bottom>
      <diagonal/>
    </border>
    <border>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bottom style="thin">
        <color rgb="FF2E9EA3"/>
      </bottom>
      <diagonal/>
    </border>
    <border>
      <left/>
      <right/>
      <top/>
      <bottom style="thin">
        <color rgb="FF2E9EA3"/>
      </bottom>
      <diagonal/>
    </border>
    <border>
      <left/>
      <right style="thin">
        <color rgb="FF2E9EA3"/>
      </right>
      <top/>
      <bottom style="thin">
        <color rgb="FF2E9EA3"/>
      </bottom>
      <diagonal/>
    </border>
    <border>
      <left style="thin">
        <color rgb="FF2E9EA3"/>
      </left>
      <right/>
      <top style="thin">
        <color rgb="FF2E9EA3"/>
      </top>
      <bottom/>
      <diagonal/>
    </border>
    <border>
      <left/>
      <right/>
      <top style="thin">
        <color rgb="FF2E9EA3"/>
      </top>
      <bottom/>
      <diagonal/>
    </border>
    <border>
      <left/>
      <right style="thin">
        <color rgb="FF2E9EA3"/>
      </right>
      <top style="thin">
        <color rgb="FF2E9EA3"/>
      </top>
      <bottom/>
      <diagonal/>
    </border>
    <border>
      <left/>
      <right/>
      <top style="thin">
        <color rgb="FF2E9EA3"/>
      </top>
      <bottom style="thin">
        <color rgb="FF2E9EA3"/>
      </bottom>
      <diagonal/>
    </border>
    <border>
      <left style="thin">
        <color rgb="FF2E9EA3"/>
      </left>
      <right style="thin">
        <color rgb="FF2E9EA3"/>
      </right>
      <top/>
      <bottom/>
      <diagonal/>
    </border>
    <border>
      <left style="thin">
        <color rgb="FF2E9EA3"/>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right/>
      <top style="thin">
        <color rgb="FF2E9EA3"/>
      </top>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right style="thin">
        <color rgb="FF2E9EA3"/>
      </right>
      <top style="thin">
        <color rgb="FF2E9EA3"/>
      </top>
      <bottom/>
      <diagonal/>
    </border>
    <border>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style="thin">
        <color rgb="FF2E9EA3"/>
      </left>
      <right style="thin">
        <color rgb="FF7F93A8"/>
      </right>
      <top style="thin">
        <color rgb="FF2E9EA3"/>
      </top>
      <bottom style="thin">
        <color rgb="FF2E9EA3"/>
      </bottom>
      <diagonal/>
    </border>
    <border>
      <left/>
      <right/>
      <top style="thin">
        <color rgb="FF2E9EA3"/>
      </top>
      <bottom style="thin">
        <color rgb="FF2E9EA3"/>
      </bottom>
      <diagonal/>
    </border>
    <border>
      <left style="thin">
        <color rgb="FF7F93A8"/>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7F93A8"/>
      </right>
      <top style="thin">
        <color rgb="FF2E9EA3"/>
      </top>
      <bottom/>
      <diagonal/>
    </border>
    <border>
      <left style="thin">
        <color rgb="FF7F93A8"/>
      </left>
      <right style="thin">
        <color rgb="FF2E9EA3"/>
      </right>
      <top style="thin">
        <color rgb="FF2E9EA3"/>
      </top>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style="thin">
        <color rgb="FF2E9EA3"/>
      </left>
      <right/>
      <top style="thin">
        <color rgb="FF2E9EA3"/>
      </top>
      <bottom/>
      <diagonal/>
    </border>
    <border>
      <left style="thin">
        <color rgb="FF7F93A8"/>
      </left>
      <right/>
      <top style="thin">
        <color rgb="FF2E9EA3"/>
      </top>
      <bottom style="thin">
        <color rgb="FF2E9EA3"/>
      </bottom>
      <diagonal/>
    </border>
    <border>
      <left style="thin">
        <color rgb="FF7F93A8"/>
      </left>
      <right style="thin">
        <color rgb="FF7F93A8"/>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right/>
      <top style="thin">
        <color rgb="FF2E9EA3"/>
      </top>
      <bottom style="dotted">
        <color rgb="FF2E9EA3"/>
      </bottom>
      <diagonal/>
    </border>
    <border>
      <left/>
      <right style="thin">
        <color rgb="FF2E9EA3"/>
      </right>
      <top style="thin">
        <color rgb="FF2E9EA3"/>
      </top>
      <bottom style="dotted">
        <color rgb="FF2E9EA3"/>
      </bottom>
      <diagonal/>
    </border>
    <border>
      <left style="thin">
        <color rgb="FF2E9EA3"/>
      </left>
      <right/>
      <top style="dotted">
        <color rgb="FF2E9EA3"/>
      </top>
      <bottom style="dotted">
        <color rgb="FF2E9EA3"/>
      </bottom>
      <diagonal/>
    </border>
    <border>
      <left/>
      <right/>
      <top style="dotted">
        <color rgb="FF2E9EA3"/>
      </top>
      <bottom style="dotted">
        <color rgb="FF2E9EA3"/>
      </bottom>
      <diagonal/>
    </border>
    <border>
      <left/>
      <right style="thin">
        <color rgb="FF2E9EA3"/>
      </right>
      <top style="dotted">
        <color rgb="FF2E9EA3"/>
      </top>
      <bottom style="dotted">
        <color rgb="FF2E9EA3"/>
      </bottom>
      <diagonal/>
    </border>
    <border>
      <left style="thin">
        <color rgb="FF2E9EA3"/>
      </left>
      <right/>
      <top style="thin">
        <color rgb="FF2E9EA3"/>
      </top>
      <bottom style="dotted">
        <color rgb="FF2E9EA3"/>
      </bottom>
      <diagonal/>
    </border>
    <border>
      <left/>
      <right/>
      <top style="thin">
        <color rgb="FF2E9EA3"/>
      </top>
      <bottom style="dotted">
        <color rgb="FF2E9EA3"/>
      </bottom>
      <diagonal/>
    </border>
    <border>
      <left/>
      <right style="thin">
        <color rgb="FF2E9EA3"/>
      </right>
      <top style="thin">
        <color rgb="FF2E9EA3"/>
      </top>
      <bottom style="dotted">
        <color rgb="FF2E9EA3"/>
      </bottom>
      <diagonal/>
    </border>
    <border>
      <left style="thin">
        <color rgb="FF2E9EA3"/>
      </left>
      <right/>
      <top style="dotted">
        <color rgb="FF2E9EA3"/>
      </top>
      <bottom/>
      <diagonal/>
    </border>
    <border>
      <left/>
      <right/>
      <top style="dotted">
        <color rgb="FF2E9EA3"/>
      </top>
      <bottom/>
      <diagonal/>
    </border>
    <border>
      <left/>
      <right style="thin">
        <color rgb="FF2E9EA3"/>
      </right>
      <top style="dotted">
        <color rgb="FF2E9EA3"/>
      </top>
      <bottom/>
      <diagonal/>
    </border>
    <border>
      <left style="thin">
        <color rgb="FF2E9EA3"/>
      </left>
      <right style="thin">
        <color rgb="FF2E9EA3"/>
      </right>
      <top style="thin">
        <color rgb="FF2E9EA3"/>
      </top>
      <bottom style="thin">
        <color rgb="FF2E9EA3"/>
      </bottom>
      <diagonal/>
    </border>
    <border>
      <left style="thin">
        <color rgb="FF2E9EA3"/>
      </left>
      <right style="dashed">
        <color rgb="FF2E9EA3"/>
      </right>
      <top style="thin">
        <color rgb="FF2E9EA3"/>
      </top>
      <bottom style="dashed">
        <color rgb="FF2E9EA3"/>
      </bottom>
      <diagonal/>
    </border>
    <border>
      <left style="dashed">
        <color rgb="FF2E9EA3"/>
      </left>
      <right style="dashed">
        <color rgb="FF2E9EA3"/>
      </right>
      <top style="thin">
        <color rgb="FF2E9EA3"/>
      </top>
      <bottom style="dashed">
        <color rgb="FF2E9EA3"/>
      </bottom>
      <diagonal/>
    </border>
    <border>
      <left style="dashed">
        <color rgb="FF2E9EA3"/>
      </left>
      <right style="thin">
        <color rgb="FF2E9EA3"/>
      </right>
      <top style="thin">
        <color rgb="FF2E9EA3"/>
      </top>
      <bottom style="dashed">
        <color rgb="FF2E9EA3"/>
      </bottom>
      <diagonal/>
    </border>
    <border>
      <left style="thin">
        <color rgb="FF2E9EA3"/>
      </left>
      <right style="dashed">
        <color rgb="FF2E9EA3"/>
      </right>
      <top style="dashed">
        <color rgb="FF2E9EA3"/>
      </top>
      <bottom style="dashed">
        <color rgb="FF2E9EA3"/>
      </bottom>
      <diagonal/>
    </border>
    <border>
      <left style="dashed">
        <color rgb="FF2E9EA3"/>
      </left>
      <right style="dashed">
        <color rgb="FF2E9EA3"/>
      </right>
      <top style="dashed">
        <color rgb="FF2E9EA3"/>
      </top>
      <bottom style="dashed">
        <color rgb="FF2E9EA3"/>
      </bottom>
      <diagonal/>
    </border>
    <border>
      <left style="dashed">
        <color rgb="FF2E9EA3"/>
      </left>
      <right style="thin">
        <color rgb="FF2E9EA3"/>
      </right>
      <top style="dashed">
        <color rgb="FF2E9EA3"/>
      </top>
      <bottom style="dashed">
        <color rgb="FF2E9EA3"/>
      </bottom>
      <diagonal/>
    </border>
    <border>
      <left style="thin">
        <color rgb="FF2E9EA3"/>
      </left>
      <right/>
      <top style="dashed">
        <color rgb="FF2E9EA3"/>
      </top>
      <bottom/>
      <diagonal/>
    </border>
    <border>
      <left/>
      <right/>
      <top style="dashed">
        <color rgb="FF2E9EA3"/>
      </top>
      <bottom/>
      <diagonal/>
    </border>
    <border>
      <left/>
      <right style="thin">
        <color rgb="FF2E9EA3"/>
      </right>
      <top style="dashed">
        <color rgb="FF2E9EA3"/>
      </top>
      <bottom/>
      <diagonal/>
    </border>
    <border>
      <left style="dashed">
        <color rgb="FF2E9EA3"/>
      </left>
      <right/>
      <top style="dashed">
        <color rgb="FF2E9EA3"/>
      </top>
      <bottom/>
      <diagonal/>
    </border>
    <border>
      <left style="dashed">
        <color rgb="FF2E9EA3"/>
      </left>
      <right/>
      <top/>
      <bottom style="dashed">
        <color rgb="FF2E9EA3"/>
      </bottom>
      <diagonal/>
    </border>
    <border>
      <left/>
      <right/>
      <top/>
      <bottom style="dashed">
        <color rgb="FF2E9EA3"/>
      </bottom>
      <diagonal/>
    </border>
    <border>
      <left/>
      <right style="thin">
        <color rgb="FF2E9EA3"/>
      </right>
      <top/>
      <bottom style="dashed">
        <color rgb="FF2E9EA3"/>
      </bottom>
      <diagonal/>
    </border>
    <border>
      <left style="dashed">
        <color rgb="FF2E9EA3"/>
      </left>
      <right/>
      <top/>
      <bottom/>
      <diagonal/>
    </border>
    <border>
      <left style="thin">
        <color rgb="FF2E9EA3"/>
      </left>
      <right/>
      <top/>
      <bottom style="dashed">
        <color rgb="FF2E9EA3"/>
      </bottom>
      <diagonal/>
    </border>
    <border>
      <left style="thin">
        <color rgb="FF2E9EA3"/>
      </left>
      <right/>
      <top style="dashed">
        <color rgb="FF2E9EA3"/>
      </top>
      <bottom style="dashed">
        <color rgb="FF2E9EA3"/>
      </bottom>
      <diagonal/>
    </border>
    <border>
      <left/>
      <right/>
      <top style="dashed">
        <color rgb="FF2E9EA3"/>
      </top>
      <bottom style="dashed">
        <color rgb="FF2E9EA3"/>
      </bottom>
      <diagonal/>
    </border>
    <border>
      <left/>
      <right style="thin">
        <color rgb="FF2E9EA3"/>
      </right>
      <top style="dashed">
        <color rgb="FF2E9EA3"/>
      </top>
      <bottom style="dashed">
        <color rgb="FF2E9EA3"/>
      </bottom>
      <diagonal/>
    </border>
    <border>
      <left style="thin">
        <color rgb="FF2E9EA3"/>
      </left>
      <right/>
      <top style="thin">
        <color rgb="FF2E9EA3"/>
      </top>
      <bottom/>
      <diagonal/>
    </border>
    <border>
      <left/>
      <right style="thin">
        <color rgb="FF2E9EA3"/>
      </right>
      <top style="thin">
        <color rgb="FF2E9EA3"/>
      </top>
      <bottom/>
      <diagonal/>
    </border>
    <border>
      <left style="thin">
        <color rgb="FF2E9EA3"/>
      </left>
      <right/>
      <top style="dashed">
        <color rgb="FF2E9EA3"/>
      </top>
      <bottom style="thin">
        <color rgb="FF2E9EA3"/>
      </bottom>
      <diagonal/>
    </border>
    <border>
      <left/>
      <right/>
      <top style="dashed">
        <color rgb="FF2E9EA3"/>
      </top>
      <bottom style="thin">
        <color rgb="FF2E9EA3"/>
      </bottom>
      <diagonal/>
    </border>
    <border>
      <left/>
      <right style="thin">
        <color rgb="FF2E9EA3"/>
      </right>
      <top style="dashed">
        <color rgb="FF2E9EA3"/>
      </top>
      <bottom style="thin">
        <color rgb="FF2E9EA3"/>
      </bottom>
      <diagonal/>
    </border>
    <border>
      <left style="thin">
        <color rgb="FF2E9EA3"/>
      </left>
      <right/>
      <top style="thin">
        <color rgb="FF2E9EA3"/>
      </top>
      <bottom style="dashed">
        <color rgb="FF2E9EA3"/>
      </bottom>
      <diagonal/>
    </border>
    <border>
      <left/>
      <right/>
      <top style="thin">
        <color rgb="FF2E9EA3"/>
      </top>
      <bottom style="dashed">
        <color rgb="FF2E9EA3"/>
      </bottom>
      <diagonal/>
    </border>
    <border>
      <left/>
      <right style="thin">
        <color rgb="FF2E9EA3"/>
      </right>
      <top style="thin">
        <color rgb="FF2E9EA3"/>
      </top>
      <bottom style="dashed">
        <color rgb="FF2E9EA3"/>
      </bottom>
      <diagonal/>
    </border>
    <border>
      <left style="thin">
        <color rgb="FF2E9EA3"/>
      </left>
      <right/>
      <top/>
      <bottom style="thin">
        <color rgb="FF2E9EA3"/>
      </bottom>
      <diagonal/>
    </border>
    <border>
      <left/>
      <right/>
      <top/>
      <bottom style="thin">
        <color rgb="FF2E9EA3"/>
      </bottom>
      <diagonal/>
    </border>
    <border>
      <left/>
      <right style="thin">
        <color rgb="FF2E9EA3"/>
      </right>
      <top/>
      <bottom style="thin">
        <color rgb="FF2E9EA3"/>
      </bottom>
      <diagonal/>
    </border>
    <border>
      <left style="thin">
        <color rgb="FF2E9EA3"/>
      </left>
      <right/>
      <top style="thin">
        <color rgb="FF2E9EA3"/>
      </top>
      <bottom style="dashed">
        <color rgb="FF2E9EA3"/>
      </bottom>
      <diagonal/>
    </border>
    <border>
      <left/>
      <right/>
      <top style="thin">
        <color rgb="FF2E9EA3"/>
      </top>
      <bottom style="dashed">
        <color rgb="FF2E9EA3"/>
      </bottom>
      <diagonal/>
    </border>
    <border>
      <left/>
      <right style="thin">
        <color rgb="FF2E9EA3"/>
      </right>
      <top style="thin">
        <color rgb="FF2E9EA3"/>
      </top>
      <bottom style="dashed">
        <color rgb="FF2E9EA3"/>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style="thin">
        <color rgb="FF2E9EA3"/>
      </right>
      <top style="thin">
        <color rgb="FF2E9EA3"/>
      </top>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style="thin">
        <color rgb="FF2E9EA3"/>
      </left>
      <right style="thin">
        <color rgb="FF2E9EA3"/>
      </right>
      <top/>
      <bottom style="thin">
        <color rgb="FF2E9EA3"/>
      </bottom>
      <diagonal/>
    </border>
    <border>
      <left/>
      <right style="thin">
        <color rgb="FF2E9EA3"/>
      </right>
      <top/>
      <bottom style="thin">
        <color rgb="FF2E9EA3"/>
      </bottom>
      <diagonal/>
    </border>
    <border>
      <left/>
      <right style="thin">
        <color rgb="FF2E9EA3"/>
      </right>
      <top style="thin">
        <color rgb="FF2E9EA3"/>
      </top>
      <bottom style="thin">
        <color rgb="FF2E9EA3"/>
      </bottom>
      <diagonal/>
    </border>
    <border>
      <left/>
      <right style="thin">
        <color rgb="FF2E9EA3"/>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bottom/>
      <diagonal/>
    </border>
    <border>
      <left style="thin">
        <color rgb="FF2E9EA3"/>
      </left>
      <right style="thin">
        <color rgb="FF2E9EA3"/>
      </right>
      <top/>
      <bottom/>
      <diagonal/>
    </border>
    <border>
      <left style="thin">
        <color rgb="FF2E9EA3"/>
      </left>
      <right style="thin">
        <color rgb="FF2E9EA3"/>
      </right>
      <top/>
      <bottom/>
      <diagonal/>
    </border>
    <border>
      <left style="thin">
        <color rgb="FF2E9EA3"/>
      </left>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style="thin">
        <color rgb="FF2E9EA3"/>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style="thin">
        <color rgb="FF2E9EA3"/>
      </right>
      <top style="thin">
        <color rgb="FF2E9EA3"/>
      </top>
      <bottom style="thin">
        <color rgb="FF2E9EA3"/>
      </bottom>
      <diagonal/>
    </border>
    <border>
      <left/>
      <right/>
      <top/>
      <bottom style="dotted">
        <color rgb="FF2E9EA3"/>
      </bottom>
      <diagonal/>
    </border>
    <border>
      <left/>
      <right style="thin">
        <color rgb="FF2E9EA3"/>
      </right>
      <top/>
      <bottom style="dotted">
        <color rgb="FF2E9EA3"/>
      </bottom>
      <diagonal/>
    </border>
    <border>
      <left style="thin">
        <color rgb="FF2E9EA3"/>
      </left>
      <right style="dashed">
        <color rgb="FF2E9EA3"/>
      </right>
      <top/>
      <bottom style="dashed">
        <color rgb="FF2E9EA3"/>
      </bottom>
      <diagonal/>
    </border>
    <border>
      <left style="dashed">
        <color rgb="FF2E9EA3"/>
      </left>
      <right style="dashed">
        <color rgb="FF2E9EA3"/>
      </right>
      <top/>
      <bottom style="dashed">
        <color rgb="FF2E9EA3"/>
      </bottom>
      <diagonal/>
    </border>
    <border>
      <left style="dashed">
        <color rgb="FF2E9EA3"/>
      </left>
      <right style="thin">
        <color rgb="FF2E9EA3"/>
      </right>
      <top/>
      <bottom style="dashed">
        <color rgb="FF2E9EA3"/>
      </bottom>
      <diagonal/>
    </border>
    <border>
      <left style="thin">
        <color rgb="FF2E9EA3"/>
      </left>
      <right style="thin">
        <color rgb="FF2E9EA3"/>
      </right>
      <top style="thin">
        <color rgb="FF2E9EA3"/>
      </top>
      <bottom/>
      <diagonal/>
    </border>
    <border>
      <left style="thin">
        <color rgb="FF2E9EA3"/>
      </left>
      <right style="thin">
        <color rgb="FF2E9EA3"/>
      </right>
      <top style="thin">
        <color rgb="FF2E9EA3"/>
      </top>
      <bottom/>
      <diagonal/>
    </border>
    <border>
      <left style="thin">
        <color rgb="FF2E9EA3"/>
      </left>
      <right style="thin">
        <color rgb="FF2E9EA3"/>
      </right>
      <top style="thin">
        <color rgb="FF2E9EA3"/>
      </top>
      <bottom/>
      <diagonal/>
    </border>
    <border>
      <left style="thin">
        <color rgb="FF2E9EA3"/>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style="thin">
        <color rgb="FF2E9EA3"/>
      </left>
      <right style="thin">
        <color rgb="FF2E9EA3"/>
      </right>
      <top/>
      <bottom/>
      <diagonal/>
    </border>
    <border>
      <left style="thin">
        <color rgb="FF2E9EA3"/>
      </left>
      <right style="thin">
        <color rgb="FF2E9EA3"/>
      </right>
      <top/>
      <bottom/>
      <diagonal/>
    </border>
    <border>
      <left style="thin">
        <color rgb="FF2E9EA3"/>
      </left>
      <right style="thin">
        <color rgb="FF2E9EA3"/>
      </right>
      <top/>
      <bottom/>
      <diagonal/>
    </border>
    <border>
      <left style="thin">
        <color rgb="FF2E9EA3"/>
      </left>
      <right style="thin">
        <color rgb="FF2E9EA3"/>
      </right>
      <top style="thin">
        <color rgb="FF2E9EA3"/>
      </top>
      <bottom/>
      <diagonal/>
    </border>
    <border>
      <left style="thin">
        <color rgb="FF2E9EA3"/>
      </left>
      <right style="thin">
        <color rgb="FF2E9EA3"/>
      </right>
      <top style="thin">
        <color rgb="FF2E9EA3"/>
      </top>
      <bottom/>
      <diagonal/>
    </border>
    <border>
      <left/>
      <right style="thin">
        <color rgb="FF2E9EA3"/>
      </right>
      <top style="thin">
        <color rgb="FF2E9EA3"/>
      </top>
      <bottom style="thin">
        <color rgb="FF2E9EA3"/>
      </bottom>
      <diagonal/>
    </border>
    <border>
      <left style="thin">
        <color rgb="FF2E9EA3"/>
      </left>
      <right/>
      <top style="thin">
        <color rgb="FF2E9EA3"/>
      </top>
      <bottom style="dashed">
        <color rgb="FF2E9EA3"/>
      </bottom>
      <diagonal/>
    </border>
    <border>
      <left/>
      <right/>
      <top style="thin">
        <color rgb="FF2E9EA3"/>
      </top>
      <bottom style="dashed">
        <color rgb="FF2E9EA3"/>
      </bottom>
      <diagonal/>
    </border>
    <border>
      <left/>
      <right style="thin">
        <color rgb="FF2E9EA3"/>
      </right>
      <top style="thin">
        <color rgb="FF2E9EA3"/>
      </top>
      <bottom style="dashed">
        <color rgb="FF2E9EA3"/>
      </bottom>
      <diagonal/>
    </border>
    <border>
      <left style="thin">
        <color rgb="FF2E9EA3"/>
      </left>
      <right/>
      <top/>
      <bottom style="thin">
        <color rgb="FF2E9EA3"/>
      </bottom>
      <diagonal/>
    </border>
    <border>
      <left/>
      <right style="thin">
        <color rgb="FF2E9EA3"/>
      </right>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bottom/>
      <diagonal/>
    </border>
    <border>
      <left style="thin">
        <color rgb="FF2E9EA3"/>
      </left>
      <right/>
      <top style="thin">
        <color rgb="FF2E9EA3"/>
      </top>
      <bottom style="thin">
        <color rgb="FF2E9EA3"/>
      </bottom>
      <diagonal/>
    </border>
    <border>
      <left/>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style="thin">
        <color rgb="FF2E9EA3"/>
      </left>
      <right/>
      <top/>
      <bottom/>
      <diagonal/>
    </border>
    <border>
      <left style="thin">
        <color rgb="FF7F93A8"/>
      </left>
      <right style="thin">
        <color rgb="FF7F93A8"/>
      </right>
      <top/>
      <bottom style="thin">
        <color rgb="FF7F93A8"/>
      </bottom>
      <diagonal/>
    </border>
    <border>
      <left style="thin">
        <color rgb="FF7F93A8"/>
      </left>
      <right style="thin">
        <color rgb="FF7F93A8"/>
      </right>
      <top/>
      <bottom style="thin">
        <color rgb="FF7F93A8"/>
      </bottom>
      <diagonal/>
    </border>
    <border>
      <left style="thin">
        <color rgb="FF7F93A8"/>
      </left>
      <right style="thin">
        <color rgb="FF2E9EA3"/>
      </right>
      <top style="thin">
        <color rgb="FF2E9EA3"/>
      </top>
      <bottom style="thin">
        <color rgb="FF2E9EA3"/>
      </bottom>
      <diagonal/>
    </border>
    <border>
      <left style="thin">
        <color rgb="FF2E9EA3"/>
      </left>
      <right style="thin">
        <color rgb="FF2E9EA3"/>
      </right>
      <top style="thin">
        <color rgb="FF2E9EA3"/>
      </top>
      <bottom style="thin">
        <color rgb="FF2E9EA3"/>
      </bottom>
      <diagonal/>
    </border>
    <border>
      <left/>
      <right style="thin">
        <color rgb="FF2E9EA3"/>
      </right>
      <top style="thin">
        <color rgb="FF2E9EA3"/>
      </top>
      <bottom style="thin">
        <color rgb="FF2E9EA3"/>
      </bottom>
      <diagonal/>
    </border>
    <border>
      <left style="thin">
        <color rgb="FF2E9EA3"/>
      </left>
      <right/>
      <top/>
      <bottom style="thin">
        <color rgb="FF2E9EA3"/>
      </bottom>
      <diagonal/>
    </border>
    <border>
      <left style="thin">
        <color rgb="FF2E9EA3"/>
      </left>
      <right style="thin">
        <color rgb="FF2E9EA3"/>
      </right>
      <top style="thin">
        <color rgb="FF2E9EA3"/>
      </top>
      <bottom style="thin">
        <color rgb="FF2E9EA3"/>
      </bottom>
      <diagonal/>
    </border>
  </borders>
  <cellStyleXfs count="51">
    <xf numFmtId="0" fontId="0" fillId="0" borderId="0" applyProtection="0"/>
    <xf numFmtId="0" fontId="72" fillId="2" borderId="0" applyNumberFormat="0" applyBorder="0" applyAlignment="0" applyProtection="0"/>
    <xf numFmtId="0" fontId="72" fillId="3" borderId="0" applyNumberFormat="0" applyBorder="0" applyAlignment="0" applyProtection="0"/>
    <xf numFmtId="0" fontId="72" fillId="4" borderId="0" applyNumberFormat="0" applyBorder="0" applyAlignment="0" applyProtection="0"/>
    <xf numFmtId="0" fontId="72" fillId="5" borderId="0" applyNumberFormat="0" applyBorder="0" applyAlignment="0" applyProtection="0"/>
    <xf numFmtId="0" fontId="72" fillId="6" borderId="0" applyNumberFormat="0" applyBorder="0" applyAlignment="0" applyProtection="0"/>
    <xf numFmtId="0" fontId="72" fillId="4" borderId="0" applyNumberFormat="0" applyBorder="0" applyAlignment="0" applyProtection="0"/>
    <xf numFmtId="0" fontId="72" fillId="6" borderId="0" applyNumberFormat="0" applyBorder="0" applyAlignment="0" applyProtection="0"/>
    <xf numFmtId="0" fontId="72" fillId="3" borderId="0" applyNumberFormat="0" applyBorder="0" applyAlignment="0" applyProtection="0"/>
    <xf numFmtId="0" fontId="72" fillId="7" borderId="0" applyNumberFormat="0" applyBorder="0" applyAlignment="0" applyProtection="0"/>
    <xf numFmtId="0" fontId="72" fillId="8" borderId="0" applyNumberFormat="0" applyBorder="0" applyAlignment="0" applyProtection="0"/>
    <xf numFmtId="0" fontId="72" fillId="6" borderId="0" applyNumberFormat="0" applyBorder="0" applyAlignment="0" applyProtection="0"/>
    <xf numFmtId="0" fontId="72" fillId="4" borderId="0" applyNumberFormat="0" applyBorder="0" applyAlignment="0" applyProtection="0"/>
    <xf numFmtId="0" fontId="73" fillId="6"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8" borderId="0" applyNumberFormat="0" applyBorder="0" applyAlignment="0" applyProtection="0"/>
    <xf numFmtId="0" fontId="73" fillId="6" borderId="0" applyNumberFormat="0" applyBorder="0" applyAlignment="0" applyProtection="0"/>
    <xf numFmtId="0" fontId="73" fillId="3" borderId="0" applyNumberFormat="0" applyBorder="0" applyAlignment="0" applyProtection="0"/>
    <xf numFmtId="0" fontId="74" fillId="6" borderId="0" applyNumberFormat="0" applyBorder="0" applyAlignment="0" applyProtection="0"/>
    <xf numFmtId="0" fontId="75" fillId="11" borderId="1" applyNumberFormat="0" applyAlignment="0" applyProtection="0"/>
    <xf numFmtId="0" fontId="76" fillId="12" borderId="2" applyNumberFormat="0" applyAlignment="0" applyProtection="0"/>
    <xf numFmtId="0" fontId="77" fillId="0" borderId="3" applyNumberFormat="0" applyFill="0" applyAlignment="0" applyProtection="0"/>
    <xf numFmtId="0" fontId="78" fillId="0" borderId="0" applyNumberFormat="0" applyFill="0" applyBorder="0" applyAlignment="0" applyProtection="0"/>
    <xf numFmtId="0" fontId="73" fillId="13"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9" fillId="7" borderId="1" applyNumberFormat="0" applyAlignment="0" applyProtection="0"/>
    <xf numFmtId="0" fontId="20" fillId="0" borderId="0" applyNumberFormat="0" applyFill="0" applyBorder="0" applyAlignment="0" applyProtection="0">
      <alignment vertical="top"/>
      <protection locked="0"/>
    </xf>
    <xf numFmtId="0" fontId="80" fillId="17" borderId="0" applyNumberFormat="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81" fillId="7" borderId="0" applyNumberFormat="0" applyBorder="0" applyAlignment="0" applyProtection="0"/>
    <xf numFmtId="0" fontId="2" fillId="0" borderId="0"/>
    <xf numFmtId="0" fontId="10" fillId="0" borderId="0" applyProtection="0"/>
    <xf numFmtId="0" fontId="10" fillId="4" borderId="4" applyNumberFormat="0" applyFont="0" applyAlignment="0" applyProtection="0"/>
    <xf numFmtId="9" fontId="2" fillId="0" borderId="0" applyFont="0" applyFill="0" applyBorder="0" applyAlignment="0" applyProtection="0"/>
    <xf numFmtId="0" fontId="82" fillId="11" borderId="5" applyNumberFormat="0" applyAlignment="0" applyProtection="0"/>
    <xf numFmtId="0" fontId="77"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6" applyNumberFormat="0" applyFill="0" applyAlignment="0" applyProtection="0"/>
    <xf numFmtId="0" fontId="86" fillId="0" borderId="7" applyNumberFormat="0" applyFill="0" applyAlignment="0" applyProtection="0"/>
    <xf numFmtId="0" fontId="78" fillId="0" borderId="8" applyNumberFormat="0" applyFill="0" applyAlignment="0" applyProtection="0"/>
    <xf numFmtId="0" fontId="87" fillId="0" borderId="9" applyNumberFormat="0" applyFill="0" applyAlignment="0" applyProtection="0"/>
    <xf numFmtId="44" fontId="10" fillId="0" borderId="0" applyFont="0" applyFill="0" applyBorder="0" applyAlignment="0" applyProtection="0"/>
    <xf numFmtId="0" fontId="1" fillId="0" borderId="0"/>
    <xf numFmtId="0" fontId="1" fillId="0" borderId="0"/>
  </cellStyleXfs>
  <cellXfs count="2601">
    <xf numFmtId="0" fontId="0" fillId="0" borderId="0" xfId="0"/>
    <xf numFmtId="3" fontId="9" fillId="0" borderId="0" xfId="0" applyNumberFormat="1" applyFont="1"/>
    <xf numFmtId="0" fontId="9" fillId="0" borderId="0" xfId="0" applyFont="1"/>
    <xf numFmtId="0" fontId="4" fillId="0" borderId="0" xfId="0" applyFont="1"/>
    <xf numFmtId="0" fontId="6" fillId="0" borderId="0" xfId="0" applyFont="1"/>
    <xf numFmtId="3" fontId="8" fillId="0" borderId="0" xfId="0" applyNumberFormat="1" applyFont="1" applyAlignment="1">
      <alignment horizontal="left"/>
    </xf>
    <xf numFmtId="3" fontId="8" fillId="0" borderId="0" xfId="0" applyNumberFormat="1" applyFont="1" applyAlignment="1">
      <alignment horizontal="center"/>
    </xf>
    <xf numFmtId="3" fontId="3" fillId="0" borderId="0" xfId="0" applyNumberFormat="1" applyFont="1"/>
    <xf numFmtId="3" fontId="4" fillId="0" borderId="0" xfId="0" applyNumberFormat="1" applyFont="1"/>
    <xf numFmtId="3" fontId="14" fillId="0" borderId="0" xfId="0" applyNumberFormat="1" applyFont="1" applyAlignment="1">
      <alignment horizontal="center"/>
    </xf>
    <xf numFmtId="9" fontId="11" fillId="0" borderId="0" xfId="0" applyNumberFormat="1" applyFont="1"/>
    <xf numFmtId="3" fontId="11" fillId="0" borderId="0" xfId="0" applyNumberFormat="1" applyFont="1"/>
    <xf numFmtId="3" fontId="8" fillId="0" borderId="0" xfId="0" applyNumberFormat="1" applyFont="1"/>
    <xf numFmtId="3" fontId="13" fillId="0" borderId="0" xfId="0" applyNumberFormat="1" applyFont="1"/>
    <xf numFmtId="3" fontId="12" fillId="0" borderId="0" xfId="0" applyNumberFormat="1" applyFont="1" applyAlignment="1">
      <alignment horizontal="left"/>
    </xf>
    <xf numFmtId="3" fontId="12" fillId="0" borderId="0" xfId="0" applyNumberFormat="1" applyFont="1"/>
    <xf numFmtId="3" fontId="4" fillId="0" borderId="0" xfId="0" applyNumberFormat="1" applyFont="1" applyAlignment="1">
      <alignment horizontal="center"/>
    </xf>
    <xf numFmtId="3" fontId="9" fillId="0" borderId="0" xfId="0" applyNumberFormat="1" applyFont="1" applyAlignment="1">
      <alignment horizontal="center"/>
    </xf>
    <xf numFmtId="3" fontId="12" fillId="0" borderId="0" xfId="0" applyNumberFormat="1" applyFont="1" applyAlignment="1">
      <alignment horizontal="center"/>
    </xf>
    <xf numFmtId="9" fontId="12" fillId="0" borderId="0" xfId="39" applyFont="1" applyAlignment="1">
      <alignment horizontal="center"/>
    </xf>
    <xf numFmtId="3" fontId="12" fillId="0" borderId="0" xfId="0" applyNumberFormat="1" applyFont="1" applyAlignment="1">
      <alignment wrapText="1"/>
    </xf>
    <xf numFmtId="3" fontId="6" fillId="0" borderId="0" xfId="0" applyNumberFormat="1" applyFont="1" applyAlignment="1">
      <alignment horizontal="left"/>
    </xf>
    <xf numFmtId="164" fontId="12" fillId="0" borderId="0" xfId="34" applyFont="1" applyAlignment="1">
      <alignment horizontal="center"/>
    </xf>
    <xf numFmtId="10" fontId="12" fillId="0" borderId="0" xfId="39" applyNumberFormat="1" applyFont="1" applyAlignment="1">
      <alignment horizontal="center"/>
    </xf>
    <xf numFmtId="166" fontId="4" fillId="0" borderId="0" xfId="39" applyNumberFormat="1" applyFont="1" applyAlignment="1">
      <alignment horizontal="center"/>
    </xf>
    <xf numFmtId="0" fontId="9" fillId="0" borderId="0" xfId="0" applyFont="1" applyAlignment="1">
      <alignment horizontal="left" indent="1"/>
    </xf>
    <xf numFmtId="0" fontId="4" fillId="0" borderId="10" xfId="0" applyFont="1" applyBorder="1"/>
    <xf numFmtId="0" fontId="26" fillId="0" borderId="0" xfId="0" applyFont="1" applyAlignment="1">
      <alignment horizontal="center"/>
    </xf>
    <xf numFmtId="0" fontId="27" fillId="0" borderId="0" xfId="31" applyFont="1" applyAlignment="1" applyProtection="1"/>
    <xf numFmtId="0" fontId="19" fillId="0" borderId="0" xfId="0" applyFont="1"/>
    <xf numFmtId="0" fontId="23" fillId="0" borderId="0" xfId="0" applyFont="1"/>
    <xf numFmtId="0" fontId="28" fillId="0" borderId="0" xfId="0" applyFont="1" applyAlignment="1">
      <alignment horizontal="center"/>
    </xf>
    <xf numFmtId="0" fontId="19" fillId="0" borderId="0" xfId="0" applyFont="1" applyAlignment="1">
      <alignment horizontal="center"/>
    </xf>
    <xf numFmtId="0" fontId="26" fillId="0" borderId="0" xfId="0" applyFont="1"/>
    <xf numFmtId="1" fontId="15" fillId="0" borderId="0" xfId="0" applyNumberFormat="1" applyFont="1" applyAlignment="1">
      <alignment horizontal="center"/>
    </xf>
    <xf numFmtId="0" fontId="22" fillId="0" borderId="11" xfId="0" applyFont="1" applyBorder="1" applyAlignment="1">
      <alignment horizontal="center"/>
    </xf>
    <xf numFmtId="168" fontId="16" fillId="18" borderId="11" xfId="0" applyNumberFormat="1" applyFont="1" applyFill="1" applyBorder="1" applyAlignment="1">
      <alignment horizontal="center"/>
    </xf>
    <xf numFmtId="168" fontId="16" fillId="0" borderId="11" xfId="0" applyNumberFormat="1" applyFont="1" applyBorder="1" applyAlignment="1">
      <alignment horizontal="center"/>
    </xf>
    <xf numFmtId="180" fontId="3" fillId="0" borderId="12" xfId="39" applyNumberFormat="1" applyFont="1" applyBorder="1" applyAlignment="1">
      <alignment horizontal="center"/>
    </xf>
    <xf numFmtId="2" fontId="3" fillId="0" borderId="13" xfId="39" applyNumberFormat="1" applyFont="1" applyBorder="1" applyAlignment="1">
      <alignment horizontal="center"/>
    </xf>
    <xf numFmtId="2" fontId="3" fillId="0" borderId="14" xfId="39" applyNumberFormat="1" applyFont="1" applyBorder="1" applyAlignment="1">
      <alignment horizontal="center"/>
    </xf>
    <xf numFmtId="2" fontId="3" fillId="0" borderId="15" xfId="39" applyNumberFormat="1" applyFont="1" applyBorder="1" applyAlignment="1">
      <alignment horizontal="center"/>
    </xf>
    <xf numFmtId="201" fontId="13" fillId="0" borderId="16" xfId="0" applyNumberFormat="1" applyFont="1" applyBorder="1"/>
    <xf numFmtId="0" fontId="8" fillId="0" borderId="0" xfId="37" applyFont="1"/>
    <xf numFmtId="167" fontId="5" fillId="0" borderId="0" xfId="37" applyNumberFormat="1" applyFont="1" applyAlignment="1">
      <alignment horizontal="centerContinuous"/>
    </xf>
    <xf numFmtId="3" fontId="5" fillId="0" borderId="0" xfId="37" applyNumberFormat="1" applyFont="1"/>
    <xf numFmtId="0" fontId="10" fillId="0" borderId="0" xfId="37"/>
    <xf numFmtId="0" fontId="29" fillId="0" borderId="0" xfId="37" applyFont="1"/>
    <xf numFmtId="3" fontId="3" fillId="0" borderId="0" xfId="37" applyNumberFormat="1" applyFont="1" applyAlignment="1">
      <alignment horizontal="center"/>
    </xf>
    <xf numFmtId="167" fontId="4" fillId="0" borderId="0" xfId="37" applyNumberFormat="1" applyFont="1" applyAlignment="1">
      <alignment horizontal="left"/>
    </xf>
    <xf numFmtId="3" fontId="4" fillId="0" borderId="0" xfId="37" quotePrefix="1" applyNumberFormat="1" applyFont="1"/>
    <xf numFmtId="3" fontId="3" fillId="18" borderId="17" xfId="37" applyNumberFormat="1" applyFont="1" applyFill="1" applyBorder="1" applyAlignment="1">
      <alignment horizontal="left" indent="3"/>
    </xf>
    <xf numFmtId="3" fontId="3" fillId="18" borderId="17" xfId="37" applyNumberFormat="1" applyFont="1" applyFill="1" applyBorder="1" applyAlignment="1">
      <alignment horizontal="center"/>
    </xf>
    <xf numFmtId="3" fontId="30" fillId="0" borderId="18" xfId="37" applyNumberFormat="1" applyFont="1" applyBorder="1" applyAlignment="1">
      <alignment horizontal="left" indent="1"/>
    </xf>
    <xf numFmtId="3" fontId="30" fillId="0" borderId="18" xfId="37" applyNumberFormat="1" applyFont="1" applyBorder="1" applyAlignment="1">
      <alignment horizontal="center"/>
    </xf>
    <xf numFmtId="180" fontId="30" fillId="0" borderId="19" xfId="39" applyNumberFormat="1" applyFont="1" applyBorder="1" applyAlignment="1">
      <alignment horizontal="center"/>
    </xf>
    <xf numFmtId="3" fontId="3" fillId="0" borderId="18" xfId="37" applyNumberFormat="1" applyFont="1" applyBorder="1" applyAlignment="1">
      <alignment horizontal="center"/>
    </xf>
    <xf numFmtId="2" fontId="3" fillId="0" borderId="20" xfId="39" applyNumberFormat="1" applyFont="1" applyBorder="1" applyAlignment="1">
      <alignment horizontal="center"/>
    </xf>
    <xf numFmtId="3" fontId="30" fillId="0" borderId="12" xfId="37" applyNumberFormat="1" applyFont="1" applyBorder="1" applyAlignment="1">
      <alignment horizontal="left" indent="1"/>
    </xf>
    <xf numFmtId="3" fontId="30" fillId="0" borderId="12" xfId="37" applyNumberFormat="1" applyFont="1" applyBorder="1" applyAlignment="1">
      <alignment horizontal="center"/>
    </xf>
    <xf numFmtId="3" fontId="30" fillId="0" borderId="13" xfId="37" applyNumberFormat="1" applyFont="1" applyBorder="1" applyAlignment="1">
      <alignment horizontal="left" indent="1"/>
    </xf>
    <xf numFmtId="3" fontId="3" fillId="0" borderId="13" xfId="37" applyNumberFormat="1" applyFont="1" applyBorder="1" applyAlignment="1">
      <alignment horizontal="center"/>
    </xf>
    <xf numFmtId="2" fontId="3" fillId="0" borderId="21" xfId="39" applyNumberFormat="1" applyFont="1" applyBorder="1" applyAlignment="1">
      <alignment horizontal="center"/>
    </xf>
    <xf numFmtId="180" fontId="30" fillId="0" borderId="18" xfId="39" applyNumberFormat="1" applyFont="1" applyBorder="1" applyAlignment="1">
      <alignment horizontal="center"/>
    </xf>
    <xf numFmtId="180" fontId="30" fillId="0" borderId="20" xfId="39" applyNumberFormat="1" applyFont="1" applyBorder="1" applyAlignment="1">
      <alignment horizontal="center"/>
    </xf>
    <xf numFmtId="180" fontId="30" fillId="0" borderId="14" xfId="39" applyNumberFormat="1" applyFont="1" applyBorder="1" applyAlignment="1">
      <alignment horizontal="center"/>
    </xf>
    <xf numFmtId="3" fontId="30" fillId="0" borderId="13" xfId="37" applyNumberFormat="1" applyFont="1" applyBorder="1" applyAlignment="1">
      <alignment horizontal="center"/>
    </xf>
    <xf numFmtId="3" fontId="3" fillId="0" borderId="18" xfId="37" applyNumberFormat="1" applyFont="1" applyBorder="1" applyAlignment="1">
      <alignment horizontal="left" indent="1"/>
    </xf>
    <xf numFmtId="9" fontId="3" fillId="0" borderId="18" xfId="39" applyFont="1" applyBorder="1" applyAlignment="1">
      <alignment horizontal="center"/>
    </xf>
    <xf numFmtId="9" fontId="3" fillId="0" borderId="22" xfId="39" applyFont="1" applyBorder="1" applyAlignment="1">
      <alignment horizontal="center"/>
    </xf>
    <xf numFmtId="3" fontId="3" fillId="0" borderId="23" xfId="37" applyNumberFormat="1" applyFont="1" applyBorder="1" applyAlignment="1">
      <alignment horizontal="left" indent="1"/>
    </xf>
    <xf numFmtId="3" fontId="3" fillId="0" borderId="23" xfId="37" applyNumberFormat="1" applyFont="1" applyBorder="1" applyAlignment="1">
      <alignment horizontal="center"/>
    </xf>
    <xf numFmtId="9" fontId="3" fillId="0" borderId="23" xfId="39" applyFont="1" applyBorder="1" applyAlignment="1">
      <alignment horizontal="center"/>
    </xf>
    <xf numFmtId="9" fontId="3" fillId="0" borderId="24" xfId="39" applyFont="1" applyBorder="1" applyAlignment="1">
      <alignment horizontal="center"/>
    </xf>
    <xf numFmtId="9" fontId="3" fillId="0" borderId="25" xfId="39" applyFont="1" applyBorder="1" applyAlignment="1">
      <alignment horizontal="center"/>
    </xf>
    <xf numFmtId="2" fontId="3" fillId="0" borderId="25" xfId="39" applyNumberFormat="1" applyFont="1" applyBorder="1" applyAlignment="1">
      <alignment horizontal="center"/>
    </xf>
    <xf numFmtId="9" fontId="3" fillId="0" borderId="20" xfId="39" applyFont="1" applyBorder="1" applyAlignment="1">
      <alignment horizontal="center"/>
    </xf>
    <xf numFmtId="9" fontId="3" fillId="0" borderId="14" xfId="39" applyFont="1" applyBorder="1" applyAlignment="1">
      <alignment horizontal="center"/>
    </xf>
    <xf numFmtId="3" fontId="3" fillId="0" borderId="26" xfId="37" applyNumberFormat="1" applyFont="1" applyBorder="1" applyAlignment="1">
      <alignment horizontal="left" indent="1"/>
    </xf>
    <xf numFmtId="3" fontId="3" fillId="0" borderId="26" xfId="37" applyNumberFormat="1" applyFont="1" applyBorder="1" applyAlignment="1">
      <alignment horizontal="center"/>
    </xf>
    <xf numFmtId="9" fontId="3" fillId="0" borderId="26" xfId="39" applyFont="1" applyBorder="1" applyAlignment="1">
      <alignment horizontal="center"/>
    </xf>
    <xf numFmtId="9" fontId="3" fillId="0" borderId="27" xfId="39" applyFont="1" applyBorder="1" applyAlignment="1">
      <alignment horizontal="center"/>
    </xf>
    <xf numFmtId="9" fontId="3" fillId="0" borderId="28" xfId="39" applyFont="1" applyBorder="1" applyAlignment="1">
      <alignment horizontal="center"/>
    </xf>
    <xf numFmtId="2" fontId="3" fillId="0" borderId="28" xfId="39" applyNumberFormat="1" applyFont="1" applyBorder="1" applyAlignment="1">
      <alignment horizontal="center"/>
    </xf>
    <xf numFmtId="3" fontId="4" fillId="18" borderId="17" xfId="37" applyNumberFormat="1" applyFont="1" applyFill="1" applyBorder="1" applyAlignment="1">
      <alignment horizontal="centerContinuous"/>
    </xf>
    <xf numFmtId="3" fontId="4" fillId="18" borderId="11" xfId="37" applyNumberFormat="1" applyFont="1" applyFill="1" applyBorder="1" applyAlignment="1">
      <alignment horizontal="centerContinuous"/>
    </xf>
    <xf numFmtId="3" fontId="4" fillId="18" borderId="29" xfId="37" applyNumberFormat="1" applyFont="1" applyFill="1" applyBorder="1" applyAlignment="1">
      <alignment horizontal="centerContinuous"/>
    </xf>
    <xf numFmtId="2" fontId="30" fillId="0" borderId="12" xfId="37" applyNumberFormat="1" applyFont="1" applyBorder="1" applyAlignment="1">
      <alignment horizontal="center"/>
    </xf>
    <xf numFmtId="2" fontId="30" fillId="0" borderId="19" xfId="37" applyNumberFormat="1" applyFont="1" applyBorder="1" applyAlignment="1">
      <alignment horizontal="center"/>
    </xf>
    <xf numFmtId="2" fontId="30" fillId="0" borderId="30" xfId="37" applyNumberFormat="1" applyFont="1" applyBorder="1" applyAlignment="1">
      <alignment horizontal="center"/>
    </xf>
    <xf numFmtId="3" fontId="3" fillId="0" borderId="18" xfId="37" applyNumberFormat="1" applyFont="1" applyBorder="1"/>
    <xf numFmtId="181" fontId="3" fillId="0" borderId="18" xfId="37" applyNumberFormat="1" applyFont="1" applyBorder="1" applyAlignment="1">
      <alignment horizontal="center"/>
    </xf>
    <xf numFmtId="181" fontId="3" fillId="0" borderId="20" xfId="37" applyNumberFormat="1" applyFont="1" applyBorder="1" applyAlignment="1">
      <alignment horizontal="center"/>
    </xf>
    <xf numFmtId="181" fontId="3" fillId="0" borderId="14" xfId="37" applyNumberFormat="1" applyFont="1" applyBorder="1" applyAlignment="1">
      <alignment horizontal="center"/>
    </xf>
    <xf numFmtId="181" fontId="30" fillId="0" borderId="12" xfId="37" applyNumberFormat="1" applyFont="1" applyBorder="1" applyAlignment="1">
      <alignment horizontal="center"/>
    </xf>
    <xf numFmtId="181" fontId="30" fillId="0" borderId="19" xfId="37" applyNumberFormat="1" applyFont="1" applyBorder="1" applyAlignment="1">
      <alignment horizontal="center"/>
    </xf>
    <xf numFmtId="181" fontId="30" fillId="0" borderId="30" xfId="37" applyNumberFormat="1" applyFont="1" applyBorder="1" applyAlignment="1">
      <alignment horizontal="center"/>
    </xf>
    <xf numFmtId="3" fontId="3" fillId="0" borderId="13" xfId="37" applyNumberFormat="1" applyFont="1" applyBorder="1"/>
    <xf numFmtId="181" fontId="3" fillId="0" borderId="13" xfId="37" applyNumberFormat="1" applyFont="1" applyBorder="1" applyAlignment="1">
      <alignment horizontal="center"/>
    </xf>
    <xf numFmtId="181" fontId="3" fillId="0" borderId="21" xfId="37" applyNumberFormat="1" applyFont="1" applyBorder="1" applyAlignment="1">
      <alignment horizontal="center"/>
    </xf>
    <xf numFmtId="181" fontId="3" fillId="0" borderId="15" xfId="37" applyNumberFormat="1" applyFont="1" applyBorder="1" applyAlignment="1">
      <alignment horizontal="center"/>
    </xf>
    <xf numFmtId="181" fontId="30" fillId="0" borderId="18" xfId="37" applyNumberFormat="1" applyFont="1" applyBorder="1" applyAlignment="1">
      <alignment horizontal="center"/>
    </xf>
    <xf numFmtId="181" fontId="30" fillId="0" borderId="20" xfId="37" applyNumberFormat="1" applyFont="1" applyBorder="1" applyAlignment="1">
      <alignment horizontal="center"/>
    </xf>
    <xf numFmtId="181" fontId="30" fillId="0" borderId="14" xfId="37" applyNumberFormat="1" applyFont="1" applyBorder="1" applyAlignment="1">
      <alignment horizontal="center"/>
    </xf>
    <xf numFmtId="2" fontId="3" fillId="0" borderId="30" xfId="37" applyNumberFormat="1" applyFont="1" applyBorder="1" applyAlignment="1">
      <alignment horizontal="center"/>
    </xf>
    <xf numFmtId="177" fontId="3" fillId="0" borderId="18" xfId="37" applyNumberFormat="1" applyFont="1" applyBorder="1" applyAlignment="1">
      <alignment horizontal="center"/>
    </xf>
    <xf numFmtId="177" fontId="3" fillId="0" borderId="20" xfId="37" applyNumberFormat="1" applyFont="1" applyBorder="1" applyAlignment="1">
      <alignment horizontal="center"/>
    </xf>
    <xf numFmtId="177" fontId="3" fillId="0" borderId="14" xfId="37" applyNumberFormat="1" applyFont="1" applyBorder="1" applyAlignment="1">
      <alignment horizontal="center"/>
    </xf>
    <xf numFmtId="177" fontId="3" fillId="0" borderId="13" xfId="37" applyNumberFormat="1" applyFont="1" applyBorder="1" applyAlignment="1">
      <alignment horizontal="center"/>
    </xf>
    <xf numFmtId="177" fontId="3" fillId="0" borderId="21" xfId="37" applyNumberFormat="1" applyFont="1" applyBorder="1" applyAlignment="1">
      <alignment horizontal="center"/>
    </xf>
    <xf numFmtId="177" fontId="3" fillId="0" borderId="15" xfId="37" applyNumberFormat="1" applyFont="1" applyBorder="1" applyAlignment="1">
      <alignment horizontal="center"/>
    </xf>
    <xf numFmtId="2" fontId="30" fillId="0" borderId="18" xfId="37" applyNumberFormat="1" applyFont="1" applyBorder="1" applyAlignment="1">
      <alignment horizontal="center"/>
    </xf>
    <xf numFmtId="2" fontId="30" fillId="0" borderId="20" xfId="37" applyNumberFormat="1" applyFont="1" applyBorder="1" applyAlignment="1">
      <alignment horizontal="center"/>
    </xf>
    <xf numFmtId="2" fontId="30" fillId="0" borderId="14" xfId="37" applyNumberFormat="1" applyFont="1" applyBorder="1" applyAlignment="1">
      <alignment horizontal="center"/>
    </xf>
    <xf numFmtId="9" fontId="30" fillId="0" borderId="18" xfId="39" applyFont="1" applyBorder="1" applyAlignment="1">
      <alignment horizontal="center"/>
    </xf>
    <xf numFmtId="9" fontId="30" fillId="0" borderId="19" xfId="39" applyFont="1" applyBorder="1" applyAlignment="1">
      <alignment horizontal="center"/>
    </xf>
    <xf numFmtId="3" fontId="21" fillId="0" borderId="31" xfId="37" applyNumberFormat="1" applyFont="1" applyBorder="1" applyAlignment="1">
      <alignment horizontal="left" indent="1"/>
    </xf>
    <xf numFmtId="3" fontId="21" fillId="0" borderId="22" xfId="37" applyNumberFormat="1" applyFont="1" applyBorder="1" applyAlignment="1">
      <alignment horizontal="center"/>
    </xf>
    <xf numFmtId="1" fontId="21" fillId="0" borderId="31" xfId="37" applyNumberFormat="1" applyFont="1" applyBorder="1" applyAlignment="1">
      <alignment horizontal="center"/>
    </xf>
    <xf numFmtId="1" fontId="21" fillId="0" borderId="22" xfId="37" applyNumberFormat="1" applyFont="1" applyBorder="1" applyAlignment="1">
      <alignment horizontal="center"/>
    </xf>
    <xf numFmtId="1" fontId="21" fillId="0" borderId="32" xfId="37" applyNumberFormat="1" applyFont="1" applyBorder="1" applyAlignment="1">
      <alignment horizontal="center"/>
    </xf>
    <xf numFmtId="2" fontId="31" fillId="0" borderId="32" xfId="37" applyNumberFormat="1" applyFont="1" applyBorder="1" applyAlignment="1">
      <alignment horizontal="center"/>
    </xf>
    <xf numFmtId="1" fontId="3" fillId="0" borderId="18" xfId="37" applyNumberFormat="1" applyFont="1" applyBorder="1" applyAlignment="1">
      <alignment horizontal="center"/>
    </xf>
    <xf numFmtId="1" fontId="3" fillId="0" borderId="20" xfId="37" applyNumberFormat="1" applyFont="1" applyBorder="1" applyAlignment="1">
      <alignment horizontal="center"/>
    </xf>
    <xf numFmtId="1" fontId="3" fillId="0" borderId="14" xfId="37" applyNumberFormat="1" applyFont="1" applyBorder="1" applyAlignment="1">
      <alignment horizontal="center"/>
    </xf>
    <xf numFmtId="3" fontId="3" fillId="0" borderId="23" xfId="37" applyNumberFormat="1" applyFont="1" applyBorder="1"/>
    <xf numFmtId="1" fontId="3" fillId="0" borderId="23" xfId="37" applyNumberFormat="1" applyFont="1" applyBorder="1" applyAlignment="1">
      <alignment horizontal="center"/>
    </xf>
    <xf numFmtId="1" fontId="3" fillId="0" borderId="24" xfId="37" applyNumberFormat="1" applyFont="1" applyBorder="1" applyAlignment="1">
      <alignment horizontal="center"/>
    </xf>
    <xf numFmtId="1" fontId="3" fillId="0" borderId="25" xfId="37" applyNumberFormat="1" applyFont="1" applyBorder="1" applyAlignment="1">
      <alignment horizontal="center"/>
    </xf>
    <xf numFmtId="177" fontId="3" fillId="0" borderId="25" xfId="37" applyNumberFormat="1" applyFont="1" applyBorder="1" applyAlignment="1">
      <alignment horizontal="center"/>
    </xf>
    <xf numFmtId="168" fontId="3" fillId="0" borderId="14" xfId="37" applyNumberFormat="1" applyFont="1" applyBorder="1" applyAlignment="1">
      <alignment horizontal="center"/>
    </xf>
    <xf numFmtId="1" fontId="30" fillId="0" borderId="12" xfId="37" applyNumberFormat="1" applyFont="1" applyBorder="1" applyAlignment="1">
      <alignment horizontal="center"/>
    </xf>
    <xf numFmtId="1" fontId="30" fillId="0" borderId="19" xfId="37" applyNumberFormat="1" applyFont="1" applyBorder="1" applyAlignment="1">
      <alignment horizontal="center"/>
    </xf>
    <xf numFmtId="1" fontId="30" fillId="0" borderId="30" xfId="37" applyNumberFormat="1" applyFont="1" applyBorder="1" applyAlignment="1">
      <alignment horizontal="center"/>
    </xf>
    <xf numFmtId="1" fontId="3" fillId="0" borderId="30" xfId="37" applyNumberFormat="1" applyFont="1" applyBorder="1" applyAlignment="1">
      <alignment horizontal="center"/>
    </xf>
    <xf numFmtId="3" fontId="3" fillId="0" borderId="19" xfId="37" applyNumberFormat="1" applyFont="1" applyBorder="1" applyAlignment="1">
      <alignment horizontal="center"/>
    </xf>
    <xf numFmtId="180" fontId="3" fillId="0" borderId="19" xfId="39" applyNumberFormat="1" applyFont="1" applyBorder="1" applyAlignment="1">
      <alignment horizontal="center"/>
    </xf>
    <xf numFmtId="3" fontId="30" fillId="0" borderId="13" xfId="37" applyNumberFormat="1" applyFont="1" applyBorder="1"/>
    <xf numFmtId="3" fontId="30" fillId="0" borderId="21" xfId="37" applyNumberFormat="1" applyFont="1" applyBorder="1" applyAlignment="1">
      <alignment horizontal="right"/>
    </xf>
    <xf numFmtId="180" fontId="3" fillId="0" borderId="13" xfId="39" applyNumberFormat="1" applyFont="1" applyBorder="1" applyAlignment="1">
      <alignment horizontal="center"/>
    </xf>
    <xf numFmtId="180" fontId="3" fillId="0" borderId="21" xfId="39" applyNumberFormat="1" applyFont="1" applyBorder="1" applyAlignment="1">
      <alignment horizontal="center"/>
    </xf>
    <xf numFmtId="180" fontId="3" fillId="0" borderId="15" xfId="39" applyNumberFormat="1" applyFont="1" applyBorder="1" applyAlignment="1">
      <alignment horizontal="center"/>
    </xf>
    <xf numFmtId="3" fontId="3" fillId="0" borderId="0" xfId="37" applyNumberFormat="1" applyFont="1"/>
    <xf numFmtId="167" fontId="3" fillId="0" borderId="0" xfId="37" applyNumberFormat="1" applyFont="1"/>
    <xf numFmtId="3" fontId="30" fillId="0" borderId="19" xfId="37" applyNumberFormat="1" applyFont="1" applyBorder="1" applyAlignment="1">
      <alignment horizontal="left" indent="1"/>
    </xf>
    <xf numFmtId="3" fontId="30" fillId="0" borderId="19" xfId="37" applyNumberFormat="1" applyFont="1" applyBorder="1" applyAlignment="1">
      <alignment horizontal="center"/>
    </xf>
    <xf numFmtId="194" fontId="30" fillId="0" borderId="12" xfId="37" applyNumberFormat="1" applyFont="1" applyBorder="1" applyAlignment="1">
      <alignment horizontal="center"/>
    </xf>
    <xf numFmtId="194" fontId="30" fillId="0" borderId="19" xfId="37" applyNumberFormat="1" applyFont="1" applyBorder="1" applyAlignment="1">
      <alignment horizontal="center"/>
    </xf>
    <xf numFmtId="194" fontId="30" fillId="0" borderId="30" xfId="37" applyNumberFormat="1" applyFont="1" applyBorder="1" applyAlignment="1">
      <alignment horizontal="center"/>
    </xf>
    <xf numFmtId="194" fontId="3" fillId="0" borderId="19" xfId="37" applyNumberFormat="1" applyFont="1" applyBorder="1" applyAlignment="1">
      <alignment horizontal="center"/>
    </xf>
    <xf numFmtId="3" fontId="30" fillId="0" borderId="21" xfId="37" applyNumberFormat="1" applyFont="1" applyBorder="1" applyAlignment="1">
      <alignment horizontal="center"/>
    </xf>
    <xf numFmtId="2" fontId="4" fillId="0" borderId="13" xfId="37" applyNumberFormat="1" applyFont="1" applyBorder="1" applyAlignment="1">
      <alignment horizontal="right"/>
    </xf>
    <xf numFmtId="2" fontId="4" fillId="0" borderId="21" xfId="37" applyNumberFormat="1" applyFont="1" applyBorder="1" applyAlignment="1">
      <alignment horizontal="right"/>
    </xf>
    <xf numFmtId="2" fontId="4" fillId="0" borderId="15" xfId="37" applyNumberFormat="1" applyFont="1" applyBorder="1" applyAlignment="1">
      <alignment horizontal="right"/>
    </xf>
    <xf numFmtId="3" fontId="3" fillId="0" borderId="11" xfId="37" applyNumberFormat="1" applyFont="1" applyBorder="1" applyAlignment="1">
      <alignment horizontal="left" indent="1"/>
    </xf>
    <xf numFmtId="3" fontId="3" fillId="0" borderId="11" xfId="37" applyNumberFormat="1" applyFont="1" applyBorder="1" applyAlignment="1">
      <alignment horizontal="center"/>
    </xf>
    <xf numFmtId="177" fontId="3" fillId="0" borderId="17" xfId="37" applyNumberFormat="1" applyFont="1" applyBorder="1" applyAlignment="1">
      <alignment horizontal="center"/>
    </xf>
    <xf numFmtId="177" fontId="3" fillId="0" borderId="11" xfId="37" applyNumberFormat="1" applyFont="1" applyBorder="1" applyAlignment="1">
      <alignment horizontal="center"/>
    </xf>
    <xf numFmtId="177" fontId="3" fillId="0" borderId="29" xfId="37" applyNumberFormat="1" applyFont="1" applyBorder="1" applyAlignment="1">
      <alignment horizontal="center"/>
    </xf>
    <xf numFmtId="3" fontId="30" fillId="0" borderId="22" xfId="37" applyNumberFormat="1" applyFont="1" applyBorder="1" applyAlignment="1">
      <alignment horizontal="left" vertical="center"/>
    </xf>
    <xf numFmtId="3" fontId="30" fillId="0" borderId="22" xfId="37" applyNumberFormat="1" applyFont="1" applyBorder="1" applyAlignment="1">
      <alignment horizontal="center" vertical="center" wrapText="1"/>
    </xf>
    <xf numFmtId="181" fontId="30" fillId="0" borderId="31" xfId="37" applyNumberFormat="1" applyFont="1" applyBorder="1" applyAlignment="1">
      <alignment horizontal="center" vertical="center"/>
    </xf>
    <xf numFmtId="2" fontId="30" fillId="0" borderId="22" xfId="37" quotePrefix="1" applyNumberFormat="1" applyFont="1" applyBorder="1" applyAlignment="1">
      <alignment horizontal="center" vertical="center"/>
    </xf>
    <xf numFmtId="2" fontId="30" fillId="0" borderId="33" xfId="37" applyNumberFormat="1" applyFont="1" applyBorder="1" applyAlignment="1">
      <alignment horizontal="center" vertical="center"/>
    </xf>
    <xf numFmtId="2" fontId="3" fillId="0" borderId="22" xfId="37" applyNumberFormat="1" applyFont="1" applyBorder="1" applyAlignment="1">
      <alignment horizontal="right" vertical="center"/>
    </xf>
    <xf numFmtId="0" fontId="10" fillId="0" borderId="0" xfId="37" applyAlignment="1">
      <alignment vertical="center"/>
    </xf>
    <xf numFmtId="3" fontId="3" fillId="0" borderId="34" xfId="37" applyNumberFormat="1" applyFont="1" applyBorder="1"/>
    <xf numFmtId="3" fontId="3" fillId="0" borderId="34" xfId="37" applyNumberFormat="1" applyFont="1" applyBorder="1" applyAlignment="1">
      <alignment horizontal="center"/>
    </xf>
    <xf numFmtId="214" fontId="3" fillId="0" borderId="34" xfId="37" applyNumberFormat="1" applyFont="1" applyBorder="1" applyAlignment="1">
      <alignment horizontal="center"/>
    </xf>
    <xf numFmtId="214" fontId="3" fillId="0" borderId="16" xfId="37" applyNumberFormat="1" applyFont="1" applyBorder="1" applyAlignment="1">
      <alignment horizontal="center"/>
    </xf>
    <xf numFmtId="214" fontId="3" fillId="0" borderId="35" xfId="37" applyNumberFormat="1" applyFont="1" applyBorder="1" applyAlignment="1">
      <alignment horizontal="center"/>
    </xf>
    <xf numFmtId="177" fontId="3" fillId="0" borderId="35" xfId="37" applyNumberFormat="1" applyFont="1" applyBorder="1" applyAlignment="1">
      <alignment horizontal="center"/>
    </xf>
    <xf numFmtId="214" fontId="3" fillId="0" borderId="23" xfId="37" applyNumberFormat="1" applyFont="1" applyBorder="1" applyAlignment="1">
      <alignment horizontal="center"/>
    </xf>
    <xf numFmtId="214" fontId="3" fillId="0" borderId="24" xfId="37" applyNumberFormat="1" applyFont="1" applyBorder="1" applyAlignment="1">
      <alignment horizontal="center"/>
    </xf>
    <xf numFmtId="214" fontId="3" fillId="0" borderId="25" xfId="37" applyNumberFormat="1" applyFont="1" applyBorder="1" applyAlignment="1">
      <alignment horizontal="center"/>
    </xf>
    <xf numFmtId="3" fontId="30" fillId="0" borderId="11" xfId="37" applyNumberFormat="1" applyFont="1" applyBorder="1" applyAlignment="1">
      <alignment horizontal="left" indent="1"/>
    </xf>
    <xf numFmtId="3" fontId="30" fillId="0" borderId="11" xfId="37" applyNumberFormat="1" applyFont="1" applyBorder="1" applyAlignment="1">
      <alignment horizontal="center"/>
    </xf>
    <xf numFmtId="186" fontId="30" fillId="0" borderId="17" xfId="37" applyNumberFormat="1" applyFont="1" applyBorder="1" applyAlignment="1">
      <alignment horizontal="center"/>
    </xf>
    <xf numFmtId="4" fontId="30" fillId="0" borderId="11" xfId="37" applyNumberFormat="1" applyFont="1" applyBorder="1" applyAlignment="1">
      <alignment horizontal="center"/>
    </xf>
    <xf numFmtId="4" fontId="30" fillId="0" borderId="29" xfId="37" applyNumberFormat="1" applyFont="1" applyBorder="1" applyAlignment="1">
      <alignment horizontal="center"/>
    </xf>
    <xf numFmtId="4" fontId="30" fillId="0" borderId="17" xfId="37" applyNumberFormat="1" applyFont="1" applyBorder="1" applyAlignment="1">
      <alignment horizontal="center"/>
    </xf>
    <xf numFmtId="3" fontId="30" fillId="0" borderId="21" xfId="37" applyNumberFormat="1" applyFont="1" applyBorder="1" applyAlignment="1">
      <alignment horizontal="left" indent="1"/>
    </xf>
    <xf numFmtId="4" fontId="3" fillId="0" borderId="11" xfId="37" applyNumberFormat="1" applyFont="1" applyBorder="1" applyAlignment="1">
      <alignment horizontal="right"/>
    </xf>
    <xf numFmtId="3" fontId="3" fillId="0" borderId="21" xfId="37" applyNumberFormat="1" applyFont="1" applyBorder="1" applyAlignment="1">
      <alignment horizontal="center"/>
    </xf>
    <xf numFmtId="3" fontId="3" fillId="0" borderId="17" xfId="37" applyNumberFormat="1" applyFont="1" applyBorder="1" applyAlignment="1">
      <alignment horizontal="right"/>
    </xf>
    <xf numFmtId="3" fontId="3" fillId="0" borderId="11" xfId="37" applyNumberFormat="1" applyFont="1" applyBorder="1" applyAlignment="1">
      <alignment horizontal="right"/>
    </xf>
    <xf numFmtId="3" fontId="3" fillId="0" borderId="29" xfId="37" applyNumberFormat="1" applyFont="1" applyBorder="1" applyAlignment="1">
      <alignment horizontal="right"/>
    </xf>
    <xf numFmtId="194" fontId="30" fillId="0" borderId="17" xfId="37" applyNumberFormat="1" applyFont="1" applyBorder="1" applyAlignment="1">
      <alignment horizontal="right"/>
    </xf>
    <xf numFmtId="194" fontId="30" fillId="0" borderId="11" xfId="37" applyNumberFormat="1" applyFont="1" applyBorder="1" applyAlignment="1">
      <alignment horizontal="right"/>
    </xf>
    <xf numFmtId="194" fontId="30" fillId="0" borderId="29" xfId="37" applyNumberFormat="1" applyFont="1" applyBorder="1" applyAlignment="1">
      <alignment horizontal="right"/>
    </xf>
    <xf numFmtId="194" fontId="3" fillId="0" borderId="11" xfId="37" applyNumberFormat="1" applyFont="1" applyBorder="1" applyAlignment="1">
      <alignment horizontal="right"/>
    </xf>
    <xf numFmtId="194" fontId="30" fillId="0" borderId="17" xfId="37" applyNumberFormat="1" applyFont="1" applyBorder="1" applyAlignment="1">
      <alignment horizontal="center"/>
    </xf>
    <xf numFmtId="194" fontId="30" fillId="0" borderId="11" xfId="37" applyNumberFormat="1" applyFont="1" applyBorder="1" applyAlignment="1">
      <alignment horizontal="center"/>
    </xf>
    <xf numFmtId="3" fontId="4" fillId="18" borderId="17" xfId="37" applyNumberFormat="1" applyFont="1" applyFill="1" applyBorder="1" applyAlignment="1">
      <alignment horizontal="left" indent="3"/>
    </xf>
    <xf numFmtId="3" fontId="4" fillId="18" borderId="17" xfId="37" applyNumberFormat="1" applyFont="1" applyFill="1" applyBorder="1" applyAlignment="1">
      <alignment horizontal="center"/>
    </xf>
    <xf numFmtId="3" fontId="4" fillId="18" borderId="36" xfId="37" applyNumberFormat="1" applyFont="1" applyFill="1" applyBorder="1" applyAlignment="1">
      <alignment horizontal="center"/>
    </xf>
    <xf numFmtId="3" fontId="4" fillId="18" borderId="36" xfId="37" applyNumberFormat="1" applyFont="1" applyFill="1" applyBorder="1" applyAlignment="1">
      <alignment horizontal="centerContinuous"/>
    </xf>
    <xf numFmtId="0" fontId="18" fillId="0" borderId="0" xfId="37" applyFont="1"/>
    <xf numFmtId="0" fontId="9" fillId="0" borderId="0" xfId="37" applyFont="1" applyAlignment="1">
      <alignment horizontal="left" indent="1"/>
    </xf>
    <xf numFmtId="0" fontId="25" fillId="19" borderId="0" xfId="0" applyFont="1" applyFill="1"/>
    <xf numFmtId="0" fontId="19" fillId="19" borderId="0" xfId="0" applyFont="1" applyFill="1"/>
    <xf numFmtId="0" fontId="26" fillId="19" borderId="0" xfId="0" applyFont="1" applyFill="1"/>
    <xf numFmtId="0" fontId="6" fillId="19" borderId="0" xfId="0" applyFont="1" applyFill="1"/>
    <xf numFmtId="0" fontId="4" fillId="19" borderId="0" xfId="0" applyFont="1" applyFill="1"/>
    <xf numFmtId="0" fontId="9" fillId="19" borderId="0" xfId="0" applyFont="1" applyFill="1"/>
    <xf numFmtId="0" fontId="24" fillId="19" borderId="0" xfId="0" applyFont="1" applyFill="1" applyAlignment="1">
      <alignment horizontal="center"/>
    </xf>
    <xf numFmtId="0" fontId="24" fillId="19" borderId="0" xfId="0" applyFont="1" applyFill="1"/>
    <xf numFmtId="3" fontId="9" fillId="0" borderId="11" xfId="0" applyNumberFormat="1" applyFont="1" applyBorder="1" applyAlignment="1">
      <alignment horizontal="center" vertical="center"/>
    </xf>
    <xf numFmtId="3" fontId="12" fillId="0" borderId="11" xfId="0" applyNumberFormat="1" applyFont="1" applyBorder="1" applyAlignment="1">
      <alignment horizontal="center" wrapText="1"/>
    </xf>
    <xf numFmtId="3" fontId="4" fillId="0" borderId="22" xfId="0" applyNumberFormat="1" applyFont="1" applyBorder="1" applyAlignment="1">
      <alignment horizontal="right"/>
    </xf>
    <xf numFmtId="171" fontId="4" fillId="0" borderId="24" xfId="0" applyNumberFormat="1" applyFont="1" applyBorder="1" applyAlignment="1">
      <alignment horizontal="right"/>
    </xf>
    <xf numFmtId="3" fontId="4" fillId="0" borderId="27" xfId="0" applyNumberFormat="1" applyFont="1" applyBorder="1" applyAlignment="1">
      <alignment horizontal="center"/>
    </xf>
    <xf numFmtId="201" fontId="12" fillId="0" borderId="21" xfId="0" applyNumberFormat="1" applyFont="1" applyBorder="1"/>
    <xf numFmtId="0" fontId="4" fillId="20" borderId="11" xfId="0" applyFont="1" applyFill="1" applyBorder="1"/>
    <xf numFmtId="0" fontId="4" fillId="18" borderId="11" xfId="0" applyFont="1" applyFill="1" applyBorder="1"/>
    <xf numFmtId="0" fontId="4" fillId="21" borderId="11" xfId="0" applyFont="1" applyFill="1" applyBorder="1"/>
    <xf numFmtId="0" fontId="4" fillId="22" borderId="11" xfId="0" applyFont="1" applyFill="1" applyBorder="1"/>
    <xf numFmtId="0" fontId="4" fillId="23" borderId="11" xfId="0" applyFont="1" applyFill="1" applyBorder="1"/>
    <xf numFmtId="0" fontId="9" fillId="0" borderId="37" xfId="0" applyFont="1" applyBorder="1"/>
    <xf numFmtId="0" fontId="9" fillId="0" borderId="30" xfId="0" applyFont="1" applyBorder="1"/>
    <xf numFmtId="0" fontId="9" fillId="0" borderId="14" xfId="0" applyFont="1" applyBorder="1"/>
    <xf numFmtId="0" fontId="4" fillId="0" borderId="18" xfId="0" applyFont="1" applyBorder="1"/>
    <xf numFmtId="0" fontId="4" fillId="0" borderId="13" xfId="0" applyFont="1" applyBorder="1"/>
    <xf numFmtId="0" fontId="9" fillId="0" borderId="10" xfId="0" applyFont="1" applyBorder="1"/>
    <xf numFmtId="0" fontId="9" fillId="0" borderId="15" xfId="0" applyFont="1" applyBorder="1"/>
    <xf numFmtId="0" fontId="150" fillId="24" borderId="11" xfId="0" applyFont="1" applyFill="1" applyBorder="1"/>
    <xf numFmtId="0" fontId="150" fillId="25" borderId="11" xfId="0" applyFont="1" applyFill="1" applyBorder="1"/>
    <xf numFmtId="0" fontId="4" fillId="26" borderId="11" xfId="0" applyFont="1" applyFill="1" applyBorder="1"/>
    <xf numFmtId="0" fontId="7" fillId="0" borderId="0" xfId="0" applyFont="1" applyAlignment="1">
      <alignment horizontal="left" vertical="center" indent="1"/>
    </xf>
    <xf numFmtId="0" fontId="6" fillId="0" borderId="12" xfId="0" applyFont="1" applyBorder="1" applyAlignment="1">
      <alignment horizontal="left"/>
    </xf>
    <xf numFmtId="0" fontId="9" fillId="0" borderId="37" xfId="0" applyFont="1" applyBorder="1" applyAlignment="1">
      <alignment horizontal="left"/>
    </xf>
    <xf numFmtId="0" fontId="22" fillId="0" borderId="0" xfId="36" applyFont="1"/>
    <xf numFmtId="0" fontId="2" fillId="0" borderId="0" xfId="36"/>
    <xf numFmtId="0" fontId="22" fillId="0" borderId="17" xfId="36" applyFont="1" applyBorder="1"/>
    <xf numFmtId="4" fontId="2" fillId="0" borderId="11" xfId="36" applyNumberFormat="1" applyBorder="1" applyProtection="1">
      <protection locked="0"/>
    </xf>
    <xf numFmtId="4" fontId="2" fillId="0" borderId="38" xfId="36" applyNumberFormat="1" applyBorder="1" applyProtection="1">
      <protection locked="0"/>
    </xf>
    <xf numFmtId="0" fontId="2" fillId="0" borderId="12" xfId="36" applyBorder="1"/>
    <xf numFmtId="4" fontId="2" fillId="0" borderId="19" xfId="36" applyNumberFormat="1" applyBorder="1" applyProtection="1">
      <protection locked="0"/>
    </xf>
    <xf numFmtId="4" fontId="2" fillId="0" borderId="37" xfId="36" applyNumberFormat="1" applyBorder="1" applyProtection="1">
      <protection locked="0"/>
    </xf>
    <xf numFmtId="4" fontId="2" fillId="0" borderId="30" xfId="36" applyNumberFormat="1" applyBorder="1" applyProtection="1">
      <protection locked="0"/>
    </xf>
    <xf numFmtId="0" fontId="2" fillId="0" borderId="18" xfId="36" applyBorder="1"/>
    <xf numFmtId="4" fontId="2" fillId="0" borderId="20" xfId="36" applyNumberFormat="1" applyBorder="1" applyProtection="1">
      <protection locked="0"/>
    </xf>
    <xf numFmtId="4" fontId="2" fillId="0" borderId="0" xfId="36" applyNumberFormat="1" applyProtection="1">
      <protection locked="0"/>
    </xf>
    <xf numFmtId="4" fontId="2" fillId="0" borderId="14" xfId="36" applyNumberFormat="1" applyBorder="1" applyProtection="1">
      <protection locked="0"/>
    </xf>
    <xf numFmtId="0" fontId="22" fillId="0" borderId="13" xfId="36" applyFont="1" applyBorder="1"/>
    <xf numFmtId="4" fontId="22" fillId="0" borderId="21" xfId="36" applyNumberFormat="1" applyFont="1" applyBorder="1"/>
    <xf numFmtId="4" fontId="22" fillId="0" borderId="10" xfId="36" applyNumberFormat="1" applyFont="1" applyBorder="1"/>
    <xf numFmtId="4" fontId="22" fillId="0" borderId="15" xfId="36" applyNumberFormat="1" applyFont="1" applyBorder="1"/>
    <xf numFmtId="0" fontId="22" fillId="0" borderId="18" xfId="36" applyFont="1" applyBorder="1"/>
    <xf numFmtId="4" fontId="22" fillId="0" borderId="20" xfId="36" applyNumberFormat="1" applyFont="1" applyBorder="1"/>
    <xf numFmtId="4" fontId="22" fillId="0" borderId="0" xfId="36" applyNumberFormat="1" applyFont="1"/>
    <xf numFmtId="4" fontId="22" fillId="0" borderId="14" xfId="36" applyNumberFormat="1" applyFont="1" applyBorder="1"/>
    <xf numFmtId="4" fontId="22" fillId="0" borderId="11" xfId="36" applyNumberFormat="1" applyFont="1" applyBorder="1" applyProtection="1">
      <protection locked="0"/>
    </xf>
    <xf numFmtId="4" fontId="22" fillId="0" borderId="38" xfId="36" applyNumberFormat="1" applyFont="1" applyBorder="1" applyProtection="1">
      <protection locked="0"/>
    </xf>
    <xf numFmtId="4" fontId="22" fillId="0" borderId="29" xfId="36" applyNumberFormat="1" applyFont="1" applyBorder="1" applyProtection="1">
      <protection locked="0"/>
    </xf>
    <xf numFmtId="0" fontId="32" fillId="0" borderId="18" xfId="36" applyFont="1" applyBorder="1"/>
    <xf numFmtId="0" fontId="32" fillId="0" borderId="12" xfId="36" applyFont="1" applyBorder="1"/>
    <xf numFmtId="4" fontId="22" fillId="0" borderId="20" xfId="36" applyNumberFormat="1" applyFont="1" applyBorder="1" applyProtection="1">
      <protection locked="0"/>
    </xf>
    <xf numFmtId="4" fontId="22" fillId="0" borderId="0" xfId="36" applyNumberFormat="1" applyFont="1" applyProtection="1">
      <protection locked="0"/>
    </xf>
    <xf numFmtId="4" fontId="22" fillId="0" borderId="14" xfId="36" applyNumberFormat="1" applyFont="1" applyBorder="1" applyProtection="1">
      <protection locked="0"/>
    </xf>
    <xf numFmtId="4" fontId="22" fillId="0" borderId="11" xfId="36" applyNumberFormat="1" applyFont="1" applyBorder="1"/>
    <xf numFmtId="4" fontId="22" fillId="0" borderId="38" xfId="36" applyNumberFormat="1" applyFont="1" applyBorder="1"/>
    <xf numFmtId="4" fontId="22" fillId="0" borderId="29" xfId="36" applyNumberFormat="1" applyFont="1" applyBorder="1"/>
    <xf numFmtId="0" fontId="150" fillId="27" borderId="11" xfId="0" applyFont="1" applyFill="1" applyBorder="1"/>
    <xf numFmtId="0" fontId="21" fillId="0" borderId="0" xfId="0" applyFont="1" applyAlignment="1">
      <alignment horizontal="left" vertical="center" indent="1"/>
    </xf>
    <xf numFmtId="0" fontId="4" fillId="28" borderId="11" xfId="0" applyFont="1" applyFill="1" applyBorder="1"/>
    <xf numFmtId="0" fontId="4" fillId="29" borderId="11" xfId="0" applyFont="1" applyFill="1" applyBorder="1"/>
    <xf numFmtId="4" fontId="2" fillId="26" borderId="0" xfId="36" applyNumberFormat="1" applyFill="1" applyProtection="1">
      <protection locked="0"/>
    </xf>
    <xf numFmtId="4" fontId="151" fillId="30" borderId="37" xfId="36" applyNumberFormat="1" applyFont="1" applyFill="1" applyBorder="1" applyProtection="1">
      <protection locked="0"/>
    </xf>
    <xf numFmtId="4" fontId="151" fillId="30" borderId="0" xfId="36" applyNumberFormat="1" applyFont="1" applyFill="1" applyProtection="1">
      <protection locked="0"/>
    </xf>
    <xf numFmtId="4" fontId="151" fillId="30" borderId="20" xfId="36" applyNumberFormat="1" applyFont="1" applyFill="1" applyBorder="1" applyProtection="1">
      <protection locked="0"/>
    </xf>
    <xf numFmtId="4" fontId="152" fillId="30" borderId="38" xfId="36" applyNumberFormat="1" applyFont="1" applyFill="1" applyBorder="1" applyProtection="1">
      <protection locked="0"/>
    </xf>
    <xf numFmtId="4" fontId="152" fillId="30" borderId="11" xfId="36" applyNumberFormat="1" applyFont="1" applyFill="1" applyBorder="1" applyProtection="1">
      <protection locked="0"/>
    </xf>
    <xf numFmtId="4" fontId="2" fillId="22" borderId="0" xfId="36" applyNumberFormat="1" applyFill="1" applyProtection="1">
      <protection locked="0"/>
    </xf>
    <xf numFmtId="4" fontId="2" fillId="22" borderId="20" xfId="36" applyNumberFormat="1" applyFill="1" applyBorder="1" applyProtection="1">
      <protection locked="0"/>
    </xf>
    <xf numFmtId="4" fontId="151" fillId="30" borderId="38" xfId="36" applyNumberFormat="1" applyFont="1" applyFill="1" applyBorder="1" applyProtection="1">
      <protection locked="0"/>
    </xf>
    <xf numFmtId="4" fontId="2" fillId="26" borderId="20" xfId="36" applyNumberFormat="1" applyFill="1" applyBorder="1" applyProtection="1">
      <protection locked="0"/>
    </xf>
    <xf numFmtId="4" fontId="151" fillId="30" borderId="11" xfId="36" applyNumberFormat="1" applyFont="1" applyFill="1" applyBorder="1" applyProtection="1">
      <protection locked="0"/>
    </xf>
    <xf numFmtId="4" fontId="151" fillId="30" borderId="19" xfId="36" applyNumberFormat="1" applyFont="1" applyFill="1" applyBorder="1" applyProtection="1">
      <protection locked="0"/>
    </xf>
    <xf numFmtId="4" fontId="151" fillId="30" borderId="30" xfId="36" applyNumberFormat="1" applyFont="1" applyFill="1" applyBorder="1" applyProtection="1">
      <protection locked="0"/>
    </xf>
    <xf numFmtId="4" fontId="151" fillId="30" borderId="14" xfId="36" applyNumberFormat="1" applyFont="1" applyFill="1" applyBorder="1" applyProtection="1">
      <protection locked="0"/>
    </xf>
    <xf numFmtId="4" fontId="152" fillId="30" borderId="29" xfId="36" applyNumberFormat="1" applyFont="1" applyFill="1" applyBorder="1" applyProtection="1">
      <protection locked="0"/>
    </xf>
    <xf numFmtId="0" fontId="2" fillId="22" borderId="0" xfId="36" applyFill="1"/>
    <xf numFmtId="4" fontId="2" fillId="22" borderId="14" xfId="36" applyNumberFormat="1" applyFill="1" applyBorder="1" applyProtection="1">
      <protection locked="0"/>
    </xf>
    <xf numFmtId="4" fontId="152" fillId="30" borderId="20" xfId="36" applyNumberFormat="1" applyFont="1" applyFill="1" applyBorder="1" applyProtection="1">
      <protection locked="0"/>
    </xf>
    <xf numFmtId="4" fontId="152" fillId="30" borderId="0" xfId="36" applyNumberFormat="1" applyFont="1" applyFill="1" applyProtection="1">
      <protection locked="0"/>
    </xf>
    <xf numFmtId="4" fontId="152" fillId="30" borderId="14" xfId="36" applyNumberFormat="1" applyFont="1" applyFill="1" applyBorder="1" applyProtection="1">
      <protection locked="0"/>
    </xf>
    <xf numFmtId="4" fontId="22" fillId="22" borderId="38" xfId="36" applyNumberFormat="1" applyFont="1" applyFill="1" applyBorder="1" applyProtection="1">
      <protection locked="0"/>
    </xf>
    <xf numFmtId="4" fontId="22" fillId="22" borderId="11" xfId="36" applyNumberFormat="1" applyFont="1" applyFill="1" applyBorder="1" applyProtection="1">
      <protection locked="0"/>
    </xf>
    <xf numFmtId="4" fontId="22" fillId="22" borderId="29" xfId="36" applyNumberFormat="1" applyFont="1" applyFill="1" applyBorder="1" applyProtection="1">
      <protection locked="0"/>
    </xf>
    <xf numFmtId="4" fontId="2" fillId="22" borderId="37" xfId="36" applyNumberFormat="1" applyFill="1" applyBorder="1" applyProtection="1">
      <protection locked="0"/>
    </xf>
    <xf numFmtId="4" fontId="2" fillId="22" borderId="19" xfId="36" applyNumberFormat="1" applyFill="1" applyBorder="1" applyProtection="1">
      <protection locked="0"/>
    </xf>
    <xf numFmtId="4" fontId="2" fillId="22" borderId="30" xfId="36" applyNumberFormat="1" applyFill="1" applyBorder="1" applyProtection="1">
      <protection locked="0"/>
    </xf>
    <xf numFmtId="0" fontId="22" fillId="0" borderId="12" xfId="36" applyFont="1" applyBorder="1"/>
    <xf numFmtId="0" fontId="22" fillId="0" borderId="19" xfId="36" applyFont="1" applyBorder="1" applyAlignment="1">
      <alignment horizontal="center"/>
    </xf>
    <xf numFmtId="0" fontId="22" fillId="0" borderId="37" xfId="36" applyFont="1" applyBorder="1" applyAlignment="1">
      <alignment horizontal="center"/>
    </xf>
    <xf numFmtId="0" fontId="22" fillId="0" borderId="30" xfId="36" applyFont="1" applyBorder="1" applyAlignment="1">
      <alignment horizontal="center"/>
    </xf>
    <xf numFmtId="0" fontId="36" fillId="0" borderId="37" xfId="0" applyFont="1" applyBorder="1" applyAlignment="1">
      <alignment horizontal="left"/>
    </xf>
    <xf numFmtId="0" fontId="17" fillId="0" borderId="0" xfId="0" applyFont="1" applyAlignment="1">
      <alignment horizontal="right"/>
    </xf>
    <xf numFmtId="0" fontId="22" fillId="0" borderId="0" xfId="0" applyFont="1"/>
    <xf numFmtId="0" fontId="37" fillId="0" borderId="0" xfId="0" applyFont="1" applyAlignment="1">
      <alignment vertical="center"/>
    </xf>
    <xf numFmtId="0" fontId="17" fillId="0" borderId="0" xfId="0" applyFont="1"/>
    <xf numFmtId="0" fontId="37" fillId="0" borderId="0" xfId="0" applyFont="1"/>
    <xf numFmtId="0" fontId="16" fillId="0" borderId="0" xfId="0" applyFont="1"/>
    <xf numFmtId="4" fontId="22" fillId="0" borderId="0" xfId="0" applyNumberFormat="1" applyFont="1"/>
    <xf numFmtId="3" fontId="22" fillId="0" borderId="0" xfId="0" applyNumberFormat="1" applyFont="1"/>
    <xf numFmtId="3" fontId="17" fillId="0" borderId="0" xfId="0" applyNumberFormat="1" applyFont="1" applyAlignment="1">
      <alignment horizontal="right"/>
    </xf>
    <xf numFmtId="0" fontId="41" fillId="0" borderId="0" xfId="0" applyFont="1"/>
    <xf numFmtId="0" fontId="37" fillId="0" borderId="0" xfId="0" applyFont="1" applyAlignment="1">
      <alignment wrapText="1"/>
    </xf>
    <xf numFmtId="0" fontId="22" fillId="0" borderId="38" xfId="0" applyFont="1" applyBorder="1" applyAlignment="1">
      <alignment horizontal="centerContinuous" vertical="center"/>
    </xf>
    <xf numFmtId="0" fontId="42" fillId="19" borderId="0" xfId="0" applyFont="1" applyFill="1"/>
    <xf numFmtId="0" fontId="48" fillId="19" borderId="0" xfId="0" applyFont="1" applyFill="1"/>
    <xf numFmtId="0" fontId="22" fillId="0" borderId="0" xfId="0" applyFont="1" applyAlignment="1">
      <alignment horizontal="centerContinuous"/>
    </xf>
    <xf numFmtId="0" fontId="50" fillId="0" borderId="0" xfId="0" applyFont="1" applyAlignment="1">
      <alignment horizontal="centerContinuous"/>
    </xf>
    <xf numFmtId="0" fontId="51" fillId="0" borderId="0" xfId="0" applyFont="1" applyAlignment="1">
      <alignment horizontal="centerContinuous"/>
    </xf>
    <xf numFmtId="0" fontId="52" fillId="0" borderId="0" xfId="0" applyFont="1" applyAlignment="1">
      <alignment horizontal="centerContinuous"/>
    </xf>
    <xf numFmtId="0" fontId="41" fillId="0" borderId="0" xfId="0" applyFont="1" applyAlignment="1">
      <alignment horizontal="centerContinuous"/>
    </xf>
    <xf numFmtId="0" fontId="22" fillId="0" borderId="0" xfId="0" applyFont="1" applyAlignment="1">
      <alignment horizontal="center"/>
    </xf>
    <xf numFmtId="0" fontId="22" fillId="0" borderId="17" xfId="0" applyFont="1" applyBorder="1" applyAlignment="1">
      <alignment horizontal="centerContinuous"/>
    </xf>
    <xf numFmtId="0" fontId="16" fillId="0" borderId="29" xfId="0" applyFont="1" applyBorder="1" applyAlignment="1">
      <alignment horizontal="centerContinuous"/>
    </xf>
    <xf numFmtId="0" fontId="17" fillId="0" borderId="17" xfId="0" applyFont="1" applyBorder="1" applyAlignment="1">
      <alignment horizontal="center" vertical="center"/>
    </xf>
    <xf numFmtId="0" fontId="16" fillId="0" borderId="17" xfId="0" applyFont="1" applyBorder="1" applyAlignment="1">
      <alignment horizontal="centerContinuous" vertical="center"/>
    </xf>
    <xf numFmtId="0" fontId="41" fillId="0" borderId="38" xfId="0" applyFont="1" applyBorder="1" applyAlignment="1">
      <alignment horizontal="centerContinuous" vertical="center"/>
    </xf>
    <xf numFmtId="0" fontId="22" fillId="0" borderId="29" xfId="0" applyFont="1" applyBorder="1" applyAlignment="1">
      <alignment horizontal="centerContinuous" vertical="center"/>
    </xf>
    <xf numFmtId="0" fontId="22" fillId="0" borderId="36" xfId="0" applyFont="1" applyBorder="1" applyAlignment="1">
      <alignment horizontal="center" vertical="center"/>
    </xf>
    <xf numFmtId="0" fontId="22" fillId="0" borderId="44" xfId="0" applyFont="1" applyBorder="1" applyAlignment="1">
      <alignment horizontal="center" vertical="center"/>
    </xf>
    <xf numFmtId="0" fontId="22" fillId="0" borderId="36" xfId="0" applyFont="1" applyBorder="1" applyAlignment="1">
      <alignment horizontal="center" wrapText="1"/>
    </xf>
    <xf numFmtId="0" fontId="22" fillId="0" borderId="44" xfId="0" applyFont="1" applyBorder="1" applyAlignment="1">
      <alignment horizontal="center" wrapText="1"/>
    </xf>
    <xf numFmtId="0" fontId="16" fillId="0" borderId="12" xfId="0" applyFont="1" applyBorder="1" applyAlignment="1">
      <alignment horizontal="center"/>
    </xf>
    <xf numFmtId="0" fontId="16" fillId="0" borderId="12" xfId="0" applyFont="1" applyBorder="1" applyAlignment="1">
      <alignment horizontal="left" indent="2"/>
    </xf>
    <xf numFmtId="0" fontId="22" fillId="0" borderId="37" xfId="0" applyFont="1" applyBorder="1"/>
    <xf numFmtId="0" fontId="41" fillId="0" borderId="37" xfId="0" applyFont="1" applyBorder="1"/>
    <xf numFmtId="0" fontId="16" fillId="0" borderId="40" xfId="0" applyFont="1" applyBorder="1" applyAlignment="1">
      <alignment horizontal="center"/>
    </xf>
    <xf numFmtId="0" fontId="32" fillId="0" borderId="39" xfId="0" applyFont="1" applyBorder="1" applyAlignment="1">
      <alignment horizontal="center"/>
    </xf>
    <xf numFmtId="0" fontId="22" fillId="0" borderId="40" xfId="0" applyFont="1" applyBorder="1" applyAlignment="1">
      <alignment horizontal="center"/>
    </xf>
    <xf numFmtId="0" fontId="22" fillId="0" borderId="39" xfId="0" applyFont="1" applyBorder="1" applyAlignment="1">
      <alignment horizontal="center"/>
    </xf>
    <xf numFmtId="0" fontId="16" fillId="0" borderId="23" xfId="0" applyFont="1" applyBorder="1" applyAlignment="1">
      <alignment horizontal="center"/>
    </xf>
    <xf numFmtId="0" fontId="53" fillId="0" borderId="23" xfId="31" applyFont="1" applyBorder="1" applyAlignment="1" applyProtection="1">
      <alignment horizontal="left" indent="2"/>
    </xf>
    <xf numFmtId="0" fontId="41" fillId="0" borderId="45" xfId="0" applyFont="1" applyBorder="1"/>
    <xf numFmtId="0" fontId="16" fillId="0" borderId="46" xfId="0" applyFont="1" applyBorder="1" applyAlignment="1">
      <alignment horizontal="center"/>
    </xf>
    <xf numFmtId="0" fontId="32" fillId="31" borderId="47" xfId="0" applyFont="1" applyFill="1" applyBorder="1" applyAlignment="1">
      <alignment horizontal="center"/>
    </xf>
    <xf numFmtId="0" fontId="22" fillId="0" borderId="46" xfId="0" applyFont="1" applyBorder="1" applyAlignment="1">
      <alignment horizontal="center"/>
    </xf>
    <xf numFmtId="0" fontId="22" fillId="0" borderId="47" xfId="0" applyFont="1" applyBorder="1" applyAlignment="1">
      <alignment horizontal="center"/>
    </xf>
    <xf numFmtId="0" fontId="32" fillId="20" borderId="47" xfId="0" applyFont="1" applyFill="1" applyBorder="1" applyAlignment="1">
      <alignment horizontal="center"/>
    </xf>
    <xf numFmtId="0" fontId="32" fillId="18" borderId="48" xfId="0" applyFont="1" applyFill="1" applyBorder="1" applyAlignment="1">
      <alignment horizontal="center"/>
    </xf>
    <xf numFmtId="0" fontId="22" fillId="0" borderId="49" xfId="0" applyFont="1" applyBorder="1" applyAlignment="1">
      <alignment horizontal="center"/>
    </xf>
    <xf numFmtId="0" fontId="32" fillId="26" borderId="47" xfId="0" applyFont="1" applyFill="1" applyBorder="1" applyAlignment="1">
      <alignment horizontal="center"/>
    </xf>
    <xf numFmtId="0" fontId="32" fillId="29" borderId="47" xfId="0" applyFont="1" applyFill="1" applyBorder="1" applyAlignment="1">
      <alignment horizontal="center"/>
    </xf>
    <xf numFmtId="0" fontId="32" fillId="18" borderId="47" xfId="0" applyFont="1" applyFill="1" applyBorder="1" applyAlignment="1">
      <alignment horizontal="center"/>
    </xf>
    <xf numFmtId="0" fontId="153" fillId="25" borderId="47" xfId="0" applyFont="1" applyFill="1" applyBorder="1" applyAlignment="1">
      <alignment horizontal="center"/>
    </xf>
    <xf numFmtId="0" fontId="32" fillId="28" borderId="47" xfId="0" applyFont="1" applyFill="1" applyBorder="1" applyAlignment="1">
      <alignment horizontal="center"/>
    </xf>
    <xf numFmtId="0" fontId="153" fillId="27" borderId="47" xfId="0" applyFont="1" applyFill="1" applyBorder="1" applyAlignment="1">
      <alignment horizontal="center"/>
    </xf>
    <xf numFmtId="0" fontId="53" fillId="0" borderId="26" xfId="31" applyFont="1" applyBorder="1" applyAlignment="1" applyProtection="1">
      <alignment horizontal="left" indent="2"/>
    </xf>
    <xf numFmtId="0" fontId="22" fillId="0" borderId="43" xfId="0" applyFont="1" applyBorder="1"/>
    <xf numFmtId="0" fontId="16" fillId="0" borderId="42" xfId="0" applyFont="1" applyBorder="1" applyAlignment="1">
      <alignment horizontal="center"/>
    </xf>
    <xf numFmtId="0" fontId="153" fillId="27" borderId="41" xfId="0" applyFont="1" applyFill="1" applyBorder="1" applyAlignment="1">
      <alignment horizontal="center"/>
    </xf>
    <xf numFmtId="0" fontId="22" fillId="0" borderId="42" xfId="0" applyFont="1" applyBorder="1" applyAlignment="1">
      <alignment horizontal="center"/>
    </xf>
    <xf numFmtId="0" fontId="22" fillId="0" borderId="41" xfId="0" applyFont="1" applyBorder="1" applyAlignment="1">
      <alignment horizontal="center"/>
    </xf>
    <xf numFmtId="0" fontId="22" fillId="0" borderId="12" xfId="0" applyFont="1" applyBorder="1"/>
    <xf numFmtId="0" fontId="22" fillId="0" borderId="30" xfId="0" applyFont="1" applyBorder="1" applyAlignment="1">
      <alignment horizontal="right"/>
    </xf>
    <xf numFmtId="0" fontId="16" fillId="0" borderId="19" xfId="0" applyFont="1" applyBorder="1" applyAlignment="1">
      <alignment horizontal="center"/>
    </xf>
    <xf numFmtId="0" fontId="16" fillId="0" borderId="39" xfId="0" applyFont="1" applyBorder="1" applyAlignment="1">
      <alignment horizontal="center"/>
    </xf>
    <xf numFmtId="0" fontId="22" fillId="0" borderId="26" xfId="0" applyFont="1" applyBorder="1"/>
    <xf numFmtId="0" fontId="22" fillId="0" borderId="28" xfId="0" applyFont="1" applyBorder="1" applyAlignment="1">
      <alignment horizontal="right"/>
    </xf>
    <xf numFmtId="0" fontId="16" fillId="0" borderId="27" xfId="0" applyFont="1" applyBorder="1" applyAlignment="1">
      <alignment horizontal="center"/>
    </xf>
    <xf numFmtId="0" fontId="52" fillId="0" borderId="0" xfId="0" applyFont="1"/>
    <xf numFmtId="0" fontId="16" fillId="0" borderId="0" xfId="0" applyFont="1" applyAlignment="1">
      <alignment vertical="center"/>
    </xf>
    <xf numFmtId="0" fontId="22" fillId="0" borderId="0" xfId="0" applyFont="1" applyAlignment="1">
      <alignment vertical="center"/>
    </xf>
    <xf numFmtId="0" fontId="16" fillId="0" borderId="0" xfId="0" applyFont="1" applyAlignment="1">
      <alignment horizontal="right"/>
    </xf>
    <xf numFmtId="0" fontId="43" fillId="19" borderId="0" xfId="0" applyFont="1" applyFill="1" applyAlignment="1">
      <alignment horizontal="centerContinuous"/>
    </xf>
    <xf numFmtId="0" fontId="22" fillId="19" borderId="0" xfId="0" applyFont="1" applyFill="1"/>
    <xf numFmtId="174" fontId="54" fillId="19" borderId="0" xfId="0" applyNumberFormat="1" applyFont="1" applyFill="1" applyAlignment="1">
      <alignment horizontal="center" vertical="center"/>
    </xf>
    <xf numFmtId="175" fontId="42" fillId="19" borderId="0" xfId="0" applyNumberFormat="1" applyFont="1" applyFill="1"/>
    <xf numFmtId="174" fontId="54" fillId="19" borderId="0" xfId="0" applyNumberFormat="1" applyFont="1" applyFill="1" applyAlignment="1">
      <alignment vertical="center"/>
    </xf>
    <xf numFmtId="0" fontId="37" fillId="0" borderId="0" xfId="0" applyFont="1" applyAlignment="1">
      <alignment horizontal="right"/>
    </xf>
    <xf numFmtId="0" fontId="24" fillId="0" borderId="0" xfId="0" applyFont="1" applyAlignment="1">
      <alignment horizontal="left"/>
    </xf>
    <xf numFmtId="0" fontId="24" fillId="0" borderId="0" xfId="0" applyFont="1"/>
    <xf numFmtId="0" fontId="45" fillId="0" borderId="0" xfId="0" applyFont="1"/>
    <xf numFmtId="0" fontId="48" fillId="0" borderId="0" xfId="0" applyFont="1"/>
    <xf numFmtId="0" fontId="42" fillId="0" borderId="0" xfId="0" applyFont="1"/>
    <xf numFmtId="204" fontId="55" fillId="19" borderId="0" xfId="0" applyNumberFormat="1" applyFont="1" applyFill="1" applyAlignment="1">
      <alignment horizontal="left" indent="2"/>
    </xf>
    <xf numFmtId="179" fontId="55" fillId="19" borderId="0" xfId="0" applyNumberFormat="1" applyFont="1" applyFill="1" applyAlignment="1">
      <alignment horizontal="left" indent="2"/>
    </xf>
    <xf numFmtId="179" fontId="55" fillId="19" borderId="0" xfId="0" applyNumberFormat="1" applyFont="1" applyFill="1" applyAlignment="1">
      <alignment horizontal="center"/>
    </xf>
    <xf numFmtId="0" fontId="16" fillId="19" borderId="0" xfId="0" applyFont="1" applyFill="1"/>
    <xf numFmtId="0" fontId="17" fillId="19" borderId="0" xfId="0" applyFont="1" applyFill="1"/>
    <xf numFmtId="0" fontId="50" fillId="0" borderId="0" xfId="0" applyFont="1"/>
    <xf numFmtId="0" fontId="32" fillId="0" borderId="0" xfId="0" applyFont="1"/>
    <xf numFmtId="0" fontId="49" fillId="0" borderId="0" xfId="0" applyFont="1" applyAlignment="1">
      <alignment horizontal="left" indent="1"/>
    </xf>
    <xf numFmtId="201" fontId="32" fillId="0" borderId="0" xfId="0" applyNumberFormat="1" applyFont="1" applyAlignment="1" applyProtection="1">
      <alignment horizontal="right"/>
      <protection locked="0"/>
    </xf>
    <xf numFmtId="201" fontId="32" fillId="0" borderId="0" xfId="0" applyNumberFormat="1" applyFont="1"/>
    <xf numFmtId="0" fontId="32" fillId="0" borderId="38" xfId="0" applyFont="1" applyBorder="1" applyAlignment="1">
      <alignment horizontal="left" indent="2"/>
    </xf>
    <xf numFmtId="0" fontId="32" fillId="0" borderId="0" xfId="0" applyFont="1" applyAlignment="1">
      <alignment horizontal="center"/>
    </xf>
    <xf numFmtId="0" fontId="56" fillId="0" borderId="0" xfId="0" applyFont="1" applyAlignment="1">
      <alignment horizontal="center" wrapText="1"/>
    </xf>
    <xf numFmtId="0" fontId="41" fillId="0" borderId="0" xfId="0" applyFont="1" applyAlignment="1">
      <alignment horizontal="right"/>
    </xf>
    <xf numFmtId="3" fontId="41" fillId="0" borderId="0" xfId="0" applyNumberFormat="1" applyFont="1" applyAlignment="1">
      <alignment horizontal="right"/>
    </xf>
    <xf numFmtId="9" fontId="41" fillId="0" borderId="0" xfId="39" applyFont="1"/>
    <xf numFmtId="9" fontId="41" fillId="0" borderId="0" xfId="39" applyFont="1" applyAlignment="1">
      <alignment horizontal="center"/>
    </xf>
    <xf numFmtId="0" fontId="16" fillId="0" borderId="0" xfId="0" applyFont="1" applyAlignment="1">
      <alignment horizontal="center"/>
    </xf>
    <xf numFmtId="3" fontId="41" fillId="0" borderId="0" xfId="0" applyNumberFormat="1" applyFont="1"/>
    <xf numFmtId="0" fontId="39" fillId="0" borderId="0" xfId="0" applyFont="1" applyAlignment="1">
      <alignment vertical="center"/>
    </xf>
    <xf numFmtId="0" fontId="17" fillId="0" borderId="0" xfId="0" applyFont="1" applyAlignment="1">
      <alignment vertical="center"/>
    </xf>
    <xf numFmtId="3" fontId="17" fillId="0" borderId="0" xfId="0" applyNumberFormat="1" applyFont="1"/>
    <xf numFmtId="9" fontId="17" fillId="0" borderId="0" xfId="0" applyNumberFormat="1" applyFont="1"/>
    <xf numFmtId="0" fontId="39" fillId="0" borderId="0" xfId="0" applyFont="1"/>
    <xf numFmtId="0" fontId="59" fillId="0" borderId="0" xfId="0" applyFont="1"/>
    <xf numFmtId="0" fontId="60" fillId="0" borderId="0" xfId="0" applyFont="1"/>
    <xf numFmtId="0" fontId="32" fillId="0" borderId="38" xfId="0" applyFont="1" applyBorder="1"/>
    <xf numFmtId="0" fontId="41" fillId="0" borderId="0" xfId="0" applyFont="1" applyAlignment="1">
      <alignment vertical="center"/>
    </xf>
    <xf numFmtId="3" fontId="52" fillId="0" borderId="0" xfId="0" applyNumberFormat="1" applyFont="1"/>
    <xf numFmtId="3" fontId="50" fillId="0" borderId="0" xfId="0" applyNumberFormat="1" applyFont="1" applyAlignment="1">
      <alignment horizontal="center"/>
    </xf>
    <xf numFmtId="3" fontId="16" fillId="0" borderId="11" xfId="0" applyNumberFormat="1" applyFont="1" applyBorder="1" applyAlignment="1">
      <alignment horizontal="center"/>
    </xf>
    <xf numFmtId="1" fontId="16" fillId="0" borderId="50" xfId="0" applyNumberFormat="1" applyFont="1" applyBorder="1" applyAlignment="1">
      <alignment horizontal="center"/>
    </xf>
    <xf numFmtId="1" fontId="16" fillId="0" borderId="29" xfId="0" applyNumberFormat="1" applyFont="1" applyBorder="1" applyAlignment="1">
      <alignment horizontal="center"/>
    </xf>
    <xf numFmtId="3" fontId="16" fillId="0" borderId="12" xfId="0" applyNumberFormat="1" applyFont="1" applyBorder="1" applyAlignment="1">
      <alignment horizontal="center"/>
    </xf>
    <xf numFmtId="1" fontId="16" fillId="0" borderId="51" xfId="0" applyNumberFormat="1" applyFont="1" applyBorder="1" applyAlignment="1">
      <alignment horizontal="center"/>
    </xf>
    <xf numFmtId="1" fontId="16" fillId="0" borderId="39" xfId="0" applyNumberFormat="1" applyFont="1" applyBorder="1" applyAlignment="1">
      <alignment horizontal="center"/>
    </xf>
    <xf numFmtId="0" fontId="41" fillId="0" borderId="46" xfId="0" applyFont="1" applyBorder="1"/>
    <xf numFmtId="4" fontId="16" fillId="18" borderId="52" xfId="0" applyNumberFormat="1" applyFont="1" applyFill="1" applyBorder="1" applyAlignment="1" applyProtection="1">
      <alignment horizontal="center"/>
      <protection locked="0"/>
    </xf>
    <xf numFmtId="4" fontId="16" fillId="0" borderId="52" xfId="0" applyNumberFormat="1" applyFont="1" applyBorder="1" applyAlignment="1" applyProtection="1">
      <alignment horizontal="center"/>
      <protection locked="0"/>
    </xf>
    <xf numFmtId="4" fontId="16" fillId="0" borderId="47" xfId="0" applyNumberFormat="1" applyFont="1" applyBorder="1" applyAlignment="1" applyProtection="1">
      <alignment horizontal="center"/>
      <protection locked="0"/>
    </xf>
    <xf numFmtId="4" fontId="154" fillId="25" borderId="47" xfId="0" applyNumberFormat="1" applyFont="1" applyFill="1" applyBorder="1" applyAlignment="1" applyProtection="1">
      <alignment horizontal="center"/>
      <protection locked="0"/>
    </xf>
    <xf numFmtId="0" fontId="41" fillId="0" borderId="42" xfId="0" applyFont="1" applyBorder="1"/>
    <xf numFmtId="4" fontId="16" fillId="18" borderId="53" xfId="0" applyNumberFormat="1" applyFont="1" applyFill="1" applyBorder="1" applyAlignment="1" applyProtection="1">
      <alignment horizontal="center"/>
      <protection locked="0"/>
    </xf>
    <xf numFmtId="4" fontId="16" fillId="0" borderId="53" xfId="0" applyNumberFormat="1" applyFont="1" applyBorder="1" applyAlignment="1" applyProtection="1">
      <alignment horizontal="center"/>
      <protection locked="0"/>
    </xf>
    <xf numFmtId="4" fontId="16" fillId="0" borderId="41" xfId="0" applyNumberFormat="1" applyFont="1" applyBorder="1" applyAlignment="1" applyProtection="1">
      <alignment horizontal="center"/>
      <protection locked="0"/>
    </xf>
    <xf numFmtId="4" fontId="154" fillId="25" borderId="41" xfId="0" applyNumberFormat="1" applyFont="1" applyFill="1" applyBorder="1" applyAlignment="1" applyProtection="1">
      <alignment horizontal="center"/>
      <protection locked="0"/>
    </xf>
    <xf numFmtId="3" fontId="16" fillId="32" borderId="12" xfId="0" applyNumberFormat="1" applyFont="1" applyFill="1" applyBorder="1" applyAlignment="1">
      <alignment horizontal="centerContinuous"/>
    </xf>
    <xf numFmtId="1" fontId="16" fillId="32" borderId="51" xfId="0" applyNumberFormat="1" applyFont="1" applyFill="1" applyBorder="1" applyAlignment="1">
      <alignment horizontal="center"/>
    </xf>
    <xf numFmtId="1" fontId="16" fillId="32" borderId="54" xfId="0" applyNumberFormat="1" applyFont="1" applyFill="1" applyBorder="1" applyAlignment="1">
      <alignment horizontal="center"/>
    </xf>
    <xf numFmtId="1" fontId="16" fillId="32" borderId="32" xfId="0" applyNumberFormat="1" applyFont="1" applyFill="1" applyBorder="1" applyAlignment="1">
      <alignment horizontal="center"/>
    </xf>
    <xf numFmtId="0" fontId="61" fillId="32" borderId="40" xfId="0" applyFont="1" applyFill="1" applyBorder="1" applyAlignment="1">
      <alignment horizontal="left" indent="1"/>
    </xf>
    <xf numFmtId="3" fontId="41" fillId="32" borderId="51" xfId="0" applyNumberFormat="1" applyFont="1" applyFill="1" applyBorder="1" applyAlignment="1">
      <alignment horizontal="center"/>
    </xf>
    <xf numFmtId="3" fontId="41" fillId="32" borderId="54" xfId="0" applyNumberFormat="1" applyFont="1" applyFill="1" applyBorder="1" applyAlignment="1">
      <alignment horizontal="center"/>
    </xf>
    <xf numFmtId="3" fontId="41" fillId="32" borderId="32" xfId="0" applyNumberFormat="1" applyFont="1" applyFill="1" applyBorder="1" applyAlignment="1">
      <alignment horizontal="center"/>
    </xf>
    <xf numFmtId="0" fontId="61" fillId="32" borderId="42" xfId="0" applyFont="1" applyFill="1" applyBorder="1" applyAlignment="1">
      <alignment horizontal="left" indent="1"/>
    </xf>
    <xf numFmtId="3" fontId="41" fillId="32" borderId="53" xfId="0" applyNumberFormat="1" applyFont="1" applyFill="1" applyBorder="1" applyAlignment="1">
      <alignment horizontal="center"/>
    </xf>
    <xf numFmtId="166" fontId="41" fillId="32" borderId="53" xfId="39" applyNumberFormat="1" applyFont="1" applyFill="1" applyBorder="1" applyAlignment="1">
      <alignment horizontal="center"/>
    </xf>
    <xf numFmtId="166" fontId="41" fillId="32" borderId="55" xfId="39" applyNumberFormat="1" applyFont="1" applyFill="1" applyBorder="1" applyAlignment="1">
      <alignment horizontal="center"/>
    </xf>
    <xf numFmtId="166" fontId="41" fillId="32" borderId="28" xfId="39" applyNumberFormat="1" applyFont="1" applyFill="1" applyBorder="1" applyAlignment="1">
      <alignment horizontal="center"/>
    </xf>
    <xf numFmtId="9" fontId="47" fillId="0" borderId="0" xfId="0" applyNumberFormat="1" applyFont="1" applyAlignment="1">
      <alignment horizontal="left"/>
    </xf>
    <xf numFmtId="0" fontId="62" fillId="0" borderId="0" xfId="0" applyFont="1"/>
    <xf numFmtId="178" fontId="41" fillId="0" borderId="0" xfId="0" applyNumberFormat="1" applyFont="1"/>
    <xf numFmtId="3" fontId="16" fillId="0" borderId="0" xfId="0" applyNumberFormat="1" applyFont="1" applyAlignment="1">
      <alignment horizontal="center"/>
    </xf>
    <xf numFmtId="0" fontId="41" fillId="0" borderId="29" xfId="0" applyFont="1" applyBorder="1"/>
    <xf numFmtId="3" fontId="33" fillId="0" borderId="0" xfId="0" applyNumberFormat="1" applyFont="1"/>
    <xf numFmtId="3" fontId="22" fillId="0" borderId="0" xfId="0" applyNumberFormat="1" applyFont="1" applyAlignment="1">
      <alignment horizontal="center"/>
    </xf>
    <xf numFmtId="3" fontId="32" fillId="0" borderId="0" xfId="0" applyNumberFormat="1" applyFont="1"/>
    <xf numFmtId="3" fontId="22" fillId="0" borderId="56" xfId="0" applyNumberFormat="1" applyFont="1" applyBorder="1" applyAlignment="1">
      <alignment horizontal="center"/>
    </xf>
    <xf numFmtId="3" fontId="22" fillId="0" borderId="57" xfId="0" applyNumberFormat="1" applyFont="1" applyBorder="1" applyAlignment="1">
      <alignment horizontal="center"/>
    </xf>
    <xf numFmtId="3" fontId="50" fillId="0" borderId="0" xfId="0" applyNumberFormat="1" applyFont="1"/>
    <xf numFmtId="3" fontId="16" fillId="0" borderId="0" xfId="0" applyNumberFormat="1" applyFont="1"/>
    <xf numFmtId="3" fontId="52" fillId="0" borderId="0" xfId="0" applyNumberFormat="1" applyFont="1" applyAlignment="1">
      <alignment horizontal="center" vertical="center"/>
    </xf>
    <xf numFmtId="182" fontId="32" fillId="0" borderId="16" xfId="39" applyNumberFormat="1" applyFont="1" applyBorder="1" applyAlignment="1">
      <alignment horizontal="center"/>
    </xf>
    <xf numFmtId="0" fontId="49" fillId="0" borderId="0" xfId="0" applyFont="1"/>
    <xf numFmtId="3" fontId="16" fillId="0" borderId="11" xfId="0" applyNumberFormat="1" applyFont="1" applyBorder="1" applyAlignment="1">
      <alignment horizontal="center" vertical="center"/>
    </xf>
    <xf numFmtId="3" fontId="56" fillId="0" borderId="29" xfId="0" applyNumberFormat="1" applyFont="1" applyBorder="1" applyAlignment="1">
      <alignment horizontal="center" vertical="center"/>
    </xf>
    <xf numFmtId="9" fontId="56" fillId="0" borderId="16" xfId="39" applyFont="1" applyBorder="1" applyAlignment="1">
      <alignment horizontal="center"/>
    </xf>
    <xf numFmtId="182" fontId="32" fillId="0" borderId="21" xfId="39" applyNumberFormat="1" applyFont="1" applyBorder="1" applyAlignment="1">
      <alignment horizontal="center"/>
    </xf>
    <xf numFmtId="9" fontId="56" fillId="0" borderId="21" xfId="39" applyFont="1" applyBorder="1" applyAlignment="1">
      <alignment horizontal="center"/>
    </xf>
    <xf numFmtId="3" fontId="22" fillId="0" borderId="58" xfId="0" applyNumberFormat="1" applyFont="1" applyBorder="1" applyAlignment="1">
      <alignment horizontal="centerContinuous"/>
    </xf>
    <xf numFmtId="3" fontId="22" fillId="0" borderId="59" xfId="0" applyNumberFormat="1" applyFont="1" applyBorder="1" applyAlignment="1">
      <alignment horizontal="center"/>
    </xf>
    <xf numFmtId="3" fontId="22" fillId="0" borderId="60" xfId="0" applyNumberFormat="1" applyFont="1" applyBorder="1" applyAlignment="1">
      <alignment horizontal="center"/>
    </xf>
    <xf numFmtId="3" fontId="22" fillId="0" borderId="61" xfId="0" applyNumberFormat="1" applyFont="1" applyBorder="1" applyAlignment="1">
      <alignment horizontal="center"/>
    </xf>
    <xf numFmtId="3" fontId="50" fillId="0" borderId="0" xfId="0" applyNumberFormat="1" applyFont="1" applyAlignment="1">
      <alignment horizontal="right"/>
    </xf>
    <xf numFmtId="1" fontId="50" fillId="0" borderId="0" xfId="0" quotePrefix="1" applyNumberFormat="1" applyFont="1" applyAlignment="1">
      <alignment horizontal="center"/>
    </xf>
    <xf numFmtId="3" fontId="61" fillId="0" borderId="31" xfId="0" applyNumberFormat="1" applyFont="1" applyBorder="1" applyAlignment="1">
      <alignment horizontal="left" indent="1"/>
    </xf>
    <xf numFmtId="3" fontId="61" fillId="0" borderId="23" xfId="0" applyNumberFormat="1" applyFont="1" applyBorder="1" applyAlignment="1">
      <alignment horizontal="left" indent="1"/>
    </xf>
    <xf numFmtId="3" fontId="22" fillId="0" borderId="36" xfId="0" applyNumberFormat="1" applyFont="1" applyBorder="1" applyAlignment="1">
      <alignment horizontal="center"/>
    </xf>
    <xf numFmtId="201" fontId="22" fillId="0" borderId="11" xfId="0" applyNumberFormat="1" applyFont="1" applyBorder="1"/>
    <xf numFmtId="223" fontId="50" fillId="0" borderId="0" xfId="0" applyNumberFormat="1" applyFont="1" applyAlignment="1">
      <alignment horizontal="right"/>
    </xf>
    <xf numFmtId="1" fontId="50" fillId="0" borderId="0" xfId="0" applyNumberFormat="1" applyFont="1" applyAlignment="1">
      <alignment horizontal="center"/>
    </xf>
    <xf numFmtId="3" fontId="16" fillId="0" borderId="0" xfId="0" applyNumberFormat="1" applyFont="1" applyAlignment="1">
      <alignment horizontal="left"/>
    </xf>
    <xf numFmtId="3" fontId="16" fillId="0" borderId="0" xfId="0" applyNumberFormat="1" applyFont="1" applyAlignment="1">
      <alignment horizontal="right"/>
    </xf>
    <xf numFmtId="3" fontId="41" fillId="0" borderId="24" xfId="0" applyNumberFormat="1" applyFont="1" applyBorder="1"/>
    <xf numFmtId="192" fontId="41" fillId="0" borderId="0" xfId="0" applyNumberFormat="1" applyFont="1"/>
    <xf numFmtId="191" fontId="41" fillId="0" borderId="0" xfId="0" applyNumberFormat="1" applyFont="1"/>
    <xf numFmtId="166" fontId="41" fillId="0" borderId="0" xfId="0" applyNumberFormat="1" applyFont="1"/>
    <xf numFmtId="0" fontId="32" fillId="0" borderId="0" xfId="0" applyFont="1" applyAlignment="1">
      <alignment horizontal="left" indent="2"/>
    </xf>
    <xf numFmtId="170" fontId="16" fillId="0" borderId="0" xfId="0" applyNumberFormat="1" applyFont="1"/>
    <xf numFmtId="164" fontId="16" fillId="0" borderId="0" xfId="34" applyFont="1" applyAlignment="1">
      <alignment horizontal="right"/>
    </xf>
    <xf numFmtId="164" fontId="41" fillId="0" borderId="0" xfId="34" applyFont="1"/>
    <xf numFmtId="3" fontId="22" fillId="0" borderId="0" xfId="0" applyNumberFormat="1" applyFont="1" applyAlignment="1">
      <alignment horizontal="center" vertical="center"/>
    </xf>
    <xf numFmtId="201" fontId="32" fillId="0" borderId="62" xfId="0" applyNumberFormat="1" applyFont="1" applyBorder="1"/>
    <xf numFmtId="3" fontId="32" fillId="0" borderId="0" xfId="0" applyNumberFormat="1" applyFont="1" applyAlignment="1">
      <alignment vertical="center"/>
    </xf>
    <xf numFmtId="3" fontId="52" fillId="0" borderId="0" xfId="0" applyNumberFormat="1" applyFont="1" applyAlignment="1">
      <alignment horizontal="left" indent="1"/>
    </xf>
    <xf numFmtId="3" fontId="52" fillId="0" borderId="0" xfId="0" applyNumberFormat="1" applyFont="1" applyAlignment="1">
      <alignment horizontal="left"/>
    </xf>
    <xf numFmtId="1" fontId="16" fillId="0" borderId="17" xfId="0" applyNumberFormat="1" applyFont="1" applyBorder="1" applyAlignment="1">
      <alignment horizontal="center"/>
    </xf>
    <xf numFmtId="0" fontId="16" fillId="0" borderId="50" xfId="0" applyFont="1" applyBorder="1" applyAlignment="1">
      <alignment horizontal="center"/>
    </xf>
    <xf numFmtId="0" fontId="16" fillId="0" borderId="29" xfId="0" applyFont="1" applyBorder="1" applyAlignment="1">
      <alignment horizontal="center"/>
    </xf>
    <xf numFmtId="1" fontId="16" fillId="0" borderId="63" xfId="0" applyNumberFormat="1" applyFont="1" applyBorder="1" applyAlignment="1">
      <alignment horizontal="center"/>
    </xf>
    <xf numFmtId="0" fontId="16" fillId="0" borderId="38" xfId="0" applyFont="1" applyBorder="1" applyAlignment="1">
      <alignment horizontal="center"/>
    </xf>
    <xf numFmtId="1" fontId="16" fillId="0" borderId="36" xfId="0" applyNumberFormat="1" applyFont="1" applyBorder="1" applyAlignment="1">
      <alignment horizontal="center"/>
    </xf>
    <xf numFmtId="0" fontId="16" fillId="0" borderId="44" xfId="0" applyFont="1" applyBorder="1" applyAlignment="1">
      <alignment horizontal="center"/>
    </xf>
    <xf numFmtId="192" fontId="16" fillId="0" borderId="46" xfId="0" applyNumberFormat="1" applyFont="1" applyBorder="1"/>
    <xf numFmtId="0" fontId="32" fillId="0" borderId="0" xfId="0" applyFont="1" applyAlignment="1">
      <alignment horizontal="left" indent="1"/>
    </xf>
    <xf numFmtId="0" fontId="16" fillId="0" borderId="0" xfId="0" applyFont="1" applyAlignment="1">
      <alignment horizontal="center" vertical="center"/>
    </xf>
    <xf numFmtId="3" fontId="64" fillId="0" borderId="0" xfId="0" applyNumberFormat="1" applyFont="1" applyAlignment="1">
      <alignment horizontal="center"/>
    </xf>
    <xf numFmtId="3" fontId="63" fillId="0" borderId="0" xfId="0" applyNumberFormat="1" applyFont="1" applyAlignment="1">
      <alignment horizontal="center"/>
    </xf>
    <xf numFmtId="3" fontId="63" fillId="0" borderId="0" xfId="0" applyNumberFormat="1" applyFont="1" applyAlignment="1">
      <alignment horizontal="left"/>
    </xf>
    <xf numFmtId="0" fontId="16" fillId="0" borderId="17" xfId="0" applyFont="1" applyBorder="1" applyAlignment="1">
      <alignment horizontal="left"/>
    </xf>
    <xf numFmtId="1" fontId="16" fillId="0" borderId="38" xfId="0" applyNumberFormat="1" applyFont="1" applyBorder="1" applyAlignment="1">
      <alignment horizontal="center"/>
    </xf>
    <xf numFmtId="3" fontId="22" fillId="0" borderId="34" xfId="0" applyNumberFormat="1" applyFont="1" applyBorder="1" applyAlignment="1">
      <alignment horizontal="left" indent="2"/>
    </xf>
    <xf numFmtId="168" fontId="16" fillId="0" borderId="64" xfId="0" applyNumberFormat="1" applyFont="1" applyBorder="1"/>
    <xf numFmtId="168" fontId="16" fillId="0" borderId="65" xfId="0" applyNumberFormat="1" applyFont="1" applyBorder="1"/>
    <xf numFmtId="166" fontId="41" fillId="0" borderId="66" xfId="39" applyNumberFormat="1" applyFont="1" applyBorder="1"/>
    <xf numFmtId="180" fontId="41" fillId="0" borderId="67" xfId="0" applyNumberFormat="1" applyFont="1" applyBorder="1"/>
    <xf numFmtId="180" fontId="41" fillId="0" borderId="68" xfId="0" applyNumberFormat="1" applyFont="1" applyBorder="1"/>
    <xf numFmtId="3" fontId="22" fillId="0" borderId="23" xfId="0" applyNumberFormat="1" applyFont="1" applyBorder="1"/>
    <xf numFmtId="168" fontId="16" fillId="0" borderId="46" xfId="0" applyNumberFormat="1" applyFont="1" applyBorder="1"/>
    <xf numFmtId="168" fontId="16" fillId="0" borderId="49" xfId="0" applyNumberFormat="1" applyFont="1" applyBorder="1"/>
    <xf numFmtId="3" fontId="22" fillId="0" borderId="23" xfId="0" applyNumberFormat="1" applyFont="1" applyBorder="1" applyAlignment="1">
      <alignment horizontal="left" indent="2"/>
    </xf>
    <xf numFmtId="3" fontId="22" fillId="0" borderId="23" xfId="0" applyNumberFormat="1" applyFont="1" applyBorder="1" applyAlignment="1">
      <alignment horizontal="center"/>
    </xf>
    <xf numFmtId="3" fontId="22" fillId="0" borderId="23" xfId="0" applyNumberFormat="1" applyFont="1" applyBorder="1" applyAlignment="1">
      <alignment horizontal="right"/>
    </xf>
    <xf numFmtId="201" fontId="41" fillId="0" borderId="46" xfId="0" applyNumberFormat="1" applyFont="1" applyBorder="1"/>
    <xf numFmtId="201" fontId="41" fillId="0" borderId="49" xfId="0" applyNumberFormat="1" applyFont="1" applyBorder="1"/>
    <xf numFmtId="3" fontId="16" fillId="0" borderId="23" xfId="0" applyNumberFormat="1" applyFont="1" applyBorder="1" applyAlignment="1">
      <alignment horizontal="left" indent="2"/>
    </xf>
    <xf numFmtId="194" fontId="16" fillId="0" borderId="49" xfId="0" applyNumberFormat="1" applyFont="1" applyBorder="1"/>
    <xf numFmtId="192" fontId="16" fillId="0" borderId="49" xfId="0" applyNumberFormat="1" applyFont="1" applyBorder="1"/>
    <xf numFmtId="3" fontId="16" fillId="0" borderId="26" xfId="0" applyNumberFormat="1" applyFont="1" applyBorder="1" applyAlignment="1">
      <alignment horizontal="left" indent="2"/>
    </xf>
    <xf numFmtId="168" fontId="16" fillId="0" borderId="42" xfId="0" applyNumberFormat="1" applyFont="1" applyBorder="1" applyAlignment="1">
      <alignment horizontal="right"/>
    </xf>
    <xf numFmtId="168" fontId="16" fillId="0" borderId="69" xfId="0" applyNumberFormat="1" applyFont="1" applyBorder="1"/>
    <xf numFmtId="168" fontId="16" fillId="0" borderId="42" xfId="0" applyNumberFormat="1" applyFont="1" applyBorder="1"/>
    <xf numFmtId="0" fontId="58" fillId="0" borderId="70" xfId="0" applyFont="1" applyBorder="1" applyAlignment="1">
      <alignment horizontal="center"/>
    </xf>
    <xf numFmtId="0" fontId="58" fillId="0" borderId="50" xfId="0" applyFont="1" applyBorder="1" applyAlignment="1">
      <alignment horizontal="center"/>
    </xf>
    <xf numFmtId="0" fontId="58" fillId="0" borderId="29" xfId="0" applyFont="1" applyBorder="1" applyAlignment="1">
      <alignment horizontal="center"/>
    </xf>
    <xf numFmtId="0" fontId="58" fillId="0" borderId="44" xfId="0" applyFont="1" applyBorder="1" applyAlignment="1">
      <alignment horizontal="center"/>
    </xf>
    <xf numFmtId="0" fontId="58" fillId="0" borderId="38" xfId="0" applyFont="1" applyBorder="1" applyAlignment="1">
      <alignment horizontal="center"/>
    </xf>
    <xf numFmtId="201" fontId="41" fillId="0" borderId="64" xfId="0" applyNumberFormat="1" applyFont="1" applyBorder="1"/>
    <xf numFmtId="166" fontId="41" fillId="0" borderId="68" xfId="39" applyNumberFormat="1" applyFont="1" applyBorder="1"/>
    <xf numFmtId="201" fontId="41" fillId="0" borderId="65" xfId="0" applyNumberFormat="1" applyFont="1" applyBorder="1"/>
    <xf numFmtId="3" fontId="22" fillId="0" borderId="26" xfId="0" applyNumberFormat="1" applyFont="1" applyBorder="1" applyAlignment="1">
      <alignment horizontal="left" indent="2"/>
    </xf>
    <xf numFmtId="201" fontId="41" fillId="0" borderId="42" xfId="0" applyNumberFormat="1" applyFont="1" applyBorder="1"/>
    <xf numFmtId="166" fontId="41" fillId="0" borderId="55" xfId="39" applyNumberFormat="1" applyFont="1" applyBorder="1"/>
    <xf numFmtId="166" fontId="41" fillId="0" borderId="53" xfId="39" applyNumberFormat="1" applyFont="1" applyBorder="1"/>
    <xf numFmtId="180" fontId="41" fillId="0" borderId="41" xfId="0" applyNumberFormat="1" applyFont="1" applyBorder="1"/>
    <xf numFmtId="201" fontId="41" fillId="0" borderId="69" xfId="0" applyNumberFormat="1" applyFont="1" applyBorder="1"/>
    <xf numFmtId="180" fontId="41" fillId="0" borderId="55" xfId="0" applyNumberFormat="1" applyFont="1" applyBorder="1"/>
    <xf numFmtId="0" fontId="41" fillId="0" borderId="12" xfId="0" applyFont="1" applyBorder="1"/>
    <xf numFmtId="3" fontId="16" fillId="0" borderId="19" xfId="0" applyNumberFormat="1" applyFont="1" applyBorder="1" applyAlignment="1">
      <alignment horizontal="center"/>
    </xf>
    <xf numFmtId="220" fontId="16" fillId="0" borderId="37" xfId="0" applyNumberFormat="1" applyFont="1" applyBorder="1" applyAlignment="1">
      <alignment horizontal="center"/>
    </xf>
    <xf numFmtId="220" fontId="16" fillId="0" borderId="12" xfId="0" applyNumberFormat="1" applyFont="1" applyBorder="1" applyAlignment="1">
      <alignment horizontal="center"/>
    </xf>
    <xf numFmtId="220" fontId="16" fillId="0" borderId="19" xfId="0" applyNumberFormat="1" applyFont="1" applyBorder="1" applyAlignment="1">
      <alignment horizontal="center"/>
    </xf>
    <xf numFmtId="0" fontId="37" fillId="0" borderId="12" xfId="0" applyFont="1" applyBorder="1" applyAlignment="1">
      <alignment horizontal="centerContinuous"/>
    </xf>
    <xf numFmtId="0" fontId="37" fillId="0" borderId="37" xfId="0" applyFont="1" applyBorder="1" applyAlignment="1">
      <alignment horizontal="centerContinuous"/>
    </xf>
    <xf numFmtId="0" fontId="37" fillId="0" borderId="30" xfId="0" applyFont="1" applyBorder="1" applyAlignment="1">
      <alignment horizontal="centerContinuous"/>
    </xf>
    <xf numFmtId="0" fontId="41" fillId="0" borderId="18" xfId="0" applyFont="1" applyBorder="1"/>
    <xf numFmtId="1" fontId="16" fillId="0" borderId="20" xfId="0" applyNumberFormat="1" applyFont="1" applyBorder="1" applyAlignment="1">
      <alignment horizontal="center"/>
    </xf>
    <xf numFmtId="1" fontId="16" fillId="0" borderId="0" xfId="0" applyNumberFormat="1" applyFont="1" applyAlignment="1">
      <alignment horizontal="center"/>
    </xf>
    <xf numFmtId="1" fontId="16" fillId="0" borderId="18" xfId="0" applyNumberFormat="1" applyFont="1" applyBorder="1" applyAlignment="1">
      <alignment horizontal="center"/>
    </xf>
    <xf numFmtId="0" fontId="41" fillId="0" borderId="71" xfId="0" applyFont="1" applyBorder="1" applyAlignment="1">
      <alignment horizontal="center"/>
    </xf>
    <xf numFmtId="0" fontId="41" fillId="0" borderId="72" xfId="0" applyFont="1" applyBorder="1" applyAlignment="1">
      <alignment horizontal="center"/>
    </xf>
    <xf numFmtId="0" fontId="41" fillId="0" borderId="73" xfId="0" applyFont="1" applyBorder="1" applyAlignment="1">
      <alignment horizontal="center"/>
    </xf>
    <xf numFmtId="0" fontId="41" fillId="0" borderId="74" xfId="0" applyFont="1" applyBorder="1" applyAlignment="1">
      <alignment horizontal="center"/>
    </xf>
    <xf numFmtId="3" fontId="16" fillId="0" borderId="12" xfId="0" applyNumberFormat="1" applyFont="1" applyBorder="1" applyAlignment="1">
      <alignment horizontal="left" indent="1"/>
    </xf>
    <xf numFmtId="0" fontId="41" fillId="0" borderId="19" xfId="0" applyFont="1" applyBorder="1"/>
    <xf numFmtId="206" fontId="41" fillId="0" borderId="40" xfId="33" applyNumberFormat="1" applyFont="1" applyBorder="1"/>
    <xf numFmtId="213" fontId="41" fillId="0" borderId="40" xfId="0" applyNumberFormat="1" applyFont="1" applyBorder="1"/>
    <xf numFmtId="213" fontId="41" fillId="0" borderId="51" xfId="0" applyNumberFormat="1" applyFont="1" applyBorder="1"/>
    <xf numFmtId="213" fontId="41" fillId="0" borderId="39" xfId="0" applyNumberFormat="1" applyFont="1" applyBorder="1"/>
    <xf numFmtId="0" fontId="41" fillId="0" borderId="64" xfId="0" applyFont="1" applyBorder="1"/>
    <xf numFmtId="0" fontId="61" fillId="0" borderId="68" xfId="0" applyFont="1" applyBorder="1" applyAlignment="1">
      <alignment horizontal="right"/>
    </xf>
    <xf numFmtId="3" fontId="41" fillId="0" borderId="16" xfId="0" applyNumberFormat="1" applyFont="1" applyBorder="1"/>
    <xf numFmtId="201" fontId="41" fillId="0" borderId="75" xfId="0" applyNumberFormat="1" applyFont="1" applyBorder="1"/>
    <xf numFmtId="201" fontId="41" fillId="0" borderId="34" xfId="0" applyNumberFormat="1" applyFont="1" applyBorder="1"/>
    <xf numFmtId="201" fontId="41" fillId="0" borderId="16" xfId="0" applyNumberFormat="1" applyFont="1" applyBorder="1"/>
    <xf numFmtId="206" fontId="65" fillId="0" borderId="46" xfId="0" applyNumberFormat="1" applyFont="1" applyBorder="1"/>
    <xf numFmtId="206" fontId="41" fillId="0" borderId="76" xfId="33" applyNumberFormat="1" applyFont="1" applyBorder="1"/>
    <xf numFmtId="213" fontId="41" fillId="0" borderId="46" xfId="0" applyNumberFormat="1" applyFont="1" applyBorder="1"/>
    <xf numFmtId="213" fontId="41" fillId="0" borderId="52" xfId="0" applyNumberFormat="1" applyFont="1" applyBorder="1"/>
    <xf numFmtId="213" fontId="41" fillId="0" borderId="47" xfId="0" applyNumberFormat="1" applyFont="1" applyBorder="1"/>
    <xf numFmtId="0" fontId="41" fillId="0" borderId="23" xfId="0" applyFont="1" applyBorder="1"/>
    <xf numFmtId="0" fontId="32" fillId="0" borderId="45" xfId="0" applyFont="1" applyBorder="1" applyAlignment="1">
      <alignment horizontal="right"/>
    </xf>
    <xf numFmtId="201" fontId="41" fillId="0" borderId="45" xfId="0" applyNumberFormat="1" applyFont="1" applyBorder="1"/>
    <xf numFmtId="201" fontId="41" fillId="0" borderId="23" xfId="0" applyNumberFormat="1" applyFont="1" applyBorder="1"/>
    <xf numFmtId="201" fontId="41" fillId="0" borderId="24" xfId="0" applyNumberFormat="1" applyFont="1" applyBorder="1"/>
    <xf numFmtId="206" fontId="41" fillId="0" borderId="46" xfId="0" applyNumberFormat="1" applyFont="1" applyBorder="1"/>
    <xf numFmtId="0" fontId="22" fillId="0" borderId="76" xfId="0" applyFont="1" applyBorder="1" applyAlignment="1">
      <alignment horizontal="right"/>
    </xf>
    <xf numFmtId="3" fontId="41" fillId="0" borderId="45" xfId="0" applyNumberFormat="1" applyFont="1" applyBorder="1"/>
    <xf numFmtId="3" fontId="41" fillId="0" borderId="23" xfId="0" applyNumberFormat="1" applyFont="1" applyBorder="1"/>
    <xf numFmtId="0" fontId="32" fillId="0" borderId="76" xfId="0" applyFont="1" applyBorder="1" applyAlignment="1">
      <alignment horizontal="right"/>
    </xf>
    <xf numFmtId="206" fontId="41" fillId="0" borderId="42" xfId="0" applyNumberFormat="1" applyFont="1" applyBorder="1"/>
    <xf numFmtId="213" fontId="41" fillId="0" borderId="41" xfId="0" applyNumberFormat="1" applyFont="1" applyBorder="1"/>
    <xf numFmtId="4" fontId="41" fillId="0" borderId="0" xfId="0" applyNumberFormat="1" applyFont="1"/>
    <xf numFmtId="0" fontId="37" fillId="0" borderId="77" xfId="0" applyFont="1" applyBorder="1" applyAlignment="1">
      <alignment horizontal="centerContinuous"/>
    </xf>
    <xf numFmtId="0" fontId="41" fillId="0" borderId="37" xfId="0" applyFont="1" applyBorder="1" applyAlignment="1">
      <alignment horizontal="centerContinuous"/>
    </xf>
    <xf numFmtId="0" fontId="41" fillId="0" borderId="30" xfId="0" applyFont="1" applyBorder="1" applyAlignment="1">
      <alignment horizontal="centerContinuous"/>
    </xf>
    <xf numFmtId="3" fontId="41" fillId="0" borderId="24" xfId="33" applyNumberFormat="1" applyFont="1" applyBorder="1"/>
    <xf numFmtId="201" fontId="41" fillId="0" borderId="24" xfId="33" applyNumberFormat="1" applyFont="1" applyBorder="1"/>
    <xf numFmtId="201" fontId="41" fillId="0" borderId="23" xfId="33" applyNumberFormat="1" applyFont="1" applyBorder="1"/>
    <xf numFmtId="0" fontId="37" fillId="0" borderId="17" xfId="0" applyFont="1" applyBorder="1" applyAlignment="1">
      <alignment horizontal="centerContinuous"/>
    </xf>
    <xf numFmtId="0" fontId="37" fillId="0" borderId="38" xfId="0" applyFont="1" applyBorder="1" applyAlignment="1">
      <alignment horizontal="right"/>
    </xf>
    <xf numFmtId="1" fontId="16" fillId="0" borderId="11" xfId="0" applyNumberFormat="1" applyFont="1" applyBorder="1" applyAlignment="1">
      <alignment horizontal="center"/>
    </xf>
    <xf numFmtId="203" fontId="41" fillId="0" borderId="45" xfId="33" applyNumberFormat="1" applyFont="1" applyBorder="1"/>
    <xf numFmtId="203" fontId="41" fillId="0" borderId="23" xfId="33" applyNumberFormat="1" applyFont="1" applyBorder="1"/>
    <xf numFmtId="203" fontId="41" fillId="0" borderId="24" xfId="33" applyNumberFormat="1" applyFont="1" applyBorder="1"/>
    <xf numFmtId="0" fontId="41" fillId="0" borderId="31" xfId="0" applyFont="1" applyBorder="1"/>
    <xf numFmtId="0" fontId="37" fillId="0" borderId="62" xfId="0" applyFont="1" applyBorder="1" applyAlignment="1">
      <alignment horizontal="right"/>
    </xf>
    <xf numFmtId="3" fontId="16" fillId="0" borderId="51" xfId="0" applyNumberFormat="1" applyFont="1" applyBorder="1" applyAlignment="1">
      <alignment horizontal="center"/>
    </xf>
    <xf numFmtId="3" fontId="16" fillId="0" borderId="54" xfId="0" applyNumberFormat="1" applyFont="1" applyBorder="1" applyAlignment="1">
      <alignment horizontal="center"/>
    </xf>
    <xf numFmtId="3" fontId="16" fillId="0" borderId="32" xfId="0" applyNumberFormat="1" applyFont="1" applyBorder="1" applyAlignment="1">
      <alignment horizontal="center"/>
    </xf>
    <xf numFmtId="3" fontId="16" fillId="0" borderId="24" xfId="0" applyNumberFormat="1" applyFont="1" applyBorder="1"/>
    <xf numFmtId="201" fontId="16" fillId="0" borderId="45" xfId="0" applyNumberFormat="1" applyFont="1" applyBorder="1"/>
    <xf numFmtId="201" fontId="16" fillId="0" borderId="23" xfId="0" applyNumberFormat="1" applyFont="1" applyBorder="1"/>
    <xf numFmtId="201" fontId="16" fillId="0" borderId="24" xfId="0" applyNumberFormat="1" applyFont="1" applyBorder="1"/>
    <xf numFmtId="0" fontId="22" fillId="0" borderId="52" xfId="0" applyFont="1" applyBorder="1" applyAlignment="1">
      <alignment horizontal="right"/>
    </xf>
    <xf numFmtId="203" fontId="16" fillId="0" borderId="52" xfId="0" applyNumberFormat="1" applyFont="1" applyBorder="1"/>
    <xf numFmtId="203" fontId="16" fillId="0" borderId="76" xfId="0" applyNumberFormat="1" applyFont="1" applyBorder="1"/>
    <xf numFmtId="203" fontId="16" fillId="0" borderId="25" xfId="0" applyNumberFormat="1" applyFont="1" applyBorder="1"/>
    <xf numFmtId="0" fontId="41" fillId="0" borderId="24" xfId="0" applyFont="1" applyBorder="1"/>
    <xf numFmtId="0" fontId="41" fillId="0" borderId="49" xfId="0" applyFont="1" applyBorder="1"/>
    <xf numFmtId="0" fontId="41" fillId="0" borderId="52" xfId="0" applyFont="1" applyBorder="1"/>
    <xf numFmtId="0" fontId="41" fillId="0" borderId="76" xfId="0" applyFont="1" applyBorder="1"/>
    <xf numFmtId="0" fontId="41" fillId="0" borderId="25" xfId="0" applyFont="1" applyBorder="1"/>
    <xf numFmtId="0" fontId="16" fillId="0" borderId="55" xfId="0" applyFont="1" applyBorder="1" applyAlignment="1">
      <alignment horizontal="right"/>
    </xf>
    <xf numFmtId="168" fontId="16" fillId="0" borderId="27" xfId="0" applyNumberFormat="1" applyFont="1" applyBorder="1"/>
    <xf numFmtId="168" fontId="16" fillId="0" borderId="43" xfId="0" applyNumberFormat="1" applyFont="1" applyBorder="1"/>
    <xf numFmtId="168" fontId="16" fillId="0" borderId="26" xfId="0" applyNumberFormat="1" applyFont="1" applyBorder="1"/>
    <xf numFmtId="3" fontId="16" fillId="0" borderId="20" xfId="0" applyNumberFormat="1" applyFont="1" applyBorder="1"/>
    <xf numFmtId="3" fontId="16" fillId="0" borderId="18" xfId="0" applyNumberFormat="1" applyFont="1" applyBorder="1"/>
    <xf numFmtId="201" fontId="41" fillId="0" borderId="52" xfId="0" applyNumberFormat="1" applyFont="1" applyBorder="1"/>
    <xf numFmtId="201" fontId="41" fillId="0" borderId="76" xfId="0" applyNumberFormat="1" applyFont="1" applyBorder="1"/>
    <xf numFmtId="201" fontId="41" fillId="0" borderId="25" xfId="0" applyNumberFormat="1" applyFont="1" applyBorder="1"/>
    <xf numFmtId="168" fontId="41" fillId="0" borderId="24" xfId="0" applyNumberFormat="1" applyFont="1" applyBorder="1"/>
    <xf numFmtId="168" fontId="41" fillId="0" borderId="45" xfId="0" applyNumberFormat="1" applyFont="1" applyBorder="1"/>
    <xf numFmtId="168" fontId="41" fillId="0" borderId="23" xfId="0" applyNumberFormat="1" applyFont="1" applyBorder="1"/>
    <xf numFmtId="0" fontId="22" fillId="0" borderId="78" xfId="0" applyFont="1" applyBorder="1" applyAlignment="1">
      <alignment horizontal="right"/>
    </xf>
    <xf numFmtId="203" fontId="16" fillId="0" borderId="79" xfId="0" applyNumberFormat="1" applyFont="1" applyBorder="1"/>
    <xf numFmtId="203" fontId="16" fillId="0" borderId="80" xfId="0" applyNumberFormat="1" applyFont="1" applyBorder="1"/>
    <xf numFmtId="203" fontId="16" fillId="0" borderId="81" xfId="0" applyNumberFormat="1" applyFont="1" applyBorder="1"/>
    <xf numFmtId="0" fontId="22" fillId="0" borderId="55" xfId="0" applyFont="1" applyBorder="1" applyAlignment="1">
      <alignment horizontal="right"/>
    </xf>
    <xf numFmtId="168" fontId="41" fillId="0" borderId="27" xfId="0" applyNumberFormat="1" applyFont="1" applyBorder="1"/>
    <xf numFmtId="168" fontId="41" fillId="0" borderId="43" xfId="0" applyNumberFormat="1" applyFont="1" applyBorder="1"/>
    <xf numFmtId="168" fontId="41" fillId="0" borderId="26" xfId="0" applyNumberFormat="1" applyFont="1" applyBorder="1"/>
    <xf numFmtId="3" fontId="32" fillId="0" borderId="17" xfId="0" applyNumberFormat="1" applyFont="1" applyBorder="1"/>
    <xf numFmtId="0" fontId="22" fillId="0" borderId="50" xfId="0" applyFont="1" applyBorder="1" applyAlignment="1">
      <alignment horizontal="right" vertical="center"/>
    </xf>
    <xf numFmtId="10" fontId="32" fillId="0" borderId="50" xfId="39" applyNumberFormat="1" applyFont="1" applyBorder="1" applyAlignment="1">
      <alignment horizontal="center" vertical="center"/>
    </xf>
    <xf numFmtId="201" fontId="32" fillId="0" borderId="29" xfId="0" applyNumberFormat="1" applyFont="1" applyBorder="1"/>
    <xf numFmtId="4" fontId="32" fillId="0" borderId="11" xfId="0" applyNumberFormat="1" applyFont="1" applyBorder="1"/>
    <xf numFmtId="201" fontId="22" fillId="0" borderId="29" xfId="0" applyNumberFormat="1" applyFont="1" applyBorder="1"/>
    <xf numFmtId="4" fontId="32" fillId="0" borderId="0" xfId="0" applyNumberFormat="1" applyFont="1"/>
    <xf numFmtId="3" fontId="22" fillId="0" borderId="0" xfId="0" applyNumberFormat="1" applyFont="1" applyAlignment="1">
      <alignment horizontal="right"/>
    </xf>
    <xf numFmtId="0" fontId="61" fillId="0" borderId="0" xfId="0" applyFont="1" applyAlignment="1">
      <alignment horizontal="left" indent="1"/>
    </xf>
    <xf numFmtId="201" fontId="32" fillId="0" borderId="11" xfId="0" applyNumberFormat="1" applyFont="1" applyBorder="1" applyProtection="1">
      <protection locked="0"/>
    </xf>
    <xf numFmtId="206" fontId="32" fillId="18" borderId="0" xfId="39" applyNumberFormat="1" applyFont="1" applyFill="1"/>
    <xf numFmtId="0" fontId="22" fillId="0" borderId="0" xfId="0" applyFont="1" applyAlignment="1">
      <alignment horizontal="right"/>
    </xf>
    <xf numFmtId="3" fontId="52" fillId="0" borderId="0" xfId="0" applyNumberFormat="1" applyFont="1" applyAlignment="1" applyProtection="1">
      <alignment horizontal="left"/>
      <protection locked="0"/>
    </xf>
    <xf numFmtId="9" fontId="16" fillId="0" borderId="0" xfId="39" applyFont="1" applyAlignment="1">
      <alignment horizontal="center"/>
    </xf>
    <xf numFmtId="3" fontId="32" fillId="0" borderId="62" xfId="0" applyNumberFormat="1" applyFont="1" applyBorder="1"/>
    <xf numFmtId="3" fontId="32" fillId="0" borderId="49" xfId="0" applyNumberFormat="1" applyFont="1" applyBorder="1"/>
    <xf numFmtId="3" fontId="32" fillId="0" borderId="65" xfId="0" applyNumberFormat="1" applyFont="1" applyBorder="1"/>
    <xf numFmtId="3" fontId="22" fillId="0" borderId="69" xfId="0" applyNumberFormat="1" applyFont="1" applyBorder="1"/>
    <xf numFmtId="3" fontId="22" fillId="0" borderId="37" xfId="0" applyNumberFormat="1" applyFont="1" applyBorder="1"/>
    <xf numFmtId="3" fontId="22" fillId="0" borderId="10" xfId="0" applyNumberFormat="1" applyFont="1" applyBorder="1" applyAlignment="1">
      <alignment horizontal="center"/>
    </xf>
    <xf numFmtId="3" fontId="32" fillId="0" borderId="82" xfId="0" applyNumberFormat="1" applyFont="1" applyBorder="1"/>
    <xf numFmtId="3" fontId="32" fillId="0" borderId="75" xfId="0" applyNumberFormat="1" applyFont="1" applyBorder="1"/>
    <xf numFmtId="3" fontId="22" fillId="0" borderId="83" xfId="0" applyNumberFormat="1" applyFont="1" applyBorder="1"/>
    <xf numFmtId="3" fontId="22" fillId="0" borderId="63" xfId="0" applyNumberFormat="1" applyFont="1" applyBorder="1"/>
    <xf numFmtId="3" fontId="22" fillId="0" borderId="84" xfId="0" applyNumberFormat="1" applyFont="1" applyBorder="1"/>
    <xf numFmtId="3" fontId="22" fillId="0" borderId="0" xfId="0" applyNumberFormat="1" applyFont="1" applyAlignment="1">
      <alignment vertical="center"/>
    </xf>
    <xf numFmtId="0" fontId="22" fillId="0" borderId="45" xfId="0" applyFont="1" applyBorder="1" applyAlignment="1">
      <alignment horizontal="right" vertical="center"/>
    </xf>
    <xf numFmtId="196" fontId="22" fillId="0" borderId="52" xfId="0" applyNumberFormat="1" applyFont="1" applyBorder="1" applyAlignment="1" applyProtection="1">
      <alignment vertical="center"/>
      <protection locked="0"/>
    </xf>
    <xf numFmtId="0" fontId="47" fillId="0" borderId="0" xfId="0" applyFont="1"/>
    <xf numFmtId="3" fontId="60" fillId="0" borderId="0" xfId="0" applyNumberFormat="1" applyFont="1"/>
    <xf numFmtId="0" fontId="41" fillId="0" borderId="30" xfId="0" applyFont="1" applyBorder="1"/>
    <xf numFmtId="0" fontId="41" fillId="0" borderId="14" xfId="0" applyFont="1" applyBorder="1"/>
    <xf numFmtId="3" fontId="65" fillId="0" borderId="0" xfId="0" applyNumberFormat="1" applyFont="1"/>
    <xf numFmtId="0" fontId="65" fillId="0" borderId="0" xfId="0" applyFont="1" applyAlignment="1">
      <alignment horizontal="left" indent="1"/>
    </xf>
    <xf numFmtId="0" fontId="41" fillId="0" borderId="13" xfId="0" applyFont="1" applyBorder="1"/>
    <xf numFmtId="168" fontId="16" fillId="0" borderId="0" xfId="0" applyNumberFormat="1" applyFont="1"/>
    <xf numFmtId="0" fontId="16" fillId="0" borderId="0" xfId="0" applyFont="1" applyAlignment="1">
      <alignment horizontal="left" indent="1"/>
    </xf>
    <xf numFmtId="3" fontId="16" fillId="0" borderId="0" xfId="0" applyNumberFormat="1" applyFont="1" applyAlignment="1">
      <alignment vertical="center"/>
    </xf>
    <xf numFmtId="0" fontId="16" fillId="0" borderId="37" xfId="0" applyFont="1" applyBorder="1"/>
    <xf numFmtId="0" fontId="16" fillId="0" borderId="30" xfId="0" applyFont="1" applyBorder="1"/>
    <xf numFmtId="0" fontId="16" fillId="0" borderId="45" xfId="0" applyFont="1" applyBorder="1"/>
    <xf numFmtId="0" fontId="16" fillId="0" borderId="25" xfId="0" applyFont="1" applyBorder="1"/>
    <xf numFmtId="0" fontId="16" fillId="0" borderId="43" xfId="0" applyFont="1" applyBorder="1"/>
    <xf numFmtId="0" fontId="16" fillId="0" borderId="28" xfId="0" applyFont="1" applyBorder="1"/>
    <xf numFmtId="3" fontId="22" fillId="0" borderId="85" xfId="0" applyNumberFormat="1" applyFont="1" applyBorder="1" applyAlignment="1">
      <alignment horizontal="center"/>
    </xf>
    <xf numFmtId="3" fontId="22" fillId="0" borderId="86" xfId="0" applyNumberFormat="1" applyFont="1" applyBorder="1" applyAlignment="1">
      <alignment horizontal="center"/>
    </xf>
    <xf numFmtId="3" fontId="22" fillId="0" borderId="87" xfId="0" applyNumberFormat="1" applyFont="1" applyBorder="1" applyAlignment="1">
      <alignment horizontal="center"/>
    </xf>
    <xf numFmtId="3" fontId="22" fillId="0" borderId="84" xfId="0" applyNumberFormat="1" applyFont="1" applyBorder="1" applyAlignment="1">
      <alignment horizontal="center"/>
    </xf>
    <xf numFmtId="3" fontId="22" fillId="0" borderId="88" xfId="0" applyNumberFormat="1" applyFont="1" applyBorder="1" applyAlignment="1">
      <alignment horizontal="center"/>
    </xf>
    <xf numFmtId="3" fontId="32" fillId="0" borderId="89" xfId="0" applyNumberFormat="1" applyFont="1" applyBorder="1" applyAlignment="1">
      <alignment horizontal="left" indent="1"/>
    </xf>
    <xf numFmtId="201" fontId="22" fillId="0" borderId="90" xfId="0" applyNumberFormat="1" applyFont="1" applyBorder="1"/>
    <xf numFmtId="3" fontId="32" fillId="0" borderId="91" xfId="0" applyNumberFormat="1" applyFont="1" applyBorder="1" applyAlignment="1">
      <alignment horizontal="left" indent="1"/>
    </xf>
    <xf numFmtId="201" fontId="32" fillId="0" borderId="65" xfId="0" applyNumberFormat="1" applyFont="1" applyBorder="1"/>
    <xf numFmtId="201" fontId="22" fillId="0" borderId="92" xfId="0" applyNumberFormat="1" applyFont="1" applyBorder="1"/>
    <xf numFmtId="3" fontId="32" fillId="0" borderId="93" xfId="0" applyNumberFormat="1" applyFont="1" applyBorder="1" applyAlignment="1">
      <alignment horizontal="left" indent="1"/>
    </xf>
    <xf numFmtId="3" fontId="22" fillId="0" borderId="94" xfId="0" applyNumberFormat="1" applyFont="1" applyBorder="1" applyAlignment="1">
      <alignment horizontal="right"/>
    </xf>
    <xf numFmtId="201" fontId="22" fillId="0" borderId="69" xfId="0" applyNumberFormat="1" applyFont="1" applyBorder="1"/>
    <xf numFmtId="201" fontId="22" fillId="0" borderId="95" xfId="0" applyNumberFormat="1" applyFont="1" applyBorder="1"/>
    <xf numFmtId="3" fontId="22" fillId="0" borderId="87" xfId="0" applyNumberFormat="1" applyFont="1" applyBorder="1"/>
    <xf numFmtId="3" fontId="22" fillId="0" borderId="77" xfId="0" applyNumberFormat="1" applyFont="1" applyBorder="1"/>
    <xf numFmtId="3" fontId="22" fillId="0" borderId="96" xfId="0" applyNumberFormat="1" applyFont="1" applyBorder="1" applyAlignment="1">
      <alignment horizontal="center"/>
    </xf>
    <xf numFmtId="3" fontId="32" fillId="0" borderId="87" xfId="0" applyNumberFormat="1" applyFont="1" applyBorder="1"/>
    <xf numFmtId="3" fontId="22" fillId="0" borderId="97" xfId="0" applyNumberFormat="1" applyFont="1" applyBorder="1"/>
    <xf numFmtId="3" fontId="22" fillId="0" borderId="93" xfId="0" applyNumberFormat="1" applyFont="1" applyBorder="1" applyAlignment="1">
      <alignment horizontal="left" indent="1"/>
    </xf>
    <xf numFmtId="3" fontId="22" fillId="0" borderId="98" xfId="0" applyNumberFormat="1" applyFont="1" applyBorder="1"/>
    <xf numFmtId="201" fontId="22" fillId="0" borderId="83" xfId="0" applyNumberFormat="1" applyFont="1" applyBorder="1"/>
    <xf numFmtId="3" fontId="22" fillId="0" borderId="99" xfId="0" applyNumberFormat="1" applyFont="1" applyBorder="1"/>
    <xf numFmtId="3" fontId="22" fillId="0" borderId="100" xfId="0" applyNumberFormat="1" applyFont="1" applyBorder="1" applyAlignment="1">
      <alignment horizontal="left" indent="1"/>
    </xf>
    <xf numFmtId="192" fontId="22" fillId="0" borderId="63" xfId="0" applyNumberFormat="1" applyFont="1" applyBorder="1"/>
    <xf numFmtId="192" fontId="22" fillId="0" borderId="101" xfId="0" applyNumberFormat="1" applyFont="1" applyBorder="1"/>
    <xf numFmtId="3" fontId="22" fillId="0" borderId="87" xfId="0" applyNumberFormat="1" applyFont="1" applyBorder="1" applyAlignment="1">
      <alignment horizontal="left" indent="1"/>
    </xf>
    <xf numFmtId="168" fontId="22" fillId="0" borderId="84" xfId="0" applyNumberFormat="1" applyFont="1" applyBorder="1"/>
    <xf numFmtId="168" fontId="22" fillId="0" borderId="99" xfId="0" applyNumberFormat="1" applyFont="1" applyBorder="1"/>
    <xf numFmtId="3" fontId="22" fillId="0" borderId="102" xfId="0" applyNumberFormat="1" applyFont="1" applyBorder="1" applyAlignment="1">
      <alignment horizontal="left" indent="1"/>
    </xf>
    <xf numFmtId="201" fontId="22" fillId="18" borderId="63" xfId="0" applyNumberFormat="1" applyFont="1" applyFill="1" applyBorder="1"/>
    <xf numFmtId="215" fontId="22" fillId="0" borderId="50" xfId="0" applyNumberFormat="1" applyFont="1" applyBorder="1" applyProtection="1">
      <protection locked="0"/>
    </xf>
    <xf numFmtId="215" fontId="22" fillId="0" borderId="63" xfId="0" applyNumberFormat="1" applyFont="1" applyBorder="1" applyProtection="1">
      <protection locked="0"/>
    </xf>
    <xf numFmtId="168" fontId="22" fillId="0" borderId="101" xfId="0" applyNumberFormat="1" applyFont="1" applyBorder="1"/>
    <xf numFmtId="3" fontId="22" fillId="0" borderId="103" xfId="0" applyNumberFormat="1" applyFont="1" applyBorder="1"/>
    <xf numFmtId="0" fontId="32" fillId="0" borderId="76" xfId="0" applyFont="1" applyBorder="1" applyAlignment="1">
      <alignment vertical="center"/>
    </xf>
    <xf numFmtId="3" fontId="41" fillId="0" borderId="52" xfId="0" quotePrefix="1" applyNumberFormat="1" applyFont="1" applyBorder="1" applyAlignment="1">
      <alignment horizontal="center" vertical="center"/>
    </xf>
    <xf numFmtId="192" fontId="22" fillId="0" borderId="52" xfId="0" applyNumberFormat="1" applyFont="1" applyBorder="1" applyAlignment="1" applyProtection="1">
      <alignment vertical="center"/>
      <protection locked="0"/>
    </xf>
    <xf numFmtId="3" fontId="41" fillId="0" borderId="52" xfId="0" applyNumberFormat="1" applyFont="1" applyBorder="1" applyAlignment="1">
      <alignment vertical="center"/>
    </xf>
    <xf numFmtId="201" fontId="32" fillId="0" borderId="65" xfId="0" quotePrefix="1" applyNumberFormat="1" applyFont="1" applyBorder="1"/>
    <xf numFmtId="3" fontId="41" fillId="0" borderId="52" xfId="0" applyNumberFormat="1" applyFont="1" applyBorder="1" applyAlignment="1">
      <alignment horizontal="center" vertical="center"/>
    </xf>
    <xf numFmtId="3" fontId="22" fillId="0" borderId="46" xfId="0" applyNumberFormat="1" applyFont="1" applyBorder="1" applyAlignment="1">
      <alignment horizontal="left" vertical="center" indent="1"/>
    </xf>
    <xf numFmtId="0" fontId="16" fillId="0" borderId="0" xfId="0" applyFont="1" applyAlignment="1">
      <alignment horizontal="left" indent="2"/>
    </xf>
    <xf numFmtId="0" fontId="32" fillId="0" borderId="0" xfId="0" applyFont="1" applyAlignment="1">
      <alignment vertical="center"/>
    </xf>
    <xf numFmtId="0" fontId="22" fillId="0" borderId="0" xfId="0" applyFont="1" applyAlignment="1">
      <alignment horizontal="right" vertical="center"/>
    </xf>
    <xf numFmtId="192" fontId="32" fillId="0" borderId="0" xfId="0" applyNumberFormat="1" applyFont="1"/>
    <xf numFmtId="166" fontId="32" fillId="0" borderId="0" xfId="39" applyNumberFormat="1" applyFont="1" applyAlignment="1">
      <alignment horizontal="center"/>
    </xf>
    <xf numFmtId="198" fontId="32" fillId="0" borderId="0" xfId="0" applyNumberFormat="1" applyFont="1" applyAlignment="1">
      <alignment horizontal="center"/>
    </xf>
    <xf numFmtId="0" fontId="32" fillId="0" borderId="0" xfId="0" applyFont="1" applyAlignment="1">
      <alignment horizontal="left" vertical="center" indent="1"/>
    </xf>
    <xf numFmtId="0" fontId="61" fillId="0" borderId="0" xfId="0" applyFont="1"/>
    <xf numFmtId="3" fontId="22" fillId="0" borderId="104" xfId="0" applyNumberFormat="1" applyFont="1" applyBorder="1" applyAlignment="1">
      <alignment horizontal="left" indent="1"/>
    </xf>
    <xf numFmtId="3" fontId="22" fillId="0" borderId="0" xfId="0" applyNumberFormat="1" applyFont="1" applyAlignment="1">
      <alignment horizontal="left" indent="3"/>
    </xf>
    <xf numFmtId="3" fontId="16" fillId="0" borderId="85" xfId="0" applyNumberFormat="1" applyFont="1" applyBorder="1" applyAlignment="1">
      <alignment horizontal="left" indent="5"/>
    </xf>
    <xf numFmtId="3" fontId="22" fillId="0" borderId="93" xfId="0" applyNumberFormat="1" applyFont="1" applyBorder="1" applyAlignment="1">
      <alignment horizontal="left" indent="3"/>
    </xf>
    <xf numFmtId="3" fontId="22" fillId="0" borderId="62" xfId="0" applyNumberFormat="1" applyFont="1" applyBorder="1" applyAlignment="1">
      <alignment horizontal="center"/>
    </xf>
    <xf numFmtId="192" fontId="22" fillId="0" borderId="105" xfId="0" applyNumberFormat="1" applyFont="1" applyBorder="1"/>
    <xf numFmtId="9" fontId="22" fillId="0" borderId="49" xfId="39" applyFont="1" applyBorder="1" applyAlignment="1">
      <alignment horizontal="center"/>
    </xf>
    <xf numFmtId="3" fontId="22" fillId="0" borderId="91" xfId="0" applyNumberFormat="1" applyFont="1" applyBorder="1" applyAlignment="1">
      <alignment horizontal="left" indent="3"/>
    </xf>
    <xf numFmtId="3" fontId="22" fillId="0" borderId="49" xfId="39" applyNumberFormat="1" applyFont="1" applyBorder="1" applyAlignment="1">
      <alignment horizontal="center"/>
    </xf>
    <xf numFmtId="3" fontId="22" fillId="0" borderId="106" xfId="0" applyNumberFormat="1" applyFont="1" applyBorder="1" applyAlignment="1">
      <alignment horizontal="left" indent="3"/>
    </xf>
    <xf numFmtId="3" fontId="22" fillId="0" borderId="69" xfId="39" applyNumberFormat="1" applyFont="1" applyBorder="1" applyAlignment="1">
      <alignment horizontal="center"/>
    </xf>
    <xf numFmtId="192" fontId="22" fillId="0" borderId="107" xfId="0" applyNumberFormat="1" applyFont="1" applyBorder="1"/>
    <xf numFmtId="3" fontId="22" fillId="0" borderId="108" xfId="0" applyNumberFormat="1" applyFont="1" applyBorder="1"/>
    <xf numFmtId="3" fontId="16" fillId="0" borderId="109" xfId="0" applyNumberFormat="1" applyFont="1" applyBorder="1" applyAlignment="1">
      <alignment horizontal="right"/>
    </xf>
    <xf numFmtId="195" fontId="16" fillId="0" borderId="110" xfId="0" applyNumberFormat="1" applyFont="1" applyBorder="1"/>
    <xf numFmtId="195" fontId="16" fillId="0" borderId="111" xfId="0" applyNumberFormat="1" applyFont="1" applyBorder="1"/>
    <xf numFmtId="195" fontId="16" fillId="0" borderId="112" xfId="0" applyNumberFormat="1" applyFont="1" applyBorder="1"/>
    <xf numFmtId="192" fontId="16" fillId="0" borderId="113" xfId="0" applyNumberFormat="1" applyFont="1" applyBorder="1"/>
    <xf numFmtId="3" fontId="16" fillId="0" borderId="0" xfId="0" applyNumberFormat="1" applyFont="1" applyAlignment="1">
      <alignment horizontal="left" indent="1"/>
    </xf>
    <xf numFmtId="0" fontId="37" fillId="0" borderId="114" xfId="0" applyFont="1" applyBorder="1" applyAlignment="1">
      <alignment horizontal="centerContinuous"/>
    </xf>
    <xf numFmtId="0" fontId="41" fillId="0" borderId="60" xfId="0" applyFont="1" applyBorder="1" applyAlignment="1">
      <alignment horizontal="centerContinuous"/>
    </xf>
    <xf numFmtId="166" fontId="41" fillId="0" borderId="60" xfId="0" applyNumberFormat="1" applyFont="1" applyBorder="1" applyAlignment="1">
      <alignment horizontal="center"/>
    </xf>
    <xf numFmtId="166" fontId="16" fillId="0" borderId="60" xfId="0" applyNumberFormat="1" applyFont="1" applyBorder="1" applyAlignment="1">
      <alignment horizontal="center"/>
    </xf>
    <xf numFmtId="0" fontId="41" fillId="0" borderId="61" xfId="0" applyFont="1" applyBorder="1" applyAlignment="1">
      <alignment horizontal="center"/>
    </xf>
    <xf numFmtId="0" fontId="61" fillId="0" borderId="115" xfId="0" applyFont="1" applyBorder="1" applyAlignment="1">
      <alignment horizontal="left" indent="1"/>
    </xf>
    <xf numFmtId="0" fontId="41" fillId="0" borderId="66" xfId="0" applyFont="1" applyBorder="1"/>
    <xf numFmtId="192" fontId="41" fillId="0" borderId="103" xfId="0" applyNumberFormat="1" applyFont="1" applyBorder="1"/>
    <xf numFmtId="0" fontId="61" fillId="0" borderId="116" xfId="0" applyFont="1" applyBorder="1" applyAlignment="1">
      <alignment horizontal="left" indent="1"/>
    </xf>
    <xf numFmtId="0" fontId="41" fillId="0" borderId="117" xfId="0" applyFont="1" applyBorder="1"/>
    <xf numFmtId="192" fontId="41" fillId="0" borderId="118" xfId="0" applyNumberFormat="1" applyFont="1" applyBorder="1"/>
    <xf numFmtId="3" fontId="22" fillId="0" borderId="119" xfId="0" applyNumberFormat="1" applyFont="1" applyBorder="1"/>
    <xf numFmtId="3" fontId="22" fillId="0" borderId="120" xfId="0" applyNumberFormat="1" applyFont="1" applyBorder="1" applyAlignment="1">
      <alignment horizontal="center"/>
    </xf>
    <xf numFmtId="3" fontId="22" fillId="0" borderId="121" xfId="0" applyNumberFormat="1" applyFont="1" applyBorder="1" applyAlignment="1">
      <alignment horizontal="center"/>
    </xf>
    <xf numFmtId="192" fontId="22" fillId="0" borderId="92" xfId="0" applyNumberFormat="1" applyFont="1" applyBorder="1"/>
    <xf numFmtId="3" fontId="22" fillId="0" borderId="52" xfId="0" applyNumberFormat="1" applyFont="1" applyBorder="1"/>
    <xf numFmtId="3" fontId="16" fillId="0" borderId="119" xfId="0" applyNumberFormat="1" applyFont="1" applyBorder="1" applyAlignment="1">
      <alignment horizontal="left" indent="1"/>
    </xf>
    <xf numFmtId="3" fontId="22" fillId="0" borderId="120" xfId="0" applyNumberFormat="1" applyFont="1" applyBorder="1"/>
    <xf numFmtId="192" fontId="16" fillId="18" borderId="120" xfId="0" applyNumberFormat="1" applyFont="1" applyFill="1" applyBorder="1"/>
    <xf numFmtId="192" fontId="16" fillId="0" borderId="120" xfId="0" applyNumberFormat="1" applyFont="1" applyBorder="1"/>
    <xf numFmtId="192" fontId="16" fillId="0" borderId="121" xfId="0" applyNumberFormat="1" applyFont="1" applyBorder="1"/>
    <xf numFmtId="0" fontId="41" fillId="0" borderId="104" xfId="0" applyFont="1" applyBorder="1"/>
    <xf numFmtId="192" fontId="41" fillId="0" borderId="92" xfId="0" applyNumberFormat="1" applyFont="1" applyBorder="1"/>
    <xf numFmtId="3" fontId="16" fillId="0" borderId="116" xfId="0" applyNumberFormat="1" applyFont="1" applyBorder="1" applyAlignment="1">
      <alignment horizontal="left" indent="1"/>
    </xf>
    <xf numFmtId="192" fontId="16" fillId="18" borderId="117" xfId="0" applyNumberFormat="1" applyFont="1" applyFill="1" applyBorder="1"/>
    <xf numFmtId="192" fontId="16" fillId="0" borderId="117" xfId="0" applyNumberFormat="1" applyFont="1" applyBorder="1"/>
    <xf numFmtId="192" fontId="16" fillId="0" borderId="118" xfId="0" applyNumberFormat="1" applyFont="1" applyBorder="1"/>
    <xf numFmtId="3" fontId="16" fillId="0" borderId="122" xfId="0" applyNumberFormat="1" applyFont="1" applyBorder="1" applyAlignment="1">
      <alignment horizontal="left" indent="1"/>
    </xf>
    <xf numFmtId="0" fontId="41" fillId="0" borderId="123" xfId="0" applyFont="1" applyBorder="1"/>
    <xf numFmtId="192" fontId="16" fillId="18" borderId="124" xfId="0" applyNumberFormat="1" applyFont="1" applyFill="1" applyBorder="1"/>
    <xf numFmtId="192" fontId="16" fillId="0" borderId="124" xfId="0" applyNumberFormat="1" applyFont="1" applyBorder="1"/>
    <xf numFmtId="168" fontId="16" fillId="0" borderId="125" xfId="0" applyNumberFormat="1" applyFont="1" applyBorder="1"/>
    <xf numFmtId="9" fontId="22" fillId="0" borderId="22" xfId="39" applyFont="1" applyBorder="1" applyAlignment="1">
      <alignment horizontal="center"/>
    </xf>
    <xf numFmtId="3" fontId="22" fillId="0" borderId="91" xfId="0" applyNumberFormat="1" applyFont="1" applyBorder="1" applyAlignment="1">
      <alignment horizontal="left" indent="1"/>
    </xf>
    <xf numFmtId="9" fontId="22" fillId="0" borderId="24" xfId="39" applyFont="1" applyBorder="1" applyAlignment="1">
      <alignment horizontal="center"/>
    </xf>
    <xf numFmtId="3" fontId="22" fillId="0" borderId="126" xfId="0" applyNumberFormat="1" applyFont="1" applyBorder="1" applyAlignment="1">
      <alignment horizontal="left" indent="1"/>
    </xf>
    <xf numFmtId="9" fontId="22" fillId="0" borderId="27" xfId="39" applyFont="1" applyBorder="1" applyAlignment="1">
      <alignment horizontal="center"/>
    </xf>
    <xf numFmtId="0" fontId="41" fillId="0" borderId="100" xfId="0" applyFont="1" applyBorder="1" applyAlignment="1">
      <alignment horizontal="left" indent="1"/>
    </xf>
    <xf numFmtId="0" fontId="41" fillId="0" borderId="127" xfId="0" applyFont="1" applyBorder="1" applyAlignment="1">
      <alignment horizontal="left" indent="1"/>
    </xf>
    <xf numFmtId="0" fontId="41" fillId="0" borderId="128" xfId="0" applyFont="1" applyBorder="1"/>
    <xf numFmtId="166" fontId="22" fillId="0" borderId="111" xfId="39" applyNumberFormat="1" applyFont="1" applyBorder="1" applyAlignment="1">
      <alignment horizontal="center"/>
    </xf>
    <xf numFmtId="187" fontId="22" fillId="0" borderId="111" xfId="0" applyNumberFormat="1" applyFont="1" applyBorder="1"/>
    <xf numFmtId="187" fontId="22" fillId="0" borderId="129" xfId="0" applyNumberFormat="1" applyFont="1" applyBorder="1"/>
    <xf numFmtId="166" fontId="22" fillId="0" borderId="112" xfId="39" applyNumberFormat="1" applyFont="1" applyBorder="1" applyAlignment="1">
      <alignment horizontal="center"/>
    </xf>
    <xf numFmtId="0" fontId="41" fillId="0" borderId="113" xfId="0" applyFont="1" applyBorder="1"/>
    <xf numFmtId="0" fontId="41" fillId="0" borderId="0" xfId="0" applyFont="1" applyAlignment="1">
      <alignment horizontal="left" indent="3"/>
    </xf>
    <xf numFmtId="223" fontId="50" fillId="0" borderId="0" xfId="0" applyNumberFormat="1" applyFont="1" applyAlignment="1">
      <alignment horizontal="center"/>
    </xf>
    <xf numFmtId="3" fontId="16" fillId="0" borderId="108" xfId="0" applyNumberFormat="1" applyFont="1" applyBorder="1" applyAlignment="1">
      <alignment horizontal="right"/>
    </xf>
    <xf numFmtId="0" fontId="65" fillId="0" borderId="0" xfId="0" applyFont="1"/>
    <xf numFmtId="0" fontId="22" fillId="0" borderId="130" xfId="0" applyFont="1" applyBorder="1" applyAlignment="1">
      <alignment horizontal="center"/>
    </xf>
    <xf numFmtId="0" fontId="16" fillId="0" borderId="131" xfId="0" applyFont="1" applyBorder="1" applyAlignment="1">
      <alignment horizontal="center"/>
    </xf>
    <xf numFmtId="4" fontId="32" fillId="0" borderId="29" xfId="0" applyNumberFormat="1" applyFont="1" applyBorder="1"/>
    <xf numFmtId="10" fontId="32" fillId="0" borderId="132" xfId="39" applyNumberFormat="1" applyFont="1" applyBorder="1"/>
    <xf numFmtId="3" fontId="32" fillId="0" borderId="133" xfId="0" applyNumberFormat="1" applyFont="1" applyBorder="1" applyAlignment="1" applyProtection="1">
      <alignment horizontal="right"/>
      <protection locked="0"/>
    </xf>
    <xf numFmtId="3" fontId="22" fillId="0" borderId="29" xfId="0" applyNumberFormat="1" applyFont="1" applyBorder="1" applyAlignment="1">
      <alignment horizontal="center"/>
    </xf>
    <xf numFmtId="4" fontId="22" fillId="0" borderId="11" xfId="0" applyNumberFormat="1" applyFont="1" applyBorder="1" applyAlignment="1">
      <alignment horizontal="center"/>
    </xf>
    <xf numFmtId="3" fontId="22" fillId="0" borderId="19" xfId="0" applyNumberFormat="1" applyFont="1" applyBorder="1" applyAlignment="1">
      <alignment horizontal="center"/>
    </xf>
    <xf numFmtId="166" fontId="67" fillId="0" borderId="29" xfId="39" applyNumberFormat="1" applyFont="1" applyBorder="1" applyAlignment="1">
      <alignment horizontal="center"/>
    </xf>
    <xf numFmtId="166" fontId="22" fillId="0" borderId="11" xfId="39" applyNumberFormat="1" applyFont="1" applyBorder="1" applyAlignment="1">
      <alignment horizontal="center"/>
    </xf>
    <xf numFmtId="207" fontId="32" fillId="0" borderId="132" xfId="39" applyNumberFormat="1" applyFont="1" applyBorder="1"/>
    <xf numFmtId="201" fontId="32" fillId="18" borderId="19" xfId="0" applyNumberFormat="1" applyFont="1" applyFill="1" applyBorder="1"/>
    <xf numFmtId="166" fontId="32" fillId="18" borderId="11" xfId="39" applyNumberFormat="1" applyFont="1" applyFill="1" applyBorder="1"/>
    <xf numFmtId="0" fontId="32" fillId="0" borderId="87" xfId="0" applyFont="1" applyBorder="1" applyAlignment="1">
      <alignment horizontal="right"/>
    </xf>
    <xf numFmtId="3" fontId="22" fillId="0" borderId="11" xfId="0" applyNumberFormat="1" applyFont="1" applyBorder="1" applyAlignment="1" applyProtection="1">
      <alignment horizontal="center"/>
      <protection locked="0"/>
    </xf>
    <xf numFmtId="201" fontId="32" fillId="18" borderId="11" xfId="0" applyNumberFormat="1" applyFont="1" applyFill="1" applyBorder="1"/>
    <xf numFmtId="3" fontId="32" fillId="0" borderId="29" xfId="0" applyNumberFormat="1" applyFont="1" applyBorder="1"/>
    <xf numFmtId="3" fontId="32" fillId="0" borderId="133" xfId="0" applyNumberFormat="1" applyFont="1" applyBorder="1" applyAlignment="1" applyProtection="1">
      <alignment horizontal="left" indent="2"/>
      <protection locked="0"/>
    </xf>
    <xf numFmtId="206" fontId="32" fillId="18" borderId="11" xfId="0" applyNumberFormat="1" applyFont="1" applyFill="1" applyBorder="1"/>
    <xf numFmtId="4" fontId="32" fillId="0" borderId="37" xfId="0" applyNumberFormat="1" applyFont="1" applyBorder="1"/>
    <xf numFmtId="3" fontId="22" fillId="0" borderId="134" xfId="0" applyNumberFormat="1" applyFont="1" applyBorder="1" applyAlignment="1">
      <alignment horizontal="right"/>
    </xf>
    <xf numFmtId="4" fontId="32" fillId="0" borderId="15" xfId="0" applyNumberFormat="1" applyFont="1" applyBorder="1"/>
    <xf numFmtId="3" fontId="22" fillId="0" borderId="11" xfId="0" applyNumberFormat="1" applyFont="1" applyBorder="1"/>
    <xf numFmtId="3" fontId="22" fillId="0" borderId="44" xfId="0" applyNumberFormat="1" applyFont="1" applyBorder="1"/>
    <xf numFmtId="201" fontId="22" fillId="0" borderId="44" xfId="0" applyNumberFormat="1" applyFont="1" applyBorder="1"/>
    <xf numFmtId="207" fontId="22" fillId="0" borderId="132" xfId="39" applyNumberFormat="1" applyFont="1" applyBorder="1"/>
    <xf numFmtId="207" fontId="32" fillId="0" borderId="77" xfId="39" applyNumberFormat="1" applyFont="1" applyBorder="1"/>
    <xf numFmtId="3" fontId="16" fillId="0" borderId="135" xfId="0" applyNumberFormat="1" applyFont="1" applyBorder="1" applyAlignment="1">
      <alignment horizontal="center"/>
    </xf>
    <xf numFmtId="207" fontId="22" fillId="0" borderId="57" xfId="0" applyNumberFormat="1" applyFont="1" applyBorder="1" applyAlignment="1">
      <alignment horizontal="center"/>
    </xf>
    <xf numFmtId="3" fontId="32" fillId="0" borderId="133" xfId="0" applyNumberFormat="1" applyFont="1" applyBorder="1" applyAlignment="1">
      <alignment horizontal="left" indent="1"/>
    </xf>
    <xf numFmtId="3" fontId="22" fillId="0" borderId="136" xfId="0" applyNumberFormat="1" applyFont="1" applyBorder="1" applyAlignment="1">
      <alignment horizontal="right"/>
    </xf>
    <xf numFmtId="4" fontId="32" fillId="0" borderId="87" xfId="0" applyNumberFormat="1" applyFont="1" applyBorder="1" applyProtection="1">
      <protection locked="0"/>
    </xf>
    <xf numFmtId="3" fontId="32" fillId="0" borderId="14" xfId="0" applyNumberFormat="1" applyFont="1" applyBorder="1"/>
    <xf numFmtId="3" fontId="32" fillId="0" borderId="20" xfId="0" applyNumberFormat="1" applyFont="1" applyBorder="1"/>
    <xf numFmtId="207" fontId="32" fillId="0" borderId="137" xfId="39" applyNumberFormat="1" applyFont="1" applyBorder="1"/>
    <xf numFmtId="0" fontId="16" fillId="0" borderId="138" xfId="0" applyFont="1" applyBorder="1" applyAlignment="1">
      <alignment horizontal="right"/>
    </xf>
    <xf numFmtId="3" fontId="22" fillId="0" borderId="139" xfId="0" applyNumberFormat="1" applyFont="1" applyBorder="1"/>
    <xf numFmtId="201" fontId="22" fillId="0" borderId="139" xfId="0" applyNumberFormat="1" applyFont="1" applyBorder="1"/>
    <xf numFmtId="207" fontId="22" fillId="0" borderId="113" xfId="39" applyNumberFormat="1" applyFont="1" applyBorder="1"/>
    <xf numFmtId="201" fontId="41" fillId="0" borderId="0" xfId="0" applyNumberFormat="1" applyFont="1"/>
    <xf numFmtId="3" fontId="32" fillId="0" borderId="140" xfId="0" applyNumberFormat="1" applyFont="1" applyBorder="1" applyAlignment="1">
      <alignment horizontal="center"/>
    </xf>
    <xf numFmtId="9" fontId="32" fillId="18" borderId="141" xfId="0" applyNumberFormat="1" applyFont="1" applyFill="1" applyBorder="1" applyAlignment="1">
      <alignment horizontal="center"/>
    </xf>
    <xf numFmtId="3" fontId="32" fillId="0" borderId="141" xfId="0" applyNumberFormat="1" applyFont="1" applyBorder="1"/>
    <xf numFmtId="201" fontId="32" fillId="0" borderId="141" xfId="0" applyNumberFormat="1" applyFont="1" applyBorder="1"/>
    <xf numFmtId="201" fontId="22" fillId="0" borderId="142" xfId="0" applyNumberFormat="1" applyFont="1" applyBorder="1"/>
    <xf numFmtId="3" fontId="56" fillId="0" borderId="11" xfId="0" applyNumberFormat="1" applyFont="1" applyBorder="1" applyAlignment="1">
      <alignment horizontal="center"/>
    </xf>
    <xf numFmtId="3" fontId="52" fillId="0" borderId="0" xfId="0" applyNumberFormat="1" applyFont="1" applyAlignment="1">
      <alignment horizontal="center"/>
    </xf>
    <xf numFmtId="9" fontId="22" fillId="0" borderId="0" xfId="0" applyNumberFormat="1" applyFont="1"/>
    <xf numFmtId="3" fontId="67" fillId="0" borderId="0" xfId="0" applyNumberFormat="1" applyFont="1"/>
    <xf numFmtId="3" fontId="56" fillId="0" borderId="0" xfId="0" applyNumberFormat="1" applyFont="1" applyAlignment="1">
      <alignment horizontal="left"/>
    </xf>
    <xf numFmtId="3" fontId="56" fillId="0" borderId="0" xfId="0" applyNumberFormat="1" applyFont="1"/>
    <xf numFmtId="3" fontId="56" fillId="0" borderId="29" xfId="0" applyNumberFormat="1" applyFont="1" applyBorder="1" applyAlignment="1">
      <alignment horizontal="center"/>
    </xf>
    <xf numFmtId="3" fontId="56" fillId="0" borderId="0" xfId="0" applyNumberFormat="1" applyFont="1" applyAlignment="1">
      <alignment horizontal="center"/>
    </xf>
    <xf numFmtId="3" fontId="41" fillId="0" borderId="22" xfId="0" applyNumberFormat="1" applyFont="1" applyBorder="1" applyAlignment="1">
      <alignment horizontal="left" indent="1"/>
    </xf>
    <xf numFmtId="3" fontId="41" fillId="0" borderId="24" xfId="0" applyNumberFormat="1" applyFont="1" applyBorder="1" applyAlignment="1">
      <alignment horizontal="left" indent="1"/>
    </xf>
    <xf numFmtId="3" fontId="41" fillId="0" borderId="143" xfId="0" applyNumberFormat="1" applyFont="1" applyBorder="1" applyAlignment="1">
      <alignment horizontal="left" indent="1"/>
    </xf>
    <xf numFmtId="201" fontId="56" fillId="0" borderId="11" xfId="0" applyNumberFormat="1" applyFont="1" applyBorder="1"/>
    <xf numFmtId="3" fontId="61" fillId="0" borderId="0" xfId="0" applyNumberFormat="1" applyFont="1" applyAlignment="1">
      <alignment horizontal="right"/>
    </xf>
    <xf numFmtId="3" fontId="32" fillId="0" borderId="0" xfId="0" applyNumberFormat="1" applyFont="1" applyAlignment="1">
      <alignment horizontal="center"/>
    </xf>
    <xf numFmtId="3" fontId="56" fillId="0" borderId="11" xfId="0" applyNumberFormat="1" applyFont="1" applyBorder="1" applyAlignment="1">
      <alignment horizontal="center" wrapText="1"/>
    </xf>
    <xf numFmtId="3" fontId="22" fillId="0" borderId="22" xfId="0" applyNumberFormat="1" applyFont="1" applyBorder="1" applyAlignment="1">
      <alignment horizontal="right" indent="1"/>
    </xf>
    <xf numFmtId="171" fontId="22" fillId="0" borderId="24" xfId="0" applyNumberFormat="1" applyFont="1" applyBorder="1" applyAlignment="1">
      <alignment horizontal="right" indent="1"/>
    </xf>
    <xf numFmtId="3" fontId="56" fillId="0" borderId="27" xfId="0" applyNumberFormat="1" applyFont="1" applyBorder="1" applyAlignment="1">
      <alignment horizontal="center"/>
    </xf>
    <xf numFmtId="201" fontId="56" fillId="0" borderId="21" xfId="0" applyNumberFormat="1" applyFont="1" applyBorder="1"/>
    <xf numFmtId="9" fontId="56" fillId="0" borderId="0" xfId="39" applyFont="1" applyAlignment="1">
      <alignment horizontal="center"/>
    </xf>
    <xf numFmtId="3" fontId="67" fillId="0" borderId="17" xfId="0" applyNumberFormat="1" applyFont="1" applyBorder="1"/>
    <xf numFmtId="3" fontId="67" fillId="0" borderId="38" xfId="0" applyNumberFormat="1" applyFont="1" applyBorder="1"/>
    <xf numFmtId="3" fontId="32" fillId="0" borderId="38" xfId="0" applyNumberFormat="1" applyFont="1" applyBorder="1" applyAlignment="1">
      <alignment horizontal="right"/>
    </xf>
    <xf numFmtId="201" fontId="67" fillId="0" borderId="29" xfId="0" applyNumberFormat="1" applyFont="1" applyBorder="1"/>
    <xf numFmtId="3" fontId="16" fillId="0" borderId="143" xfId="0" applyNumberFormat="1" applyFont="1" applyBorder="1" applyAlignment="1">
      <alignment horizontal="center"/>
    </xf>
    <xf numFmtId="3" fontId="22" fillId="0" borderId="27" xfId="0" applyNumberFormat="1" applyFont="1" applyBorder="1" applyAlignment="1">
      <alignment horizontal="center"/>
    </xf>
    <xf numFmtId="222" fontId="50" fillId="0" borderId="0" xfId="0" applyNumberFormat="1" applyFont="1" applyAlignment="1">
      <alignment horizontal="center"/>
    </xf>
    <xf numFmtId="1" fontId="32" fillId="0" borderId="0" xfId="0" applyNumberFormat="1" applyFont="1" applyAlignment="1">
      <alignment horizontal="center"/>
    </xf>
    <xf numFmtId="3" fontId="56" fillId="0" borderId="0" xfId="0" applyNumberFormat="1" applyFont="1" applyAlignment="1" applyProtection="1">
      <alignment horizontal="left"/>
      <protection locked="0"/>
    </xf>
    <xf numFmtId="3" fontId="56" fillId="0" borderId="11" xfId="0" applyNumberFormat="1" applyFont="1" applyBorder="1" applyAlignment="1">
      <alignment horizontal="center" vertical="center"/>
    </xf>
    <xf numFmtId="3" fontId="56" fillId="0" borderId="0" xfId="0" applyNumberFormat="1" applyFont="1" applyAlignment="1">
      <alignment horizontal="center" vertical="center"/>
    </xf>
    <xf numFmtId="3" fontId="67" fillId="0" borderId="22" xfId="0" applyNumberFormat="1" applyFont="1" applyBorder="1" applyAlignment="1">
      <alignment horizontal="left" indent="1"/>
    </xf>
    <xf numFmtId="201" fontId="67" fillId="0" borderId="16" xfId="0" applyNumberFormat="1" applyFont="1" applyBorder="1"/>
    <xf numFmtId="201" fontId="56" fillId="0" borderId="16" xfId="0" applyNumberFormat="1" applyFont="1" applyBorder="1"/>
    <xf numFmtId="3" fontId="67" fillId="0" borderId="16" xfId="0" applyNumberFormat="1" applyFont="1" applyBorder="1" applyAlignment="1">
      <alignment horizontal="left" indent="1"/>
    </xf>
    <xf numFmtId="216" fontId="67" fillId="0" borderId="16" xfId="0" applyNumberFormat="1" applyFont="1" applyBorder="1" applyProtection="1">
      <protection locked="0"/>
    </xf>
    <xf numFmtId="216" fontId="56" fillId="0" borderId="16" xfId="0" applyNumberFormat="1" applyFont="1" applyBorder="1"/>
    <xf numFmtId="3" fontId="56" fillId="0" borderId="16" xfId="0" applyNumberFormat="1" applyFont="1" applyBorder="1" applyAlignment="1">
      <alignment horizontal="center"/>
    </xf>
    <xf numFmtId="3" fontId="56" fillId="0" borderId="16" xfId="0" applyNumberFormat="1" applyFont="1" applyBorder="1" applyAlignment="1">
      <alignment horizontal="left" indent="1"/>
    </xf>
    <xf numFmtId="3" fontId="67" fillId="0" borderId="24" xfId="0" applyNumberFormat="1" applyFont="1" applyBorder="1" applyAlignment="1">
      <alignment horizontal="left" indent="1"/>
    </xf>
    <xf numFmtId="3" fontId="56" fillId="0" borderId="24" xfId="0" applyNumberFormat="1" applyFont="1" applyBorder="1" applyAlignment="1">
      <alignment horizontal="left" indent="1"/>
    </xf>
    <xf numFmtId="3" fontId="56" fillId="0" borderId="24" xfId="0" applyNumberFormat="1" applyFont="1" applyBorder="1"/>
    <xf numFmtId="3" fontId="56" fillId="0" borderId="16" xfId="0" applyNumberFormat="1" applyFont="1" applyBorder="1"/>
    <xf numFmtId="168" fontId="56" fillId="0" borderId="16" xfId="0" applyNumberFormat="1" applyFont="1" applyBorder="1"/>
    <xf numFmtId="3" fontId="56" fillId="0" borderId="27" xfId="0" applyNumberFormat="1" applyFont="1" applyBorder="1" applyAlignment="1">
      <alignment horizontal="left" indent="1"/>
    </xf>
    <xf numFmtId="216" fontId="56" fillId="0" borderId="21" xfId="0" applyNumberFormat="1" applyFont="1" applyBorder="1"/>
    <xf numFmtId="3" fontId="50" fillId="0" borderId="0" xfId="0" applyNumberFormat="1" applyFont="1" applyAlignment="1" applyProtection="1">
      <alignment horizontal="left"/>
      <protection locked="0"/>
    </xf>
    <xf numFmtId="1" fontId="50" fillId="0" borderId="0" xfId="0" applyNumberFormat="1" applyFont="1"/>
    <xf numFmtId="3" fontId="22" fillId="0" borderId="132" xfId="0" applyNumberFormat="1" applyFont="1" applyBorder="1" applyAlignment="1">
      <alignment horizontal="centerContinuous"/>
    </xf>
    <xf numFmtId="3" fontId="22" fillId="0" borderId="63" xfId="0" applyNumberFormat="1" applyFont="1" applyBorder="1" applyAlignment="1">
      <alignment horizontal="center"/>
    </xf>
    <xf numFmtId="3" fontId="22" fillId="0" borderId="50" xfId="0" applyNumberFormat="1" applyFont="1" applyBorder="1" applyAlignment="1">
      <alignment horizontal="center"/>
    </xf>
    <xf numFmtId="3" fontId="22" fillId="0" borderId="44" xfId="0" applyNumberFormat="1" applyFont="1" applyBorder="1" applyAlignment="1">
      <alignment horizontal="center"/>
    </xf>
    <xf numFmtId="3" fontId="61" fillId="0" borderId="26" xfId="0" applyNumberFormat="1" applyFont="1" applyBorder="1" applyAlignment="1">
      <alignment horizontal="left" indent="1"/>
    </xf>
    <xf numFmtId="3" fontId="61" fillId="0" borderId="144" xfId="0" applyNumberFormat="1" applyFont="1" applyBorder="1" applyAlignment="1">
      <alignment horizontal="left" indent="1"/>
    </xf>
    <xf numFmtId="3" fontId="22" fillId="0" borderId="17" xfId="0" applyNumberFormat="1" applyFont="1" applyBorder="1" applyAlignment="1">
      <alignment horizontal="center"/>
    </xf>
    <xf numFmtId="3" fontId="41" fillId="0" borderId="145" xfId="0" applyNumberFormat="1" applyFont="1" applyBorder="1" applyAlignment="1">
      <alignment horizontal="left" indent="1"/>
    </xf>
    <xf numFmtId="10" fontId="32" fillId="0" borderId="146" xfId="39" applyNumberFormat="1" applyFont="1" applyBorder="1"/>
    <xf numFmtId="10" fontId="32" fillId="0" borderId="51" xfId="39" applyNumberFormat="1" applyFont="1" applyBorder="1"/>
    <xf numFmtId="10" fontId="32" fillId="0" borderId="39" xfId="39" applyNumberFormat="1" applyFont="1" applyBorder="1"/>
    <xf numFmtId="9" fontId="32" fillId="0" borderId="22" xfId="39" applyFont="1" applyBorder="1"/>
    <xf numFmtId="3" fontId="41" fillId="0" borderId="105" xfId="0" applyNumberFormat="1" applyFont="1" applyBorder="1" applyAlignment="1">
      <alignment horizontal="left" indent="1"/>
    </xf>
    <xf numFmtId="10" fontId="32" fillId="0" borderId="104" xfId="39" applyNumberFormat="1" applyFont="1" applyBorder="1"/>
    <xf numFmtId="10" fontId="32" fillId="0" borderId="52" xfId="39" applyNumberFormat="1" applyFont="1" applyBorder="1"/>
    <xf numFmtId="10" fontId="32" fillId="0" borderId="47" xfId="39" applyNumberFormat="1" applyFont="1" applyBorder="1"/>
    <xf numFmtId="9" fontId="32" fillId="0" borderId="24" xfId="39" applyFont="1" applyBorder="1"/>
    <xf numFmtId="3" fontId="41" fillId="0" borderId="107" xfId="0" applyNumberFormat="1" applyFont="1" applyBorder="1" applyAlignment="1">
      <alignment horizontal="left" indent="1"/>
    </xf>
    <xf numFmtId="10" fontId="32" fillId="0" borderId="147" xfId="39" applyNumberFormat="1" applyFont="1" applyBorder="1"/>
    <xf numFmtId="10" fontId="32" fillId="0" borderId="53" xfId="39" applyNumberFormat="1" applyFont="1" applyBorder="1"/>
    <xf numFmtId="10" fontId="32" fillId="0" borderId="41" xfId="39" applyNumberFormat="1" applyFont="1" applyBorder="1"/>
    <xf numFmtId="9" fontId="32" fillId="0" borderId="27" xfId="39" applyFont="1" applyBorder="1"/>
    <xf numFmtId="3" fontId="22" fillId="0" borderId="132" xfId="0" applyNumberFormat="1" applyFont="1" applyBorder="1" applyAlignment="1">
      <alignment horizontal="right"/>
    </xf>
    <xf numFmtId="10" fontId="32" fillId="0" borderId="38" xfId="0" applyNumberFormat="1" applyFont="1" applyBorder="1"/>
    <xf numFmtId="10" fontId="32" fillId="0" borderId="70" xfId="0" applyNumberFormat="1" applyFont="1" applyBorder="1"/>
    <xf numFmtId="166" fontId="22" fillId="0" borderId="44" xfId="0" applyNumberFormat="1" applyFont="1" applyBorder="1"/>
    <xf numFmtId="3" fontId="22" fillId="0" borderId="17" xfId="0" applyNumberFormat="1" applyFont="1" applyBorder="1" applyAlignment="1">
      <alignment horizontal="centerContinuous"/>
    </xf>
    <xf numFmtId="3" fontId="22" fillId="0" borderId="36" xfId="0" applyNumberFormat="1" applyFont="1" applyBorder="1" applyAlignment="1">
      <alignment horizontal="right"/>
    </xf>
    <xf numFmtId="3" fontId="22" fillId="0" borderId="11" xfId="0" applyNumberFormat="1" applyFont="1" applyBorder="1" applyAlignment="1">
      <alignment horizontal="center"/>
    </xf>
    <xf numFmtId="3" fontId="22" fillId="0" borderId="132" xfId="0" applyNumberFormat="1" applyFont="1" applyBorder="1"/>
    <xf numFmtId="0" fontId="68" fillId="0" borderId="0" xfId="0" applyFont="1" applyAlignment="1">
      <alignment horizontal="centerContinuous"/>
    </xf>
    <xf numFmtId="0" fontId="52" fillId="0" borderId="0" xfId="0" applyFont="1" applyAlignment="1">
      <alignment horizontal="center"/>
    </xf>
    <xf numFmtId="0" fontId="50" fillId="0" borderId="37" xfId="0" applyFont="1" applyBorder="1" applyAlignment="1">
      <alignment horizontal="center"/>
    </xf>
    <xf numFmtId="0" fontId="17" fillId="0" borderId="18" xfId="0" applyFont="1" applyBorder="1" applyAlignment="1">
      <alignment horizontal="left" indent="1"/>
    </xf>
    <xf numFmtId="164" fontId="17" fillId="0" borderId="14" xfId="0" applyNumberFormat="1" applyFont="1" applyBorder="1"/>
    <xf numFmtId="184" fontId="17" fillId="0" borderId="14" xfId="34" applyNumberFormat="1" applyFont="1" applyBorder="1"/>
    <xf numFmtId="0" fontId="41" fillId="0" borderId="18" xfId="0" applyFont="1" applyBorder="1" applyAlignment="1">
      <alignment horizontal="left" indent="1"/>
    </xf>
    <xf numFmtId="169" fontId="41" fillId="0" borderId="14" xfId="34" applyNumberFormat="1" applyFont="1" applyBorder="1"/>
    <xf numFmtId="164" fontId="41" fillId="0" borderId="14" xfId="0" applyNumberFormat="1" applyFont="1" applyBorder="1"/>
    <xf numFmtId="190" fontId="41" fillId="0" borderId="14" xfId="34" applyNumberFormat="1" applyFont="1" applyBorder="1"/>
    <xf numFmtId="184" fontId="41" fillId="0" borderId="14" xfId="34" applyNumberFormat="1" applyFont="1" applyBorder="1"/>
    <xf numFmtId="183" fontId="41" fillId="0" borderId="14" xfId="34" applyNumberFormat="1" applyFont="1" applyBorder="1"/>
    <xf numFmtId="0" fontId="16" fillId="0" borderId="18" xfId="0" applyFont="1" applyBorder="1" applyAlignment="1">
      <alignment horizontal="left" indent="1"/>
    </xf>
    <xf numFmtId="164" fontId="16" fillId="0" borderId="14" xfId="34" applyFont="1" applyBorder="1"/>
    <xf numFmtId="0" fontId="41" fillId="0" borderId="0" xfId="0" quotePrefix="1" applyFont="1"/>
    <xf numFmtId="0" fontId="17" fillId="0" borderId="10" xfId="0" applyFont="1" applyBorder="1"/>
    <xf numFmtId="169" fontId="17" fillId="0" borderId="15" xfId="34" applyNumberFormat="1" applyFont="1" applyBorder="1"/>
    <xf numFmtId="164" fontId="46" fillId="0" borderId="0" xfId="0" applyNumberFormat="1" applyFont="1"/>
    <xf numFmtId="3" fontId="33" fillId="0" borderId="0" xfId="0" applyNumberFormat="1" applyFont="1" applyAlignment="1">
      <alignment horizontal="center"/>
    </xf>
    <xf numFmtId="172" fontId="56" fillId="0" borderId="29" xfId="0" applyNumberFormat="1" applyFont="1" applyBorder="1" applyAlignment="1">
      <alignment horizontal="center"/>
    </xf>
    <xf numFmtId="182" fontId="32" fillId="18" borderId="16" xfId="39" applyNumberFormat="1" applyFont="1" applyFill="1" applyBorder="1" applyAlignment="1" applyProtection="1">
      <alignment horizontal="center"/>
      <protection locked="0"/>
    </xf>
    <xf numFmtId="3" fontId="41" fillId="0" borderId="27" xfId="0" applyNumberFormat="1" applyFont="1" applyBorder="1" applyAlignment="1">
      <alignment horizontal="left" indent="1"/>
    </xf>
    <xf numFmtId="182" fontId="32" fillId="18" borderId="21" xfId="39" applyNumberFormat="1" applyFont="1" applyFill="1" applyBorder="1" applyAlignment="1" applyProtection="1">
      <alignment horizontal="center"/>
      <protection locked="0"/>
    </xf>
    <xf numFmtId="3" fontId="16" fillId="0" borderId="11" xfId="0" applyNumberFormat="1" applyFont="1" applyBorder="1" applyAlignment="1">
      <alignment horizontal="left" vertical="center"/>
    </xf>
    <xf numFmtId="3" fontId="56" fillId="0" borderId="30" xfId="0" applyNumberFormat="1" applyFont="1" applyBorder="1" applyAlignment="1">
      <alignment horizontal="center" vertical="center" wrapText="1"/>
    </xf>
    <xf numFmtId="172" fontId="56" fillId="0" borderId="29" xfId="0" applyNumberFormat="1" applyFont="1" applyBorder="1" applyAlignment="1">
      <alignment horizontal="center" vertical="center" wrapText="1"/>
    </xf>
    <xf numFmtId="3" fontId="22" fillId="0" borderId="148" xfId="39" applyNumberFormat="1" applyFont="1" applyBorder="1" applyAlignment="1">
      <alignment horizontal="center"/>
    </xf>
    <xf numFmtId="185" fontId="32" fillId="18" borderId="149" xfId="39" applyNumberFormat="1" applyFont="1" applyFill="1" applyBorder="1" applyAlignment="1" applyProtection="1">
      <alignment horizontal="center"/>
      <protection locked="0"/>
    </xf>
    <xf numFmtId="185" fontId="32" fillId="18" borderId="11" xfId="39" applyNumberFormat="1" applyFont="1" applyFill="1" applyBorder="1" applyAlignment="1" applyProtection="1">
      <alignment horizontal="center"/>
      <protection locked="0"/>
    </xf>
    <xf numFmtId="3" fontId="63" fillId="0" borderId="0" xfId="0" applyNumberFormat="1" applyFont="1"/>
    <xf numFmtId="223" fontId="50" fillId="0" borderId="0" xfId="0" applyNumberFormat="1" applyFont="1"/>
    <xf numFmtId="225" fontId="41" fillId="0" borderId="0" xfId="0" applyNumberFormat="1" applyFont="1"/>
    <xf numFmtId="0" fontId="41" fillId="0" borderId="18" xfId="0" applyFont="1" applyBorder="1" applyAlignment="1">
      <alignment horizontal="left" indent="3"/>
    </xf>
    <xf numFmtId="0" fontId="152" fillId="33" borderId="0" xfId="36" applyFont="1" applyFill="1"/>
    <xf numFmtId="4" fontId="151" fillId="33" borderId="11" xfId="36" applyNumberFormat="1" applyFont="1" applyFill="1" applyBorder="1" applyProtection="1">
      <protection locked="0"/>
    </xf>
    <xf numFmtId="4" fontId="151" fillId="33" borderId="38" xfId="36" applyNumberFormat="1" applyFont="1" applyFill="1" applyBorder="1" applyProtection="1">
      <protection locked="0"/>
    </xf>
    <xf numFmtId="4" fontId="151" fillId="33" borderId="20" xfId="36" applyNumberFormat="1" applyFont="1" applyFill="1" applyBorder="1" applyProtection="1">
      <protection locked="0"/>
    </xf>
    <xf numFmtId="4" fontId="151" fillId="33" borderId="0" xfId="36" applyNumberFormat="1" applyFont="1" applyFill="1" applyProtection="1">
      <protection locked="0"/>
    </xf>
    <xf numFmtId="4" fontId="152" fillId="33" borderId="0" xfId="36" applyNumberFormat="1" applyFont="1" applyFill="1" applyProtection="1">
      <protection locked="0"/>
    </xf>
    <xf numFmtId="4" fontId="152" fillId="33" borderId="20" xfId="36" applyNumberFormat="1" applyFont="1" applyFill="1" applyBorder="1" applyProtection="1">
      <protection locked="0"/>
    </xf>
    <xf numFmtId="4" fontId="152" fillId="33" borderId="14" xfId="36" applyNumberFormat="1" applyFont="1" applyFill="1" applyBorder="1" applyProtection="1">
      <protection locked="0"/>
    </xf>
    <xf numFmtId="230" fontId="32" fillId="0" borderId="51" xfId="0" applyNumberFormat="1" applyFont="1" applyBorder="1"/>
    <xf numFmtId="230" fontId="22" fillId="0" borderId="145" xfId="0" applyNumberFormat="1" applyFont="1" applyBorder="1"/>
    <xf numFmtId="230" fontId="32" fillId="0" borderId="52" xfId="0" applyNumberFormat="1" applyFont="1" applyBorder="1"/>
    <xf numFmtId="230" fontId="22" fillId="0" borderId="105" xfId="0" applyNumberFormat="1" applyFont="1" applyBorder="1"/>
    <xf numFmtId="230" fontId="32" fillId="0" borderId="53" xfId="0" applyNumberFormat="1" applyFont="1" applyBorder="1"/>
    <xf numFmtId="230" fontId="22" fillId="0" borderId="150" xfId="0" applyNumberFormat="1" applyFont="1" applyBorder="1"/>
    <xf numFmtId="209" fontId="22" fillId="0" borderId="151" xfId="0" applyNumberFormat="1" applyFont="1" applyBorder="1"/>
    <xf numFmtId="209" fontId="22" fillId="0" borderId="73" xfId="0" applyNumberFormat="1" applyFont="1" applyBorder="1"/>
    <xf numFmtId="209" fontId="22" fillId="0" borderId="79" xfId="0" applyNumberFormat="1" applyFont="1" applyBorder="1"/>
    <xf numFmtId="209" fontId="22" fillId="0" borderId="80" xfId="0" applyNumberFormat="1" applyFont="1" applyBorder="1"/>
    <xf numFmtId="209" fontId="22" fillId="0" borderId="152" xfId="0" applyNumberFormat="1" applyFont="1" applyBorder="1"/>
    <xf numFmtId="209" fontId="22" fillId="0" borderId="17" xfId="0" applyNumberFormat="1" applyFont="1" applyBorder="1"/>
    <xf numFmtId="209" fontId="22" fillId="0" borderId="50" xfId="0" applyNumberFormat="1" applyFont="1" applyBorder="1"/>
    <xf numFmtId="209" fontId="22" fillId="0" borderId="70" xfId="0" applyNumberFormat="1" applyFont="1" applyBorder="1"/>
    <xf numFmtId="209" fontId="22" fillId="0" borderId="132" xfId="0" applyNumberFormat="1" applyFont="1" applyBorder="1"/>
    <xf numFmtId="209" fontId="22" fillId="0" borderId="34" xfId="0" applyNumberFormat="1" applyFont="1" applyBorder="1"/>
    <xf numFmtId="209" fontId="22" fillId="0" borderId="66" xfId="0" applyNumberFormat="1" applyFont="1" applyBorder="1"/>
    <xf numFmtId="209" fontId="22" fillId="0" borderId="68" xfId="0" applyNumberFormat="1" applyFont="1" applyBorder="1"/>
    <xf numFmtId="231" fontId="41" fillId="0" borderId="66" xfId="0" applyNumberFormat="1" applyFont="1" applyBorder="1"/>
    <xf numFmtId="231" fontId="41" fillId="0" borderId="117" xfId="0" applyNumberFormat="1" applyFont="1" applyBorder="1"/>
    <xf numFmtId="231" fontId="32" fillId="0" borderId="52" xfId="0" applyNumberFormat="1" applyFont="1" applyBorder="1"/>
    <xf numFmtId="231" fontId="22" fillId="0" borderId="52" xfId="0" applyNumberFormat="1" applyFont="1" applyBorder="1"/>
    <xf numFmtId="231" fontId="32" fillId="0" borderId="51" xfId="0" applyNumberFormat="1" applyFont="1" applyBorder="1"/>
    <xf numFmtId="231" fontId="32" fillId="0" borderId="47" xfId="0" applyNumberFormat="1" applyFont="1" applyBorder="1"/>
    <xf numFmtId="231" fontId="32" fillId="0" borderId="53" xfId="0" applyNumberFormat="1" applyFont="1" applyBorder="1"/>
    <xf numFmtId="231" fontId="32" fillId="0" borderId="79" xfId="0" applyNumberFormat="1" applyFont="1" applyBorder="1"/>
    <xf numFmtId="231" fontId="32" fillId="0" borderId="48" xfId="0" applyNumberFormat="1" applyFont="1" applyBorder="1"/>
    <xf numFmtId="166" fontId="41" fillId="0" borderId="0" xfId="39" applyNumberFormat="1" applyFont="1"/>
    <xf numFmtId="230" fontId="32" fillId="0" borderId="11" xfId="0" applyNumberFormat="1" applyFont="1" applyBorder="1" applyProtection="1">
      <protection locked="0"/>
    </xf>
    <xf numFmtId="230" fontId="67" fillId="0" borderId="16" xfId="0" applyNumberFormat="1" applyFont="1" applyBorder="1"/>
    <xf numFmtId="230" fontId="56" fillId="0" borderId="16" xfId="0" applyNumberFormat="1" applyFont="1" applyBorder="1"/>
    <xf numFmtId="230" fontId="67" fillId="0" borderId="20" xfId="0" applyNumberFormat="1" applyFont="1" applyBorder="1"/>
    <xf numFmtId="230" fontId="67" fillId="18" borderId="16" xfId="0" applyNumberFormat="1" applyFont="1" applyFill="1" applyBorder="1"/>
    <xf numFmtId="232" fontId="56" fillId="0" borderId="16" xfId="0" applyNumberFormat="1" applyFont="1" applyBorder="1"/>
    <xf numFmtId="230" fontId="56" fillId="0" borderId="21" xfId="0" applyNumberFormat="1" applyFont="1" applyBorder="1"/>
    <xf numFmtId="230" fontId="22" fillId="0" borderId="22" xfId="0" applyNumberFormat="1" applyFont="1" applyBorder="1"/>
    <xf numFmtId="230" fontId="22" fillId="0" borderId="24" xfId="0" applyNumberFormat="1" applyFont="1" applyBorder="1"/>
    <xf numFmtId="230" fontId="22" fillId="0" borderId="27" xfId="0" applyNumberFormat="1" applyFont="1" applyBorder="1"/>
    <xf numFmtId="230" fontId="22" fillId="0" borderId="143" xfId="0" applyNumberFormat="1" applyFont="1" applyBorder="1"/>
    <xf numFmtId="230" fontId="32" fillId="0" borderId="50" xfId="0" applyNumberFormat="1" applyFont="1" applyBorder="1"/>
    <xf numFmtId="230" fontId="32" fillId="0" borderId="44" xfId="0" applyNumberFormat="1" applyFont="1" applyBorder="1"/>
    <xf numFmtId="230" fontId="22" fillId="0" borderId="11" xfId="0" applyNumberFormat="1" applyFont="1" applyBorder="1"/>
    <xf numFmtId="230" fontId="32" fillId="0" borderId="62" xfId="0" applyNumberFormat="1" applyFont="1" applyBorder="1"/>
    <xf numFmtId="230" fontId="32" fillId="0" borderId="39" xfId="0" applyNumberFormat="1" applyFont="1" applyBorder="1"/>
    <xf numFmtId="230" fontId="32" fillId="0" borderId="49" xfId="0" applyNumberFormat="1" applyFont="1" applyBorder="1"/>
    <xf numFmtId="230" fontId="32" fillId="0" borderId="47" xfId="0" applyNumberFormat="1" applyFont="1" applyBorder="1"/>
    <xf numFmtId="230" fontId="32" fillId="0" borderId="69" xfId="0" applyNumberFormat="1" applyFont="1" applyBorder="1"/>
    <xf numFmtId="230" fontId="32" fillId="0" borderId="41" xfId="0" applyNumberFormat="1" applyFont="1" applyBorder="1"/>
    <xf numFmtId="230" fontId="32" fillId="0" borderId="38" xfId="0" applyNumberFormat="1" applyFont="1" applyBorder="1"/>
    <xf numFmtId="230" fontId="32" fillId="0" borderId="17" xfId="0" applyNumberFormat="1" applyFont="1" applyBorder="1"/>
    <xf numFmtId="230" fontId="32" fillId="0" borderId="40" xfId="0" applyNumberFormat="1" applyFont="1" applyBorder="1"/>
    <xf numFmtId="230" fontId="32" fillId="0" borderId="46" xfId="0" applyNumberFormat="1" applyFont="1" applyBorder="1"/>
    <xf numFmtId="230" fontId="32" fillId="0" borderId="42" xfId="0" applyNumberFormat="1" applyFont="1" applyBorder="1"/>
    <xf numFmtId="3" fontId="60" fillId="0" borderId="0" xfId="0" applyNumberFormat="1" applyFont="1" applyAlignment="1">
      <alignment horizontal="center"/>
    </xf>
    <xf numFmtId="0" fontId="50" fillId="0" borderId="37" xfId="0" applyFont="1" applyBorder="1" applyAlignment="1">
      <alignment horizontal="left" indent="1"/>
    </xf>
    <xf numFmtId="3" fontId="71" fillId="0" borderId="0" xfId="0" applyNumberFormat="1" applyFont="1" applyAlignment="1">
      <alignment horizontal="center"/>
    </xf>
    <xf numFmtId="168" fontId="48" fillId="0" borderId="0" xfId="0" applyNumberFormat="1" applyFont="1" applyAlignment="1">
      <alignment horizontal="center"/>
    </xf>
    <xf numFmtId="0" fontId="47" fillId="0" borderId="0" xfId="0" applyFont="1" applyAlignment="1">
      <alignment horizontal="center"/>
    </xf>
    <xf numFmtId="3" fontId="42" fillId="0" borderId="37" xfId="0" applyNumberFormat="1" applyFont="1" applyBorder="1" applyAlignment="1">
      <alignment horizontal="center"/>
    </xf>
    <xf numFmtId="192" fontId="22" fillId="18" borderId="139" xfId="0" applyNumberFormat="1" applyFont="1" applyFill="1" applyBorder="1" applyAlignment="1">
      <alignment vertical="center"/>
    </xf>
    <xf numFmtId="3" fontId="22" fillId="0" borderId="138" xfId="0" applyNumberFormat="1" applyFont="1" applyBorder="1" applyAlignment="1">
      <alignment horizontal="left" vertical="center" indent="1"/>
    </xf>
    <xf numFmtId="192" fontId="22" fillId="0" borderId="153" xfId="0" applyNumberFormat="1" applyFont="1" applyBorder="1" applyAlignment="1">
      <alignment vertical="center"/>
    </xf>
    <xf numFmtId="192" fontId="22" fillId="0" borderId="111" xfId="0" applyNumberFormat="1" applyFont="1" applyBorder="1" applyAlignment="1">
      <alignment vertical="center"/>
    </xf>
    <xf numFmtId="3" fontId="22" fillId="0" borderId="154" xfId="0" applyNumberFormat="1" applyFont="1" applyBorder="1" applyAlignment="1">
      <alignment vertical="center"/>
    </xf>
    <xf numFmtId="0" fontId="24" fillId="0" borderId="0" xfId="0" applyFont="1" applyAlignment="1">
      <alignment vertical="center"/>
    </xf>
    <xf numFmtId="3" fontId="16" fillId="0" borderId="151" xfId="0" applyNumberFormat="1" applyFont="1" applyBorder="1" applyAlignment="1">
      <alignment horizontal="left" indent="2"/>
    </xf>
    <xf numFmtId="192" fontId="16" fillId="0" borderId="155" xfId="0" applyNumberFormat="1" applyFont="1" applyBorder="1"/>
    <xf numFmtId="194" fontId="16" fillId="0" borderId="156" xfId="0" applyNumberFormat="1" applyFont="1" applyBorder="1"/>
    <xf numFmtId="192" fontId="16" fillId="0" borderId="156" xfId="0" applyNumberFormat="1" applyFont="1" applyBorder="1"/>
    <xf numFmtId="168" fontId="16" fillId="0" borderId="46" xfId="0" quotePrefix="1" applyNumberFormat="1" applyFont="1" applyBorder="1"/>
    <xf numFmtId="3" fontId="15" fillId="0" borderId="0" xfId="0" applyNumberFormat="1" applyFont="1" applyAlignment="1">
      <alignment horizontal="left"/>
    </xf>
    <xf numFmtId="3" fontId="15" fillId="0" borderId="0" xfId="0" applyNumberFormat="1" applyFont="1" applyAlignment="1">
      <alignment horizontal="center"/>
    </xf>
    <xf numFmtId="0" fontId="55" fillId="0" borderId="0" xfId="0" applyFont="1"/>
    <xf numFmtId="3" fontId="24" fillId="0" borderId="0" xfId="0" applyNumberFormat="1" applyFont="1"/>
    <xf numFmtId="206" fontId="65" fillId="0" borderId="54" xfId="33" applyNumberFormat="1" applyFont="1" applyBorder="1"/>
    <xf numFmtId="1" fontId="41" fillId="0" borderId="0" xfId="0" applyNumberFormat="1" applyFont="1"/>
    <xf numFmtId="233" fontId="32" fillId="0" borderId="67" xfId="39" applyNumberFormat="1" applyFont="1" applyBorder="1"/>
    <xf numFmtId="233" fontId="22" fillId="0" borderId="47" xfId="39" applyNumberFormat="1" applyFont="1" applyBorder="1"/>
    <xf numFmtId="233" fontId="32" fillId="0" borderId="47" xfId="39" applyNumberFormat="1" applyFont="1" applyBorder="1"/>
    <xf numFmtId="233" fontId="22" fillId="0" borderId="48" xfId="39" applyNumberFormat="1" applyFont="1" applyBorder="1"/>
    <xf numFmtId="233" fontId="22" fillId="0" borderId="41" xfId="39" applyNumberFormat="1" applyFont="1" applyBorder="1"/>
    <xf numFmtId="233" fontId="32" fillId="0" borderId="66" xfId="39" applyNumberFormat="1" applyFont="1" applyBorder="1"/>
    <xf numFmtId="233" fontId="22" fillId="0" borderId="68" xfId="0" applyNumberFormat="1" applyFont="1" applyBorder="1"/>
    <xf numFmtId="233" fontId="22" fillId="0" borderId="52" xfId="39" applyNumberFormat="1" applyFont="1" applyBorder="1"/>
    <xf numFmtId="233" fontId="22" fillId="0" borderId="76" xfId="0" applyNumberFormat="1" applyFont="1" applyBorder="1"/>
    <xf numFmtId="233" fontId="32" fillId="0" borderId="52" xfId="39" applyNumberFormat="1" applyFont="1" applyBorder="1"/>
    <xf numFmtId="233" fontId="32" fillId="0" borderId="76" xfId="0" applyNumberFormat="1" applyFont="1" applyBorder="1"/>
    <xf numFmtId="233" fontId="22" fillId="0" borderId="79" xfId="39" applyNumberFormat="1" applyFont="1" applyBorder="1"/>
    <xf numFmtId="233" fontId="22" fillId="0" borderId="80" xfId="0" applyNumberFormat="1" applyFont="1" applyBorder="1"/>
    <xf numFmtId="233" fontId="22" fillId="0" borderId="53" xfId="39" applyNumberFormat="1" applyFont="1" applyBorder="1"/>
    <xf numFmtId="233" fontId="22" fillId="0" borderId="55" xfId="0" applyNumberFormat="1" applyFont="1" applyBorder="1"/>
    <xf numFmtId="233" fontId="32" fillId="0" borderId="67" xfId="0" applyNumberFormat="1" applyFont="1" applyBorder="1"/>
    <xf numFmtId="233" fontId="22" fillId="0" borderId="47" xfId="0" applyNumberFormat="1" applyFont="1" applyBorder="1"/>
    <xf numFmtId="233" fontId="32" fillId="0" borderId="47" xfId="0" applyNumberFormat="1" applyFont="1" applyBorder="1"/>
    <xf numFmtId="233" fontId="32" fillId="0" borderId="48" xfId="0" applyNumberFormat="1" applyFont="1" applyBorder="1"/>
    <xf numFmtId="233" fontId="22" fillId="0" borderId="41" xfId="0" applyNumberFormat="1" applyFont="1" applyBorder="1"/>
    <xf numFmtId="233" fontId="32" fillId="0" borderId="68" xfId="0" applyNumberFormat="1" applyFont="1" applyBorder="1"/>
    <xf numFmtId="233" fontId="32" fillId="0" borderId="80" xfId="0" applyNumberFormat="1" applyFont="1" applyBorder="1"/>
    <xf numFmtId="0" fontId="41" fillId="0" borderId="0" xfId="0" applyFont="1" applyAlignment="1">
      <alignment horizontal="center"/>
    </xf>
    <xf numFmtId="9" fontId="17" fillId="0" borderId="0" xfId="0" applyNumberFormat="1" applyFont="1" applyAlignment="1">
      <alignment horizontal="center"/>
    </xf>
    <xf numFmtId="3" fontId="22" fillId="0" borderId="40" xfId="0" applyNumberFormat="1" applyFont="1" applyBorder="1" applyAlignment="1">
      <alignment vertical="center"/>
    </xf>
    <xf numFmtId="3" fontId="22" fillId="0" borderId="51" xfId="0" applyNumberFormat="1" applyFont="1" applyBorder="1" applyAlignment="1">
      <alignment horizontal="center" vertical="center"/>
    </xf>
    <xf numFmtId="3" fontId="22" fillId="0" borderId="39" xfId="0" applyNumberFormat="1" applyFont="1" applyBorder="1" applyAlignment="1">
      <alignment horizontal="center" vertical="center"/>
    </xf>
    <xf numFmtId="230" fontId="32" fillId="0" borderId="52" xfId="0" applyNumberFormat="1" applyFont="1" applyBorder="1" applyAlignment="1">
      <alignment vertical="center"/>
    </xf>
    <xf numFmtId="230" fontId="22" fillId="0" borderId="47" xfId="0" applyNumberFormat="1" applyFont="1" applyBorder="1" applyAlignment="1">
      <alignment vertical="center"/>
    </xf>
    <xf numFmtId="3" fontId="16" fillId="0" borderId="46" xfId="0" applyNumberFormat="1" applyFont="1" applyBorder="1" applyAlignment="1">
      <alignment horizontal="left" vertical="center" indent="1"/>
    </xf>
    <xf numFmtId="230" fontId="22" fillId="0" borderId="52" xfId="0" applyNumberFormat="1" applyFont="1" applyBorder="1" applyAlignment="1">
      <alignment vertical="center"/>
    </xf>
    <xf numFmtId="3" fontId="16" fillId="0" borderId="155" xfId="0" applyNumberFormat="1" applyFont="1" applyBorder="1" applyAlignment="1">
      <alignment vertical="center"/>
    </xf>
    <xf numFmtId="168" fontId="22" fillId="0" borderId="79" xfId="0" applyNumberFormat="1" applyFont="1" applyBorder="1" applyAlignment="1">
      <alignment vertical="center"/>
    </xf>
    <xf numFmtId="168" fontId="22" fillId="0" borderId="48" xfId="0" applyNumberFormat="1" applyFont="1" applyBorder="1" applyAlignment="1">
      <alignment vertical="center"/>
    </xf>
    <xf numFmtId="203" fontId="16" fillId="18" borderId="53" xfId="0" applyNumberFormat="1" applyFont="1" applyFill="1" applyBorder="1" applyAlignment="1">
      <alignment vertical="center"/>
    </xf>
    <xf numFmtId="203" fontId="16" fillId="0" borderId="53" xfId="0" applyNumberFormat="1" applyFont="1" applyBorder="1" applyAlignment="1">
      <alignment vertical="center"/>
    </xf>
    <xf numFmtId="203" fontId="16" fillId="18" borderId="41" xfId="0" applyNumberFormat="1" applyFont="1" applyFill="1" applyBorder="1" applyAlignment="1">
      <alignment vertical="center"/>
    </xf>
    <xf numFmtId="220" fontId="50" fillId="0" borderId="0" xfId="0" applyNumberFormat="1" applyFont="1" applyAlignment="1">
      <alignment horizontal="center"/>
    </xf>
    <xf numFmtId="3" fontId="22" fillId="0" borderId="42" xfId="0" applyNumberFormat="1" applyFont="1" applyBorder="1" applyAlignment="1">
      <alignment horizontal="center" vertical="center"/>
    </xf>
    <xf numFmtId="0" fontId="44" fillId="34" borderId="157" xfId="31" applyFont="1" applyFill="1" applyBorder="1" applyAlignment="1" applyProtection="1">
      <alignment horizontal="center" vertical="center"/>
    </xf>
    <xf numFmtId="0" fontId="91" fillId="0" borderId="0" xfId="31" applyFont="1" applyAlignment="1" applyProtection="1"/>
    <xf numFmtId="0" fontId="88" fillId="0" borderId="0" xfId="31" applyFont="1" applyAlignment="1" applyProtection="1"/>
    <xf numFmtId="3" fontId="17" fillId="19" borderId="0" xfId="0" applyNumberFormat="1" applyFont="1" applyFill="1" applyAlignment="1">
      <alignment horizontal="center"/>
    </xf>
    <xf numFmtId="201" fontId="41" fillId="19" borderId="0" xfId="0" applyNumberFormat="1" applyFont="1" applyFill="1"/>
    <xf numFmtId="3" fontId="41" fillId="19" borderId="0" xfId="0" applyNumberFormat="1" applyFont="1" applyFill="1"/>
    <xf numFmtId="3" fontId="16" fillId="19" borderId="0" xfId="0" applyNumberFormat="1" applyFont="1" applyFill="1" applyAlignment="1">
      <alignment horizontal="left" vertical="center"/>
    </xf>
    <xf numFmtId="3" fontId="52" fillId="19" borderId="0" xfId="0" applyNumberFormat="1" applyFont="1" applyFill="1"/>
    <xf numFmtId="49" fontId="16" fillId="19" borderId="0" xfId="0" applyNumberFormat="1" applyFont="1" applyFill="1" applyAlignment="1">
      <alignment horizontal="center"/>
    </xf>
    <xf numFmtId="0" fontId="91" fillId="19" borderId="0" xfId="31" applyFont="1" applyFill="1" applyAlignment="1" applyProtection="1"/>
    <xf numFmtId="3" fontId="16" fillId="19" borderId="0" xfId="0" applyNumberFormat="1" applyFont="1" applyFill="1" applyAlignment="1">
      <alignment horizontal="center"/>
    </xf>
    <xf numFmtId="3" fontId="41" fillId="19" borderId="0" xfId="0" applyNumberFormat="1" applyFont="1" applyFill="1" applyAlignment="1">
      <alignment horizontal="right" vertical="center" indent="1"/>
    </xf>
    <xf numFmtId="3" fontId="55" fillId="19" borderId="0" xfId="0" applyNumberFormat="1" applyFont="1" applyFill="1" applyAlignment="1">
      <alignment horizontal="left" vertical="center" indent="1"/>
    </xf>
    <xf numFmtId="3" fontId="55" fillId="19" borderId="0" xfId="0" applyNumberFormat="1" applyFont="1" applyFill="1" applyAlignment="1">
      <alignment horizontal="right" vertical="center" indent="1"/>
    </xf>
    <xf numFmtId="3" fontId="55" fillId="19" borderId="0" xfId="0" applyNumberFormat="1" applyFont="1" applyFill="1" applyAlignment="1">
      <alignment horizontal="center" vertical="center"/>
    </xf>
    <xf numFmtId="0" fontId="97" fillId="0" borderId="0" xfId="0" applyFont="1"/>
    <xf numFmtId="0" fontId="0" fillId="35" borderId="0" xfId="0" applyFill="1"/>
    <xf numFmtId="0" fontId="17" fillId="35" borderId="0" xfId="0" applyFont="1" applyFill="1"/>
    <xf numFmtId="0" fontId="88" fillId="35" borderId="0" xfId="31" applyFont="1" applyFill="1" applyAlignment="1" applyProtection="1"/>
    <xf numFmtId="0" fontId="27" fillId="35" borderId="0" xfId="31" applyFont="1" applyFill="1" applyAlignment="1" applyProtection="1"/>
    <xf numFmtId="0" fontId="4" fillId="35" borderId="0" xfId="0" applyFont="1" applyFill="1"/>
    <xf numFmtId="0" fontId="48" fillId="35" borderId="0" xfId="0" applyFont="1" applyFill="1" applyAlignment="1">
      <alignment horizontal="center" vertical="center"/>
    </xf>
    <xf numFmtId="0" fontId="90" fillId="35" borderId="0" xfId="0" applyFont="1" applyFill="1" applyAlignment="1">
      <alignment horizontal="center" vertical="center" wrapText="1"/>
    </xf>
    <xf numFmtId="0" fontId="39" fillId="35" borderId="0" xfId="31" applyFont="1" applyFill="1" applyAlignment="1" applyProtection="1"/>
    <xf numFmtId="0" fontId="10" fillId="35" borderId="0" xfId="0" applyFont="1" applyFill="1"/>
    <xf numFmtId="0" fontId="16" fillId="35" borderId="0" xfId="0" applyFont="1" applyFill="1"/>
    <xf numFmtId="0" fontId="39" fillId="35" borderId="0" xfId="0" applyFont="1" applyFill="1"/>
    <xf numFmtId="166" fontId="16" fillId="0" borderId="0" xfId="39" applyNumberFormat="1" applyFont="1" applyAlignment="1">
      <alignment horizontal="center"/>
    </xf>
    <xf numFmtId="3" fontId="16" fillId="0" borderId="0" xfId="0" applyNumberFormat="1" applyFont="1" applyAlignment="1">
      <alignment horizontal="centerContinuous"/>
    </xf>
    <xf numFmtId="220" fontId="48" fillId="0" borderId="0" xfId="0" applyNumberFormat="1" applyFont="1" applyAlignment="1">
      <alignment horizontal="centerContinuous" vertical="center"/>
    </xf>
    <xf numFmtId="1" fontId="48" fillId="0" borderId="0" xfId="0" applyNumberFormat="1" applyFont="1" applyAlignment="1">
      <alignment horizontal="center"/>
    </xf>
    <xf numFmtId="3" fontId="16" fillId="0" borderId="0" xfId="39" applyNumberFormat="1" applyFont="1" applyAlignment="1" applyProtection="1">
      <alignment horizontal="center"/>
      <protection locked="0"/>
    </xf>
    <xf numFmtId="3" fontId="16" fillId="0" borderId="0" xfId="0" applyNumberFormat="1" applyFont="1" applyAlignment="1" applyProtection="1">
      <alignment horizontal="center"/>
      <protection locked="0"/>
    </xf>
    <xf numFmtId="3" fontId="16" fillId="0" borderId="0" xfId="0" applyNumberFormat="1" applyFont="1" applyAlignment="1" applyProtection="1">
      <alignment horizontal="center" vertical="center"/>
      <protection locked="0"/>
    </xf>
    <xf numFmtId="166" fontId="16" fillId="0" borderId="0" xfId="39" applyNumberFormat="1" applyFont="1" applyAlignment="1" applyProtection="1">
      <alignment horizontal="center"/>
      <protection locked="0"/>
    </xf>
    <xf numFmtId="4" fontId="16" fillId="0" borderId="0" xfId="0" applyNumberFormat="1" applyFont="1" applyAlignment="1" applyProtection="1">
      <alignment horizontal="center"/>
      <protection locked="0"/>
    </xf>
    <xf numFmtId="3" fontId="41" fillId="0" borderId="0" xfId="0" applyNumberFormat="1" applyFont="1" applyAlignment="1">
      <alignment horizontal="center"/>
    </xf>
    <xf numFmtId="166" fontId="41" fillId="0" borderId="0" xfId="39" applyNumberFormat="1" applyFont="1" applyAlignment="1">
      <alignment horizontal="center"/>
    </xf>
    <xf numFmtId="186" fontId="16" fillId="0" borderId="0" xfId="0" applyNumberFormat="1" applyFont="1" applyAlignment="1">
      <alignment horizontal="center"/>
    </xf>
    <xf numFmtId="186" fontId="41" fillId="0" borderId="0" xfId="0" applyNumberFormat="1" applyFont="1" applyAlignment="1">
      <alignment horizontal="center"/>
    </xf>
    <xf numFmtId="191" fontId="16" fillId="0" borderId="0" xfId="0" applyNumberFormat="1" applyFont="1"/>
    <xf numFmtId="3" fontId="48" fillId="0" borderId="0" xfId="0" applyNumberFormat="1" applyFont="1"/>
    <xf numFmtId="3" fontId="48" fillId="0" borderId="0" xfId="0" applyNumberFormat="1" applyFont="1" applyAlignment="1">
      <alignment horizontal="centerContinuous"/>
    </xf>
    <xf numFmtId="166" fontId="16" fillId="0" borderId="0" xfId="0" applyNumberFormat="1" applyFont="1" applyAlignment="1">
      <alignment horizontal="center"/>
    </xf>
    <xf numFmtId="191" fontId="48" fillId="0" borderId="0" xfId="0" applyNumberFormat="1" applyFont="1"/>
    <xf numFmtId="2" fontId="16" fillId="0" borderId="0" xfId="0" applyNumberFormat="1" applyFont="1" applyAlignment="1">
      <alignment horizontal="center"/>
    </xf>
    <xf numFmtId="0" fontId="42" fillId="0" borderId="0" xfId="0" applyFont="1" applyAlignment="1">
      <alignment horizontal="center" vertical="center"/>
    </xf>
    <xf numFmtId="191" fontId="32" fillId="0" borderId="0" xfId="0" applyNumberFormat="1" applyFont="1"/>
    <xf numFmtId="170" fontId="97" fillId="0" borderId="0" xfId="0" applyNumberFormat="1" applyFont="1"/>
    <xf numFmtId="191" fontId="22" fillId="0" borderId="0" xfId="0" applyNumberFormat="1" applyFont="1"/>
    <xf numFmtId="191" fontId="97" fillId="0" borderId="0" xfId="0" applyNumberFormat="1" applyFont="1"/>
    <xf numFmtId="193" fontId="22" fillId="0" borderId="0" xfId="0" applyNumberFormat="1" applyFont="1"/>
    <xf numFmtId="193" fontId="32" fillId="0" borderId="0" xfId="0" applyNumberFormat="1" applyFont="1"/>
    <xf numFmtId="193" fontId="48" fillId="0" borderId="0" xfId="0" applyNumberFormat="1" applyFont="1"/>
    <xf numFmtId="1" fontId="22" fillId="0" borderId="0" xfId="0" applyNumberFormat="1" applyFont="1" applyAlignment="1">
      <alignment horizontal="center"/>
    </xf>
    <xf numFmtId="3" fontId="32" fillId="0" borderId="0" xfId="0" quotePrefix="1" applyNumberFormat="1" applyFont="1"/>
    <xf numFmtId="194" fontId="22" fillId="0" borderId="0" xfId="0" applyNumberFormat="1" applyFont="1" applyAlignment="1">
      <alignment vertical="center"/>
    </xf>
    <xf numFmtId="220" fontId="42" fillId="0" borderId="0" xfId="0" applyNumberFormat="1" applyFont="1" applyAlignment="1">
      <alignment horizontal="center"/>
    </xf>
    <xf numFmtId="196" fontId="42" fillId="0" borderId="0" xfId="0" applyNumberFormat="1" applyFont="1" applyAlignment="1" applyProtection="1">
      <alignment vertical="center"/>
      <protection locked="0"/>
    </xf>
    <xf numFmtId="196" fontId="42" fillId="0" borderId="0" xfId="0" applyNumberFormat="1" applyFont="1" applyAlignment="1" applyProtection="1">
      <alignment horizontal="center" vertical="center"/>
      <protection locked="0"/>
    </xf>
    <xf numFmtId="0" fontId="47" fillId="0" borderId="0" xfId="0" applyFont="1" applyAlignment="1">
      <alignment vertical="center" wrapText="1"/>
    </xf>
    <xf numFmtId="1" fontId="42" fillId="0" borderId="0" xfId="0" applyNumberFormat="1" applyFont="1" applyAlignment="1">
      <alignment horizontal="center"/>
    </xf>
    <xf numFmtId="201" fontId="22" fillId="0" borderId="0" xfId="0" applyNumberFormat="1" applyFont="1"/>
    <xf numFmtId="201" fontId="42" fillId="0" borderId="0" xfId="0" applyNumberFormat="1" applyFont="1"/>
    <xf numFmtId="3" fontId="32" fillId="0" borderId="0" xfId="0" applyNumberFormat="1" applyFont="1" applyProtection="1">
      <protection locked="0"/>
    </xf>
    <xf numFmtId="201" fontId="32" fillId="0" borderId="0" xfId="0" applyNumberFormat="1" applyFont="1" applyProtection="1">
      <protection locked="0"/>
    </xf>
    <xf numFmtId="201" fontId="41" fillId="0" borderId="0" xfId="0" applyNumberFormat="1" applyFont="1" applyAlignment="1">
      <alignment horizontal="right"/>
    </xf>
    <xf numFmtId="164" fontId="16" fillId="0" borderId="0" xfId="34" applyFont="1" applyAlignment="1">
      <alignment horizontal="right" vertical="center"/>
    </xf>
    <xf numFmtId="3" fontId="48" fillId="0" borderId="0" xfId="0" applyNumberFormat="1" applyFont="1" applyAlignment="1">
      <alignment horizontal="center" wrapText="1"/>
    </xf>
    <xf numFmtId="1" fontId="48" fillId="0" borderId="0" xfId="34" applyNumberFormat="1" applyFont="1" applyAlignment="1">
      <alignment horizontal="center"/>
    </xf>
    <xf numFmtId="164" fontId="48" fillId="0" borderId="0" xfId="34" applyFont="1" applyAlignment="1">
      <alignment horizontal="right"/>
    </xf>
    <xf numFmtId="192" fontId="16" fillId="0" borderId="0" xfId="0" applyNumberFormat="1" applyFont="1"/>
    <xf numFmtId="178" fontId="16" fillId="0" borderId="0" xfId="0" applyNumberFormat="1" applyFont="1" applyAlignment="1">
      <alignment horizontal="center" vertical="center"/>
    </xf>
    <xf numFmtId="188" fontId="16" fillId="18" borderId="0" xfId="0" applyNumberFormat="1" applyFont="1" applyFill="1" applyAlignment="1" applyProtection="1">
      <alignment horizontal="center"/>
      <protection locked="0"/>
    </xf>
    <xf numFmtId="0" fontId="0" fillId="35" borderId="0" xfId="0" applyFill="1" applyProtection="1">
      <protection locked="0"/>
    </xf>
    <xf numFmtId="0" fontId="44" fillId="34" borderId="157" xfId="31" applyFont="1" applyFill="1" applyBorder="1" applyAlignment="1">
      <alignment horizontal="center" vertical="center"/>
      <protection locked="0"/>
    </xf>
    <xf numFmtId="0" fontId="39" fillId="35" borderId="0" xfId="31" applyFont="1" applyFill="1" applyAlignment="1">
      <protection locked="0"/>
    </xf>
    <xf numFmtId="0" fontId="17" fillId="35" borderId="0" xfId="0" applyFont="1" applyFill="1" applyProtection="1">
      <protection locked="0"/>
    </xf>
    <xf numFmtId="0" fontId="88" fillId="35" borderId="0" xfId="31" applyFont="1" applyFill="1" applyAlignment="1">
      <protection locked="0"/>
    </xf>
    <xf numFmtId="3" fontId="0" fillId="0" borderId="0" xfId="0" applyNumberFormat="1"/>
    <xf numFmtId="0" fontId="26" fillId="34" borderId="12" xfId="0" applyFont="1" applyFill="1" applyBorder="1"/>
    <xf numFmtId="0" fontId="26" fillId="34" borderId="30" xfId="0" applyFont="1" applyFill="1" applyBorder="1"/>
    <xf numFmtId="3" fontId="0" fillId="0" borderId="18" xfId="0" applyNumberFormat="1" applyBorder="1"/>
    <xf numFmtId="1" fontId="0" fillId="0" borderId="14" xfId="0" applyNumberFormat="1" applyBorder="1"/>
    <xf numFmtId="3" fontId="0" fillId="0" borderId="13" xfId="0" applyNumberFormat="1" applyBorder="1"/>
    <xf numFmtId="1" fontId="0" fillId="0" borderId="15" xfId="0" applyNumberFormat="1" applyBorder="1"/>
    <xf numFmtId="0" fontId="0" fillId="0" borderId="14" xfId="0" applyBorder="1"/>
    <xf numFmtId="2" fontId="0" fillId="0" borderId="14" xfId="0" applyNumberFormat="1" applyBorder="1"/>
    <xf numFmtId="2" fontId="0" fillId="0" borderId="15" xfId="0" applyNumberFormat="1" applyBorder="1"/>
    <xf numFmtId="1" fontId="0" fillId="0" borderId="18" xfId="0" applyNumberFormat="1" applyBorder="1"/>
    <xf numFmtId="1" fontId="0" fillId="0" borderId="13" xfId="0" applyNumberFormat="1" applyBorder="1"/>
    <xf numFmtId="1" fontId="0" fillId="0" borderId="0" xfId="0" applyNumberFormat="1"/>
    <xf numFmtId="214" fontId="0" fillId="0" borderId="14" xfId="0" applyNumberFormat="1" applyBorder="1"/>
    <xf numFmtId="214" fontId="0" fillId="0" borderId="15" xfId="0" applyNumberFormat="1" applyBorder="1"/>
    <xf numFmtId="3" fontId="32" fillId="0" borderId="158" xfId="0" applyNumberFormat="1" applyFont="1" applyBorder="1" applyAlignment="1">
      <alignment horizontal="left" indent="1"/>
    </xf>
    <xf numFmtId="3" fontId="22" fillId="0" borderId="0" xfId="0" applyNumberFormat="1" applyFont="1" applyAlignment="1">
      <alignment horizontal="left" indent="1"/>
    </xf>
    <xf numFmtId="0" fontId="41" fillId="0" borderId="0" xfId="0" applyFont="1" applyAlignment="1">
      <alignment horizontal="left" indent="2"/>
    </xf>
    <xf numFmtId="0" fontId="16" fillId="0" borderId="0" xfId="0" quotePrefix="1" applyFont="1"/>
    <xf numFmtId="201" fontId="32" fillId="0" borderId="0" xfId="0" applyNumberFormat="1" applyFont="1" applyAlignment="1">
      <alignment horizontal="center"/>
    </xf>
    <xf numFmtId="4" fontId="32" fillId="0" borderId="0" xfId="0" applyNumberFormat="1" applyFont="1" applyAlignment="1">
      <alignment horizontal="center"/>
    </xf>
    <xf numFmtId="0" fontId="17" fillId="0" borderId="0" xfId="0" applyFont="1" applyAlignment="1">
      <alignment horizontal="center"/>
    </xf>
    <xf numFmtId="3" fontId="39" fillId="19" borderId="0" xfId="34" applyNumberFormat="1" applyFont="1" applyFill="1" applyAlignment="1">
      <alignment horizontal="center" vertical="center"/>
    </xf>
    <xf numFmtId="10" fontId="39" fillId="19" borderId="0" xfId="0" applyNumberFormat="1" applyFont="1" applyFill="1" applyAlignment="1">
      <alignment horizontal="center" vertical="center"/>
    </xf>
    <xf numFmtId="3" fontId="39" fillId="19" borderId="0" xfId="0" applyNumberFormat="1" applyFont="1" applyFill="1" applyAlignment="1">
      <alignment horizontal="center" vertical="center"/>
    </xf>
    <xf numFmtId="3" fontId="39" fillId="19" borderId="0" xfId="0" applyNumberFormat="1" applyFont="1" applyFill="1" applyAlignment="1">
      <alignment horizontal="right" vertical="center" indent="1"/>
    </xf>
    <xf numFmtId="201" fontId="32" fillId="0" borderId="0" xfId="0" applyNumberFormat="1" applyFont="1" applyAlignment="1" applyProtection="1">
      <alignment horizontal="center"/>
      <protection locked="0"/>
    </xf>
    <xf numFmtId="208" fontId="32" fillId="0" borderId="0" xfId="0" applyNumberFormat="1" applyFont="1" applyAlignment="1" applyProtection="1">
      <alignment horizontal="center"/>
      <protection locked="0"/>
    </xf>
    <xf numFmtId="208" fontId="32" fillId="0" borderId="0" xfId="0" applyNumberFormat="1" applyFont="1" applyAlignment="1">
      <alignment horizontal="center"/>
    </xf>
    <xf numFmtId="0" fontId="60" fillId="0" borderId="0" xfId="0" applyFont="1" applyAlignment="1">
      <alignment horizontal="center"/>
    </xf>
    <xf numFmtId="0" fontId="98" fillId="0" borderId="0" xfId="31" applyFont="1" applyAlignment="1" applyProtection="1">
      <alignment horizontal="center"/>
    </xf>
    <xf numFmtId="0" fontId="98" fillId="0" borderId="0" xfId="31" applyFont="1" applyAlignment="1" applyProtection="1">
      <alignment horizontal="center" vertical="center"/>
    </xf>
    <xf numFmtId="0" fontId="32" fillId="0" borderId="10" xfId="0" applyFont="1" applyBorder="1" applyAlignment="1">
      <alignment horizontal="left" indent="2"/>
    </xf>
    <xf numFmtId="0" fontId="32" fillId="0" borderId="10" xfId="0" applyFont="1" applyBorder="1"/>
    <xf numFmtId="188" fontId="16" fillId="20" borderId="0" xfId="0" applyNumberFormat="1" applyFont="1" applyFill="1" applyAlignment="1" applyProtection="1">
      <alignment horizontal="center"/>
      <protection locked="0"/>
    </xf>
    <xf numFmtId="3" fontId="41" fillId="20" borderId="0" xfId="0" applyNumberFormat="1" applyFont="1" applyFill="1" applyAlignment="1">
      <alignment horizontal="center"/>
    </xf>
    <xf numFmtId="0" fontId="44" fillId="0" borderId="0" xfId="31" applyFont="1" applyAlignment="1" applyProtection="1">
      <alignment horizontal="center"/>
    </xf>
    <xf numFmtId="0" fontId="37" fillId="0" borderId="160" xfId="0" applyFont="1" applyBorder="1" applyAlignment="1" applyProtection="1">
      <alignment vertical="center"/>
      <protection locked="0"/>
    </xf>
    <xf numFmtId="0" fontId="17" fillId="20" borderId="161" xfId="0" applyFont="1" applyFill="1" applyBorder="1" applyAlignment="1" applyProtection="1">
      <alignment horizontal="left" vertical="center" indent="1"/>
      <protection locked="0"/>
    </xf>
    <xf numFmtId="0" fontId="22" fillId="18" borderId="161" xfId="0" applyFont="1" applyFill="1" applyBorder="1" applyAlignment="1" applyProtection="1">
      <alignment horizontal="center" vertical="center"/>
      <protection locked="0"/>
    </xf>
    <xf numFmtId="0" fontId="6" fillId="0" borderId="165" xfId="0" applyFont="1" applyBorder="1"/>
    <xf numFmtId="0" fontId="9" fillId="0" borderId="166" xfId="0" applyFont="1" applyBorder="1"/>
    <xf numFmtId="0" fontId="4" fillId="0" borderId="165" xfId="0" applyFont="1" applyBorder="1"/>
    <xf numFmtId="0" fontId="4" fillId="0" borderId="167" xfId="0" applyFont="1" applyBorder="1"/>
    <xf numFmtId="0" fontId="4" fillId="0" borderId="168" xfId="0" applyFont="1" applyBorder="1"/>
    <xf numFmtId="0" fontId="9" fillId="0" borderId="168" xfId="0" applyFont="1" applyBorder="1"/>
    <xf numFmtId="0" fontId="9" fillId="0" borderId="169" xfId="0" applyFont="1" applyBorder="1"/>
    <xf numFmtId="0" fontId="17" fillId="20" borderId="170" xfId="0" applyFont="1" applyFill="1" applyBorder="1" applyAlignment="1" applyProtection="1">
      <alignment horizontal="center" vertical="center"/>
      <protection locked="0"/>
    </xf>
    <xf numFmtId="0" fontId="40" fillId="0" borderId="171" xfId="0" applyFont="1" applyBorder="1" applyAlignment="1">
      <alignment vertical="center"/>
    </xf>
    <xf numFmtId="0" fontId="33" fillId="0" borderId="172" xfId="0" applyFont="1" applyBorder="1" applyAlignment="1">
      <alignment vertical="center"/>
    </xf>
    <xf numFmtId="0" fontId="17" fillId="0" borderId="172" xfId="0" applyFont="1" applyBorder="1" applyAlignment="1">
      <alignment horizontal="left" vertical="center" indent="1"/>
    </xf>
    <xf numFmtId="9" fontId="17" fillId="0" borderId="161" xfId="0" applyNumberFormat="1" applyFont="1" applyBorder="1" applyAlignment="1">
      <alignment horizontal="center" vertical="center"/>
    </xf>
    <xf numFmtId="0" fontId="92" fillId="37" borderId="0" xfId="0" applyFont="1" applyFill="1"/>
    <xf numFmtId="0" fontId="42" fillId="37" borderId="0" xfId="0" applyFont="1" applyFill="1"/>
    <xf numFmtId="0" fontId="17" fillId="0" borderId="161" xfId="0" applyFont="1" applyBorder="1" applyAlignment="1">
      <alignment horizontal="center"/>
    </xf>
    <xf numFmtId="10" fontId="41" fillId="18" borderId="173" xfId="39" applyNumberFormat="1" applyFont="1" applyFill="1" applyBorder="1" applyAlignment="1" applyProtection="1">
      <alignment horizontal="center"/>
      <protection locked="0"/>
    </xf>
    <xf numFmtId="10" fontId="41" fillId="18" borderId="174" xfId="39" applyNumberFormat="1" applyFont="1" applyFill="1" applyBorder="1" applyAlignment="1" applyProtection="1">
      <alignment horizontal="center"/>
      <protection locked="0"/>
    </xf>
    <xf numFmtId="0" fontId="37" fillId="0" borderId="175" xfId="0" applyFont="1" applyBorder="1" applyAlignment="1">
      <alignment horizontal="right" vertical="center"/>
    </xf>
    <xf numFmtId="0" fontId="17" fillId="0" borderId="175" xfId="0" applyFont="1" applyBorder="1" applyAlignment="1">
      <alignment vertical="center"/>
    </xf>
    <xf numFmtId="0" fontId="39" fillId="0" borderId="173" xfId="0" applyFont="1" applyBorder="1" applyAlignment="1">
      <alignment horizontal="right" vertical="center" indent="1"/>
    </xf>
    <xf numFmtId="10" fontId="16" fillId="18" borderId="174" xfId="0" applyNumberFormat="1" applyFont="1" applyFill="1" applyBorder="1" applyAlignment="1" applyProtection="1">
      <alignment horizontal="center" vertical="center"/>
      <protection locked="0"/>
    </xf>
    <xf numFmtId="1" fontId="16" fillId="21" borderId="176" xfId="39" applyNumberFormat="1" applyFont="1" applyFill="1" applyBorder="1" applyAlignment="1" applyProtection="1">
      <alignment horizontal="center" vertical="center"/>
      <protection locked="0"/>
    </xf>
    <xf numFmtId="9" fontId="17" fillId="18" borderId="178" xfId="0" applyNumberFormat="1" applyFont="1" applyFill="1" applyBorder="1" applyAlignment="1" applyProtection="1">
      <alignment horizontal="center"/>
      <protection locked="0"/>
    </xf>
    <xf numFmtId="9" fontId="17" fillId="18" borderId="179" xfId="0" applyNumberFormat="1" applyFont="1" applyFill="1" applyBorder="1" applyAlignment="1" applyProtection="1">
      <alignment horizontal="center"/>
      <protection locked="0"/>
    </xf>
    <xf numFmtId="9" fontId="17" fillId="18" borderId="173" xfId="0" applyNumberFormat="1" applyFont="1" applyFill="1" applyBorder="1" applyAlignment="1" applyProtection="1">
      <alignment horizontal="center"/>
      <protection locked="0"/>
    </xf>
    <xf numFmtId="9" fontId="17" fillId="18" borderId="174" xfId="0" applyNumberFormat="1" applyFont="1" applyFill="1" applyBorder="1" applyAlignment="1" applyProtection="1">
      <alignment horizontal="center"/>
      <protection locked="0"/>
    </xf>
    <xf numFmtId="9" fontId="17" fillId="18" borderId="161" xfId="0" applyNumberFormat="1" applyFont="1" applyFill="1" applyBorder="1" applyAlignment="1" applyProtection="1">
      <alignment horizontal="center"/>
      <protection locked="0"/>
    </xf>
    <xf numFmtId="3" fontId="17" fillId="18" borderId="161" xfId="0" applyNumberFormat="1" applyFont="1" applyFill="1" applyBorder="1" applyAlignment="1" applyProtection="1">
      <alignment horizontal="center"/>
      <protection locked="0"/>
    </xf>
    <xf numFmtId="0" fontId="41" fillId="0" borderId="175" xfId="0" applyFont="1" applyBorder="1" applyAlignment="1">
      <alignment horizontal="right" indent="1"/>
    </xf>
    <xf numFmtId="9" fontId="41" fillId="0" borderId="173" xfId="39" applyFont="1" applyBorder="1" applyAlignment="1">
      <alignment horizontal="center"/>
    </xf>
    <xf numFmtId="9" fontId="41" fillId="0" borderId="174" xfId="39" applyFont="1" applyBorder="1" applyAlignment="1">
      <alignment horizontal="center"/>
    </xf>
    <xf numFmtId="0" fontId="41" fillId="0" borderId="180" xfId="0" applyFont="1" applyBorder="1" applyAlignment="1">
      <alignment horizontal="right" indent="1"/>
    </xf>
    <xf numFmtId="9" fontId="41" fillId="18" borderId="181" xfId="39" applyFont="1" applyFill="1" applyBorder="1" applyAlignment="1" applyProtection="1">
      <alignment horizontal="center"/>
      <protection locked="0"/>
    </xf>
    <xf numFmtId="9" fontId="41" fillId="18" borderId="182" xfId="39" applyFont="1" applyFill="1" applyBorder="1" applyAlignment="1" applyProtection="1">
      <alignment horizontal="center"/>
      <protection locked="0"/>
    </xf>
    <xf numFmtId="1" fontId="17" fillId="0" borderId="183" xfId="0" applyNumberFormat="1" applyFont="1" applyBorder="1" applyAlignment="1">
      <alignment horizontal="center"/>
    </xf>
    <xf numFmtId="1" fontId="17" fillId="0" borderId="184" xfId="0" applyNumberFormat="1" applyFont="1" applyBorder="1" applyAlignment="1">
      <alignment horizontal="center"/>
    </xf>
    <xf numFmtId="0" fontId="17" fillId="0" borderId="185" xfId="0" applyFont="1" applyBorder="1" applyAlignment="1">
      <alignment horizontal="centerContinuous"/>
    </xf>
    <xf numFmtId="3" fontId="100" fillId="38" borderId="0" xfId="0" applyNumberFormat="1" applyFont="1" applyFill="1" applyAlignment="1">
      <alignment horizontal="right"/>
    </xf>
    <xf numFmtId="3" fontId="94" fillId="37" borderId="0" xfId="0" applyNumberFormat="1" applyFont="1" applyFill="1"/>
    <xf numFmtId="3" fontId="42" fillId="37" borderId="0" xfId="0" applyNumberFormat="1" applyFont="1" applyFill="1" applyAlignment="1">
      <alignment horizontal="center"/>
    </xf>
    <xf numFmtId="3" fontId="60" fillId="37" borderId="0" xfId="0" applyNumberFormat="1" applyFont="1" applyFill="1"/>
    <xf numFmtId="0" fontId="47" fillId="37" borderId="0" xfId="0" applyFont="1" applyFill="1"/>
    <xf numFmtId="201" fontId="32" fillId="0" borderId="166" xfId="0" applyNumberFormat="1" applyFont="1" applyBorder="1" applyAlignment="1">
      <alignment horizontal="center"/>
    </xf>
    <xf numFmtId="4" fontId="32" fillId="0" borderId="166" xfId="0" applyNumberFormat="1" applyFont="1" applyBorder="1" applyAlignment="1">
      <alignment horizontal="center"/>
    </xf>
    <xf numFmtId="3" fontId="32" fillId="0" borderId="165" xfId="0" applyNumberFormat="1" applyFont="1" applyBorder="1" applyAlignment="1" applyProtection="1">
      <alignment horizontal="left"/>
      <protection locked="0"/>
    </xf>
    <xf numFmtId="0" fontId="32" fillId="0" borderId="165" xfId="0" applyFont="1" applyBorder="1" applyAlignment="1">
      <alignment horizontal="right"/>
    </xf>
    <xf numFmtId="3" fontId="32" fillId="0" borderId="165" xfId="0" applyNumberFormat="1" applyFont="1" applyBorder="1" applyAlignment="1">
      <alignment horizontal="left" indent="2"/>
    </xf>
    <xf numFmtId="3" fontId="32" fillId="0" borderId="189" xfId="0" applyNumberFormat="1" applyFont="1" applyBorder="1" applyAlignment="1" applyProtection="1">
      <alignment horizontal="left"/>
      <protection locked="0"/>
    </xf>
    <xf numFmtId="201" fontId="32" fillId="0" borderId="190" xfId="0" applyNumberFormat="1" applyFont="1" applyBorder="1" applyAlignment="1">
      <alignment horizontal="center"/>
    </xf>
    <xf numFmtId="201" fontId="32" fillId="0" borderId="191" xfId="0" applyNumberFormat="1" applyFont="1" applyBorder="1" applyAlignment="1">
      <alignment horizontal="center"/>
    </xf>
    <xf numFmtId="3" fontId="32" fillId="0" borderId="192" xfId="0" applyNumberFormat="1" applyFont="1" applyBorder="1" applyAlignment="1" applyProtection="1">
      <alignment horizontal="left"/>
      <protection locked="0"/>
    </xf>
    <xf numFmtId="3" fontId="22" fillId="0" borderId="193" xfId="0" applyNumberFormat="1" applyFont="1" applyBorder="1" applyAlignment="1">
      <alignment horizontal="center"/>
    </xf>
    <xf numFmtId="3" fontId="22" fillId="0" borderId="194" xfId="0" applyNumberFormat="1" applyFont="1" applyBorder="1" applyAlignment="1">
      <alignment horizontal="center"/>
    </xf>
    <xf numFmtId="3" fontId="32" fillId="0" borderId="192" xfId="0" applyNumberFormat="1" applyFont="1" applyBorder="1" applyAlignment="1" applyProtection="1">
      <alignment horizontal="left" indent="2"/>
      <protection locked="0"/>
    </xf>
    <xf numFmtId="201" fontId="32" fillId="0" borderId="193" xfId="0" applyNumberFormat="1" applyFont="1" applyBorder="1" applyAlignment="1">
      <alignment horizontal="center"/>
    </xf>
    <xf numFmtId="201" fontId="32" fillId="0" borderId="194" xfId="0" applyNumberFormat="1" applyFont="1" applyBorder="1" applyAlignment="1">
      <alignment horizontal="center"/>
    </xf>
    <xf numFmtId="3" fontId="32" fillId="0" borderId="189" xfId="0" applyNumberFormat="1" applyFont="1" applyBorder="1" applyAlignment="1" applyProtection="1">
      <alignment horizontal="left" indent="2"/>
      <protection locked="0"/>
    </xf>
    <xf numFmtId="0" fontId="41" fillId="0" borderId="161" xfId="0" applyFont="1" applyBorder="1"/>
    <xf numFmtId="9" fontId="41" fillId="0" borderId="161" xfId="39" applyFont="1" applyBorder="1" applyAlignment="1">
      <alignment horizontal="right"/>
    </xf>
    <xf numFmtId="2" fontId="16" fillId="0" borderId="161" xfId="39" applyNumberFormat="1" applyFont="1" applyBorder="1" applyAlignment="1">
      <alignment horizontal="center"/>
    </xf>
    <xf numFmtId="9" fontId="41" fillId="0" borderId="161" xfId="39" applyFont="1" applyBorder="1"/>
    <xf numFmtId="201" fontId="41" fillId="0" borderId="195" xfId="0" applyNumberFormat="1" applyFont="1" applyBorder="1"/>
    <xf numFmtId="9" fontId="16" fillId="1" borderId="195" xfId="39" applyFont="1" applyFill="1" applyBorder="1" applyAlignment="1">
      <alignment horizontal="right"/>
    </xf>
    <xf numFmtId="164" fontId="16" fillId="1" borderId="195" xfId="34" applyFont="1" applyFill="1" applyBorder="1" applyAlignment="1">
      <alignment horizontal="right"/>
    </xf>
    <xf numFmtId="224" fontId="41" fillId="0" borderId="195" xfId="34" applyNumberFormat="1" applyFont="1" applyBorder="1"/>
    <xf numFmtId="10" fontId="41" fillId="0" borderId="195" xfId="39" applyNumberFormat="1" applyFont="1" applyBorder="1" applyAlignment="1">
      <alignment horizontal="center"/>
    </xf>
    <xf numFmtId="201" fontId="41" fillId="0" borderId="195" xfId="0" applyNumberFormat="1" applyFont="1" applyBorder="1" applyAlignment="1">
      <alignment horizontal="right"/>
    </xf>
    <xf numFmtId="0" fontId="0" fillId="39" borderId="76" xfId="0" applyFill="1" applyBorder="1"/>
    <xf numFmtId="0" fontId="0" fillId="40" borderId="76" xfId="0" applyFill="1" applyBorder="1"/>
    <xf numFmtId="0" fontId="155" fillId="41" borderId="76" xfId="0" applyFont="1" applyFill="1" applyBorder="1"/>
    <xf numFmtId="0" fontId="0" fillId="42" borderId="76" xfId="0" applyFill="1" applyBorder="1"/>
    <xf numFmtId="0" fontId="0" fillId="43" borderId="76" xfId="0" applyFill="1" applyBorder="1"/>
    <xf numFmtId="0" fontId="0" fillId="43" borderId="76" xfId="0" applyFill="1" applyBorder="1" applyProtection="1">
      <protection locked="0"/>
    </xf>
    <xf numFmtId="192" fontId="16" fillId="0" borderId="176" xfId="0" applyNumberFormat="1" applyFont="1" applyBorder="1"/>
    <xf numFmtId="3" fontId="41" fillId="19" borderId="0" xfId="0" applyNumberFormat="1" applyFont="1" applyFill="1" applyAlignment="1">
      <alignment horizontal="right"/>
    </xf>
    <xf numFmtId="201" fontId="32" fillId="20" borderId="195" xfId="0" applyNumberFormat="1" applyFont="1" applyFill="1" applyBorder="1" applyAlignment="1" applyProtection="1">
      <alignment horizontal="center"/>
      <protection locked="0"/>
    </xf>
    <xf numFmtId="211" fontId="32" fillId="18" borderId="195" xfId="0" applyNumberFormat="1" applyFont="1" applyFill="1" applyBorder="1" applyAlignment="1" applyProtection="1">
      <alignment horizontal="center"/>
      <protection locked="0"/>
    </xf>
    <xf numFmtId="0" fontId="32" fillId="0" borderId="197" xfId="0" applyFont="1" applyBorder="1" applyAlignment="1" applyProtection="1">
      <alignment horizontal="left" indent="4"/>
      <protection locked="0"/>
    </xf>
    <xf numFmtId="3" fontId="32" fillId="18" borderId="195" xfId="0" applyNumberFormat="1" applyFont="1" applyFill="1" applyBorder="1" applyAlignment="1" applyProtection="1">
      <alignment horizontal="center"/>
      <protection locked="0"/>
    </xf>
    <xf numFmtId="208" fontId="32" fillId="0" borderId="198" xfId="0" applyNumberFormat="1" applyFont="1" applyBorder="1" applyAlignment="1">
      <alignment horizontal="center"/>
    </xf>
    <xf numFmtId="0" fontId="22" fillId="0" borderId="0" xfId="0" applyFont="1" applyAlignment="1">
      <alignment horizontal="center" vertical="center" wrapText="1"/>
    </xf>
    <xf numFmtId="209" fontId="32" fillId="0" borderId="0" xfId="0" applyNumberFormat="1" applyFont="1" applyAlignment="1" applyProtection="1">
      <alignment horizontal="center"/>
      <protection locked="0"/>
    </xf>
    <xf numFmtId="209" fontId="32" fillId="0" borderId="0" xfId="0" applyNumberFormat="1" applyFont="1" applyAlignment="1">
      <alignment horizontal="center"/>
    </xf>
    <xf numFmtId="227" fontId="32" fillId="0" borderId="199" xfId="0" applyNumberFormat="1" applyFont="1" applyBorder="1" applyAlignment="1">
      <alignment horizontal="center"/>
    </xf>
    <xf numFmtId="210" fontId="32" fillId="0" borderId="198" xfId="39" applyNumberFormat="1" applyFont="1" applyBorder="1" applyAlignment="1">
      <alignment horizontal="center"/>
    </xf>
    <xf numFmtId="208" fontId="32" fillId="20" borderId="177" xfId="0" applyNumberFormat="1" applyFont="1" applyFill="1" applyBorder="1" applyAlignment="1" applyProtection="1">
      <alignment horizontal="center"/>
      <protection locked="0"/>
    </xf>
    <xf numFmtId="210" fontId="32" fillId="0" borderId="179" xfId="39" applyNumberFormat="1" applyFont="1" applyBorder="1" applyAlignment="1">
      <alignment horizontal="center"/>
    </xf>
    <xf numFmtId="0" fontId="32" fillId="0" borderId="192" xfId="0" applyFont="1" applyBorder="1" applyAlignment="1" applyProtection="1">
      <alignment horizontal="left" indent="4"/>
      <protection locked="0"/>
    </xf>
    <xf numFmtId="201" fontId="32" fillId="20" borderId="193" xfId="0" applyNumberFormat="1" applyFont="1" applyFill="1" applyBorder="1" applyAlignment="1" applyProtection="1">
      <alignment horizontal="center"/>
      <protection locked="0"/>
    </xf>
    <xf numFmtId="208" fontId="32" fillId="0" borderId="194" xfId="0" applyNumberFormat="1" applyFont="1" applyBorder="1" applyAlignment="1">
      <alignment horizontal="center"/>
    </xf>
    <xf numFmtId="226" fontId="32" fillId="0" borderId="199" xfId="0" applyNumberFormat="1" applyFont="1" applyBorder="1" applyAlignment="1">
      <alignment horizontal="center"/>
    </xf>
    <xf numFmtId="226" fontId="32" fillId="36" borderId="199" xfId="0" applyNumberFormat="1" applyFont="1" applyFill="1" applyBorder="1" applyAlignment="1">
      <alignment horizontal="center"/>
    </xf>
    <xf numFmtId="201" fontId="32" fillId="20" borderId="198" xfId="0" applyNumberFormat="1" applyFont="1" applyFill="1" applyBorder="1" applyAlignment="1" applyProtection="1">
      <alignment horizontal="center"/>
      <protection locked="0"/>
    </xf>
    <xf numFmtId="3" fontId="39" fillId="0" borderId="197" xfId="0" applyNumberFormat="1" applyFont="1" applyBorder="1" applyAlignment="1">
      <alignment horizontal="left" vertical="center" indent="1"/>
    </xf>
    <xf numFmtId="3" fontId="39" fillId="20" borderId="195" xfId="34" applyNumberFormat="1" applyFont="1" applyFill="1" applyBorder="1" applyAlignment="1" applyProtection="1">
      <alignment horizontal="center" vertical="center"/>
      <protection locked="0"/>
    </xf>
    <xf numFmtId="3" fontId="39" fillId="20" borderId="198" xfId="34" applyNumberFormat="1" applyFont="1" applyFill="1" applyBorder="1" applyAlignment="1" applyProtection="1">
      <alignment horizontal="center" vertical="center"/>
      <protection locked="0"/>
    </xf>
    <xf numFmtId="10" fontId="39" fillId="20" borderId="195" xfId="0" applyNumberFormat="1" applyFont="1" applyFill="1" applyBorder="1" applyAlignment="1" applyProtection="1">
      <alignment horizontal="center" vertical="center"/>
      <protection locked="0"/>
    </xf>
    <xf numFmtId="10" fontId="39" fillId="20" borderId="198" xfId="0" applyNumberFormat="1" applyFont="1" applyFill="1" applyBorder="1" applyAlignment="1" applyProtection="1">
      <alignment horizontal="center" vertical="center"/>
      <protection locked="0"/>
    </xf>
    <xf numFmtId="3" fontId="39" fillId="20" borderId="195" xfId="0" applyNumberFormat="1" applyFont="1" applyFill="1" applyBorder="1" applyAlignment="1" applyProtection="1">
      <alignment horizontal="center" vertical="center"/>
      <protection locked="0"/>
    </xf>
    <xf numFmtId="3" fontId="39" fillId="20" borderId="198" xfId="0" applyNumberFormat="1" applyFont="1" applyFill="1" applyBorder="1" applyAlignment="1" applyProtection="1">
      <alignment horizontal="center" vertical="center"/>
      <protection locked="0"/>
    </xf>
    <xf numFmtId="3" fontId="39" fillId="0" borderId="201" xfId="0" applyNumberFormat="1" applyFont="1" applyBorder="1" applyAlignment="1">
      <alignment horizontal="left" vertical="center" indent="1"/>
    </xf>
    <xf numFmtId="173" fontId="39" fillId="20" borderId="202" xfId="0" applyNumberFormat="1" applyFont="1" applyFill="1" applyBorder="1" applyAlignment="1" applyProtection="1">
      <alignment horizontal="center" vertical="center"/>
      <protection locked="0"/>
    </xf>
    <xf numFmtId="173" fontId="39" fillId="20" borderId="203" xfId="0" applyNumberFormat="1" applyFont="1" applyFill="1" applyBorder="1" applyAlignment="1" applyProtection="1">
      <alignment horizontal="center" vertical="center"/>
      <protection locked="0"/>
    </xf>
    <xf numFmtId="0" fontId="17" fillId="0" borderId="186" xfId="0" applyFont="1" applyBorder="1" applyAlignment="1">
      <alignment horizontal="centerContinuous" vertical="center"/>
    </xf>
    <xf numFmtId="0" fontId="17" fillId="0" borderId="187" xfId="0" applyFont="1" applyBorder="1" applyAlignment="1">
      <alignment horizontal="centerContinuous" vertical="center"/>
    </xf>
    <xf numFmtId="0" fontId="17" fillId="0" borderId="188" xfId="0" applyFont="1" applyBorder="1" applyAlignment="1">
      <alignment horizontal="centerContinuous" vertical="center"/>
    </xf>
    <xf numFmtId="0" fontId="39" fillId="0" borderId="177" xfId="0" applyFont="1" applyBorder="1" applyAlignment="1">
      <alignment vertical="center"/>
    </xf>
    <xf numFmtId="0" fontId="39" fillId="0" borderId="178" xfId="0" applyFont="1" applyBorder="1" applyAlignment="1">
      <alignment vertical="center"/>
    </xf>
    <xf numFmtId="0" fontId="39" fillId="0" borderId="179" xfId="0" applyFont="1" applyBorder="1" applyAlignment="1">
      <alignment vertical="center"/>
    </xf>
    <xf numFmtId="0" fontId="39" fillId="0" borderId="177" xfId="0" applyFont="1" applyBorder="1" applyAlignment="1">
      <alignment horizontal="center" vertical="center"/>
    </xf>
    <xf numFmtId="164" fontId="17" fillId="0" borderId="178" xfId="34" applyFont="1" applyBorder="1" applyAlignment="1" applyProtection="1">
      <alignment vertical="center"/>
      <protection locked="0"/>
    </xf>
    <xf numFmtId="0" fontId="17" fillId="0" borderId="179" xfId="0" applyFont="1" applyBorder="1" applyAlignment="1">
      <alignment horizontal="left" vertical="center" indent="1"/>
    </xf>
    <xf numFmtId="0" fontId="39" fillId="0" borderId="175" xfId="0" applyFont="1" applyBorder="1" applyAlignment="1">
      <alignment horizontal="center" vertical="center"/>
    </xf>
    <xf numFmtId="164" fontId="39" fillId="18" borderId="173" xfId="34" applyFont="1" applyFill="1" applyBorder="1" applyAlignment="1" applyProtection="1">
      <alignment vertical="center"/>
      <protection locked="0"/>
    </xf>
    <xf numFmtId="0" fontId="17" fillId="0" borderId="174" xfId="0" applyFont="1" applyBorder="1" applyAlignment="1">
      <alignment horizontal="left" vertical="center" indent="1"/>
    </xf>
    <xf numFmtId="3" fontId="92" fillId="37" borderId="0" xfId="0" applyNumberFormat="1" applyFont="1" applyFill="1"/>
    <xf numFmtId="0" fontId="41" fillId="20" borderId="177" xfId="0" applyFont="1" applyFill="1" applyBorder="1" applyAlignment="1" applyProtection="1">
      <alignment horizontal="left" indent="1"/>
      <protection locked="0"/>
    </xf>
    <xf numFmtId="0" fontId="41" fillId="20" borderId="175" xfId="0" applyFont="1" applyFill="1" applyBorder="1" applyAlignment="1" applyProtection="1">
      <alignment horizontal="left" indent="1"/>
      <protection locked="0"/>
    </xf>
    <xf numFmtId="0" fontId="61" fillId="0" borderId="165" xfId="0" applyFont="1" applyBorder="1" applyAlignment="1">
      <alignment horizontal="left" indent="2"/>
    </xf>
    <xf numFmtId="3" fontId="41" fillId="20" borderId="166" xfId="0" applyNumberFormat="1" applyFont="1" applyFill="1" applyBorder="1" applyAlignment="1" applyProtection="1">
      <alignment horizontal="center"/>
      <protection locked="0"/>
    </xf>
    <xf numFmtId="3" fontId="41" fillId="20" borderId="169" xfId="0" applyNumberFormat="1" applyFont="1" applyFill="1" applyBorder="1" applyAlignment="1" applyProtection="1">
      <alignment horizontal="center" vertical="center"/>
      <protection locked="0"/>
    </xf>
    <xf numFmtId="0" fontId="41" fillId="0" borderId="177" xfId="0" applyFont="1" applyBorder="1" applyAlignment="1">
      <alignment horizontal="left" indent="1"/>
    </xf>
    <xf numFmtId="3" fontId="16" fillId="20" borderId="178" xfId="0" applyNumberFormat="1" applyFont="1" applyFill="1" applyBorder="1" applyAlignment="1" applyProtection="1">
      <alignment horizontal="center"/>
      <protection locked="0"/>
    </xf>
    <xf numFmtId="3" fontId="16" fillId="18" borderId="178" xfId="39" applyNumberFormat="1" applyFont="1" applyFill="1" applyBorder="1" applyAlignment="1" applyProtection="1">
      <alignment horizontal="center"/>
      <protection locked="0"/>
    </xf>
    <xf numFmtId="3" fontId="16" fillId="18" borderId="179" xfId="39" applyNumberFormat="1" applyFont="1" applyFill="1" applyBorder="1" applyAlignment="1" applyProtection="1">
      <alignment horizontal="center"/>
      <protection locked="0"/>
    </xf>
    <xf numFmtId="0" fontId="41" fillId="0" borderId="175" xfId="0" applyFont="1" applyBorder="1" applyAlignment="1">
      <alignment horizontal="left" indent="1"/>
    </xf>
    <xf numFmtId="3" fontId="16" fillId="20" borderId="173" xfId="0" applyNumberFormat="1" applyFont="1" applyFill="1" applyBorder="1" applyAlignment="1" applyProtection="1">
      <alignment horizontal="center"/>
      <protection locked="0"/>
    </xf>
    <xf numFmtId="3" fontId="16" fillId="18" borderId="173" xfId="39" applyNumberFormat="1" applyFont="1" applyFill="1" applyBorder="1" applyAlignment="1" applyProtection="1">
      <alignment horizontal="center"/>
      <protection locked="0"/>
    </xf>
    <xf numFmtId="3" fontId="16" fillId="18" borderId="174" xfId="39" applyNumberFormat="1" applyFont="1" applyFill="1" applyBorder="1" applyAlignment="1" applyProtection="1">
      <alignment horizontal="center"/>
      <protection locked="0"/>
    </xf>
    <xf numFmtId="3" fontId="16" fillId="18" borderId="178" xfId="0" applyNumberFormat="1" applyFont="1" applyFill="1" applyBorder="1" applyAlignment="1" applyProtection="1">
      <alignment horizontal="center"/>
      <protection locked="0"/>
    </xf>
    <xf numFmtId="3" fontId="16" fillId="18" borderId="179" xfId="0" applyNumberFormat="1" applyFont="1" applyFill="1" applyBorder="1" applyAlignment="1" applyProtection="1">
      <alignment horizontal="center"/>
      <protection locked="0"/>
    </xf>
    <xf numFmtId="3" fontId="16" fillId="18" borderId="178" xfId="0" applyNumberFormat="1" applyFont="1" applyFill="1" applyBorder="1" applyAlignment="1" applyProtection="1">
      <alignment horizontal="center" vertical="center"/>
      <protection locked="0"/>
    </xf>
    <xf numFmtId="3" fontId="16" fillId="18" borderId="179" xfId="0" applyNumberFormat="1" applyFont="1" applyFill="1" applyBorder="1" applyAlignment="1" applyProtection="1">
      <alignment horizontal="center" vertical="center"/>
      <protection locked="0"/>
    </xf>
    <xf numFmtId="166" fontId="16" fillId="18" borderId="178" xfId="39" applyNumberFormat="1" applyFont="1" applyFill="1" applyBorder="1" applyAlignment="1" applyProtection="1">
      <alignment horizontal="center"/>
      <protection locked="0"/>
    </xf>
    <xf numFmtId="166" fontId="16" fillId="18" borderId="179" xfId="39" applyNumberFormat="1" applyFont="1" applyFill="1" applyBorder="1" applyAlignment="1" applyProtection="1">
      <alignment horizontal="center"/>
      <protection locked="0"/>
    </xf>
    <xf numFmtId="166" fontId="16" fillId="18" borderId="173" xfId="39" applyNumberFormat="1" applyFont="1" applyFill="1" applyBorder="1" applyAlignment="1" applyProtection="1">
      <alignment horizontal="center"/>
      <protection locked="0"/>
    </xf>
    <xf numFmtId="166" fontId="16" fillId="18" borderId="174" xfId="39" applyNumberFormat="1" applyFont="1" applyFill="1" applyBorder="1" applyAlignment="1" applyProtection="1">
      <alignment horizontal="center"/>
      <protection locked="0"/>
    </xf>
    <xf numFmtId="0" fontId="41" fillId="0" borderId="177" xfId="0" applyFont="1" applyBorder="1" applyAlignment="1">
      <alignment horizontal="centerContinuous"/>
    </xf>
    <xf numFmtId="166" fontId="16" fillId="18" borderId="178" xfId="39" applyNumberFormat="1" applyFont="1" applyFill="1" applyBorder="1" applyAlignment="1" applyProtection="1">
      <alignment horizontal="centerContinuous"/>
      <protection locked="0"/>
    </xf>
    <xf numFmtId="166" fontId="16" fillId="0" borderId="178" xfId="39" applyNumberFormat="1" applyFont="1" applyBorder="1" applyAlignment="1">
      <alignment horizontal="center"/>
    </xf>
    <xf numFmtId="166" fontId="16" fillId="0" borderId="179" xfId="39" applyNumberFormat="1" applyFont="1" applyBorder="1" applyAlignment="1">
      <alignment horizontal="center"/>
    </xf>
    <xf numFmtId="0" fontId="41" fillId="0" borderId="175" xfId="0" applyFont="1" applyBorder="1" applyAlignment="1">
      <alignment horizontal="centerContinuous"/>
    </xf>
    <xf numFmtId="0" fontId="48" fillId="34" borderId="171" xfId="0" applyFont="1" applyFill="1" applyBorder="1" applyAlignment="1">
      <alignment horizontal="centerContinuous"/>
    </xf>
    <xf numFmtId="0" fontId="48" fillId="34" borderId="170" xfId="0" applyFont="1" applyFill="1" applyBorder="1" applyAlignment="1">
      <alignment horizontal="centerContinuous"/>
    </xf>
    <xf numFmtId="0" fontId="48" fillId="34" borderId="161" xfId="0" applyFont="1" applyFill="1" applyBorder="1" applyAlignment="1">
      <alignment horizontal="centerContinuous"/>
    </xf>
    <xf numFmtId="3" fontId="89" fillId="37" borderId="0" xfId="0" applyNumberFormat="1" applyFont="1" applyFill="1"/>
    <xf numFmtId="0" fontId="48" fillId="44" borderId="186" xfId="0" applyFont="1" applyFill="1" applyBorder="1"/>
    <xf numFmtId="0" fontId="42" fillId="44" borderId="187" xfId="0" applyFont="1" applyFill="1" applyBorder="1" applyAlignment="1">
      <alignment horizontal="right"/>
    </xf>
    <xf numFmtId="0" fontId="22" fillId="18" borderId="188" xfId="0" applyFont="1" applyFill="1" applyBorder="1" applyAlignment="1" applyProtection="1">
      <alignment horizontal="center"/>
      <protection locked="0"/>
    </xf>
    <xf numFmtId="0" fontId="48" fillId="44" borderId="175" xfId="0" applyFont="1" applyFill="1" applyBorder="1"/>
    <xf numFmtId="0" fontId="42" fillId="44" borderId="173" xfId="0" applyFont="1" applyFill="1" applyBorder="1" applyAlignment="1">
      <alignment horizontal="right"/>
    </xf>
    <xf numFmtId="0" fontId="22" fillId="18" borderId="174" xfId="0" applyFont="1" applyFill="1" applyBorder="1" applyAlignment="1" applyProtection="1">
      <alignment horizontal="center"/>
      <protection locked="0"/>
    </xf>
    <xf numFmtId="201" fontId="32" fillId="0" borderId="195" xfId="0" applyNumberFormat="1" applyFont="1" applyBorder="1"/>
    <xf numFmtId="211" fontId="32" fillId="0" borderId="195" xfId="0" applyNumberFormat="1" applyFont="1" applyBorder="1" applyAlignment="1">
      <alignment horizontal="right" indent="2"/>
    </xf>
    <xf numFmtId="166" fontId="32" fillId="18" borderId="195" xfId="39" applyNumberFormat="1" applyFont="1" applyFill="1" applyBorder="1" applyAlignment="1" applyProtection="1">
      <alignment horizontal="center"/>
      <protection locked="0"/>
    </xf>
    <xf numFmtId="0" fontId="42" fillId="44" borderId="205" xfId="0" applyFont="1" applyFill="1" applyBorder="1" applyAlignment="1">
      <alignment horizontal="left" vertical="center" indent="2"/>
    </xf>
    <xf numFmtId="0" fontId="95" fillId="44" borderId="206" xfId="0" applyFont="1" applyFill="1" applyBorder="1" applyAlignment="1">
      <alignment horizontal="center" vertical="center" wrapText="1"/>
    </xf>
    <xf numFmtId="0" fontId="95" fillId="44" borderId="207" xfId="0" applyFont="1" applyFill="1" applyBorder="1" applyAlignment="1">
      <alignment horizontal="center" vertical="center" wrapText="1"/>
    </xf>
    <xf numFmtId="0" fontId="32" fillId="0" borderId="208" xfId="0" applyFont="1" applyBorder="1" applyAlignment="1">
      <alignment horizontal="left" indent="4"/>
    </xf>
    <xf numFmtId="0" fontId="32" fillId="0" borderId="208" xfId="0" applyFont="1" applyBorder="1" applyAlignment="1" applyProtection="1">
      <alignment horizontal="left" indent="4"/>
      <protection locked="0"/>
    </xf>
    <xf numFmtId="201" fontId="32" fillId="0" borderId="178" xfId="0" applyNumberFormat="1" applyFont="1" applyBorder="1"/>
    <xf numFmtId="211" fontId="32" fillId="0" borderId="195" xfId="0" applyNumberFormat="1" applyFont="1" applyBorder="1" applyAlignment="1">
      <alignment horizontal="center"/>
    </xf>
    <xf numFmtId="208" fontId="32" fillId="0" borderId="209" xfId="0" applyNumberFormat="1" applyFont="1" applyBorder="1" applyAlignment="1">
      <alignment horizontal="center"/>
    </xf>
    <xf numFmtId="0" fontId="32" fillId="0" borderId="37" xfId="0" applyFont="1" applyBorder="1" applyAlignment="1">
      <alignment horizontal="left" indent="2"/>
    </xf>
    <xf numFmtId="0" fontId="32" fillId="0" borderId="37" xfId="0" applyFont="1" applyBorder="1"/>
    <xf numFmtId="211" fontId="32" fillId="36" borderId="195" xfId="0" applyNumberFormat="1" applyFont="1" applyFill="1" applyBorder="1" applyAlignment="1">
      <alignment horizontal="center"/>
    </xf>
    <xf numFmtId="166" fontId="32" fillId="0" borderId="195" xfId="39" applyNumberFormat="1" applyFont="1" applyBorder="1" applyAlignment="1">
      <alignment horizontal="center"/>
    </xf>
    <xf numFmtId="208" fontId="32" fillId="36" borderId="209" xfId="0" applyNumberFormat="1" applyFont="1" applyFill="1" applyBorder="1" applyAlignment="1">
      <alignment horizontal="center"/>
    </xf>
    <xf numFmtId="211" fontId="32" fillId="36" borderId="195" xfId="0" applyNumberFormat="1" applyFont="1" applyFill="1" applyBorder="1" applyAlignment="1">
      <alignment horizontal="right" indent="2"/>
    </xf>
    <xf numFmtId="3" fontId="96" fillId="37" borderId="0" xfId="0" applyNumberFormat="1" applyFont="1" applyFill="1"/>
    <xf numFmtId="3" fontId="153" fillId="37" borderId="0" xfId="0" applyNumberFormat="1" applyFont="1" applyFill="1"/>
    <xf numFmtId="3" fontId="152" fillId="37" borderId="0" xfId="0" applyNumberFormat="1" applyFont="1" applyFill="1"/>
    <xf numFmtId="3" fontId="42" fillId="44" borderId="186" xfId="0" applyNumberFormat="1" applyFont="1" applyFill="1" applyBorder="1" applyAlignment="1">
      <alignment horizontal="centerContinuous" vertical="center"/>
    </xf>
    <xf numFmtId="3" fontId="42" fillId="44" borderId="187" xfId="0" applyNumberFormat="1" applyFont="1" applyFill="1" applyBorder="1" applyAlignment="1">
      <alignment horizontal="center" wrapText="1"/>
    </xf>
    <xf numFmtId="3" fontId="61" fillId="0" borderId="177" xfId="0" applyNumberFormat="1" applyFont="1" applyBorder="1" applyAlignment="1">
      <alignment horizontal="left" indent="1"/>
    </xf>
    <xf numFmtId="201" fontId="32" fillId="20" borderId="178" xfId="0" applyNumberFormat="1" applyFont="1" applyFill="1" applyBorder="1" applyProtection="1">
      <protection locked="0"/>
    </xf>
    <xf numFmtId="3" fontId="16" fillId="0" borderId="162" xfId="0" applyNumberFormat="1" applyFont="1" applyBorder="1" applyAlignment="1">
      <alignment horizontal="center"/>
    </xf>
    <xf numFmtId="3" fontId="16" fillId="0" borderId="163" xfId="0" applyNumberFormat="1" applyFont="1" applyBorder="1" applyAlignment="1">
      <alignment horizontal="center"/>
    </xf>
    <xf numFmtId="178" fontId="16" fillId="0" borderId="163" xfId="0" applyNumberFormat="1" applyFont="1" applyBorder="1" applyAlignment="1">
      <alignment horizontal="center" vertical="center"/>
    </xf>
    <xf numFmtId="0" fontId="41" fillId="0" borderId="165" xfId="0" applyFont="1" applyBorder="1" applyAlignment="1">
      <alignment horizontal="left" indent="1"/>
    </xf>
    <xf numFmtId="0" fontId="41" fillId="0" borderId="165" xfId="0" applyFont="1" applyBorder="1"/>
    <xf numFmtId="0" fontId="41" fillId="0" borderId="166" xfId="0" applyFont="1" applyBorder="1"/>
    <xf numFmtId="3" fontId="16" fillId="0" borderId="165" xfId="0" applyNumberFormat="1" applyFont="1" applyBorder="1" applyAlignment="1">
      <alignment horizontal="center"/>
    </xf>
    <xf numFmtId="0" fontId="41" fillId="0" borderId="167" xfId="0" applyFont="1" applyBorder="1" applyAlignment="1">
      <alignment horizontal="left" indent="1"/>
    </xf>
    <xf numFmtId="3" fontId="41" fillId="20" borderId="168" xfId="0" applyNumberFormat="1" applyFont="1" applyFill="1" applyBorder="1" applyAlignment="1">
      <alignment horizontal="center"/>
    </xf>
    <xf numFmtId="3" fontId="41" fillId="0" borderId="168" xfId="0" applyNumberFormat="1" applyFont="1" applyBorder="1" applyAlignment="1">
      <alignment horizontal="center"/>
    </xf>
    <xf numFmtId="0" fontId="16" fillId="0" borderId="171" xfId="0" applyFont="1" applyBorder="1" applyAlignment="1">
      <alignment horizontal="right"/>
    </xf>
    <xf numFmtId="0" fontId="53" fillId="0" borderId="172" xfId="31" applyFont="1" applyBorder="1" applyAlignment="1" applyProtection="1">
      <alignment horizontal="right"/>
    </xf>
    <xf numFmtId="178" fontId="16" fillId="0" borderId="172" xfId="0" applyNumberFormat="1" applyFont="1" applyBorder="1" applyAlignment="1">
      <alignment horizontal="centerContinuous"/>
    </xf>
    <xf numFmtId="3" fontId="16" fillId="0" borderId="172" xfId="0" applyNumberFormat="1" applyFont="1" applyBorder="1" applyAlignment="1">
      <alignment horizontal="centerContinuous"/>
    </xf>
    <xf numFmtId="0" fontId="16" fillId="0" borderId="172" xfId="0" applyFont="1" applyBorder="1" applyAlignment="1">
      <alignment horizontal="left"/>
    </xf>
    <xf numFmtId="3" fontId="16" fillId="0" borderId="170" xfId="0" applyNumberFormat="1" applyFont="1" applyBorder="1" applyAlignment="1">
      <alignment horizontal="center"/>
    </xf>
    <xf numFmtId="3" fontId="22" fillId="0" borderId="178" xfId="0" applyNumberFormat="1" applyFont="1" applyBorder="1" applyAlignment="1">
      <alignment horizontal="center" vertical="center"/>
    </xf>
    <xf numFmtId="230" fontId="32" fillId="0" borderId="178" xfId="0" applyNumberFormat="1" applyFont="1" applyBorder="1"/>
    <xf numFmtId="197" fontId="32" fillId="0" borderId="178" xfId="39" applyNumberFormat="1" applyFont="1" applyBorder="1"/>
    <xf numFmtId="3" fontId="22" fillId="0" borderId="213" xfId="0" applyNumberFormat="1" applyFont="1" applyBorder="1" applyAlignment="1">
      <alignment horizontal="center" vertical="center"/>
    </xf>
    <xf numFmtId="3" fontId="22" fillId="0" borderId="214" xfId="0" applyNumberFormat="1" applyFont="1" applyBorder="1" applyAlignment="1">
      <alignment horizontal="center" vertical="center"/>
    </xf>
    <xf numFmtId="3" fontId="22" fillId="0" borderId="213" xfId="0" applyNumberFormat="1" applyFont="1" applyBorder="1" applyAlignment="1">
      <alignment horizontal="left"/>
    </xf>
    <xf numFmtId="197" fontId="32" fillId="0" borderId="214" xfId="39" applyNumberFormat="1" applyFont="1" applyBorder="1"/>
    <xf numFmtId="3" fontId="22" fillId="0" borderId="215" xfId="0" applyNumberFormat="1" applyFont="1" applyBorder="1" applyAlignment="1">
      <alignment horizontal="left"/>
    </xf>
    <xf numFmtId="230" fontId="32" fillId="0" borderId="216" xfId="0" applyNumberFormat="1" applyFont="1" applyBorder="1"/>
    <xf numFmtId="197" fontId="32" fillId="0" borderId="216" xfId="39" applyNumberFormat="1" applyFont="1" applyBorder="1"/>
    <xf numFmtId="197" fontId="32" fillId="0" borderId="217" xfId="39" applyNumberFormat="1" applyFont="1" applyBorder="1"/>
    <xf numFmtId="3" fontId="22" fillId="0" borderId="213" xfId="0" applyNumberFormat="1" applyFont="1" applyBorder="1" applyAlignment="1">
      <alignment horizontal="centerContinuous" vertical="center"/>
    </xf>
    <xf numFmtId="3" fontId="94" fillId="37" borderId="0" xfId="0" applyNumberFormat="1" applyFont="1" applyFill="1" applyAlignment="1">
      <alignment horizontal="center"/>
    </xf>
    <xf numFmtId="3" fontId="47" fillId="37" borderId="0" xfId="0" applyNumberFormat="1" applyFont="1" applyFill="1"/>
    <xf numFmtId="3" fontId="37" fillId="0" borderId="171" xfId="0" applyNumberFormat="1" applyFont="1" applyBorder="1" applyAlignment="1">
      <alignment horizontal="center" vertical="center"/>
    </xf>
    <xf numFmtId="3" fontId="22" fillId="18" borderId="172" xfId="0" applyNumberFormat="1" applyFont="1" applyFill="1" applyBorder="1" applyAlignment="1">
      <alignment vertical="center"/>
    </xf>
    <xf numFmtId="194" fontId="22" fillId="0" borderId="172" xfId="0" applyNumberFormat="1" applyFont="1" applyBorder="1" applyAlignment="1">
      <alignment vertical="center"/>
    </xf>
    <xf numFmtId="194" fontId="22" fillId="0" borderId="170" xfId="0" applyNumberFormat="1" applyFont="1" applyBorder="1" applyAlignment="1">
      <alignment vertical="center"/>
    </xf>
    <xf numFmtId="3" fontId="22" fillId="0" borderId="171" xfId="0" applyNumberFormat="1" applyFont="1" applyBorder="1" applyAlignment="1">
      <alignment horizontal="center" vertical="center"/>
    </xf>
    <xf numFmtId="3" fontId="22" fillId="0" borderId="172" xfId="0" applyNumberFormat="1" applyFont="1" applyBorder="1" applyAlignment="1">
      <alignment vertical="center"/>
    </xf>
    <xf numFmtId="0" fontId="41" fillId="0" borderId="167" xfId="0" applyFont="1" applyBorder="1"/>
    <xf numFmtId="0" fontId="16" fillId="0" borderId="168" xfId="0" applyFont="1" applyBorder="1" applyAlignment="1">
      <alignment horizontal="right"/>
    </xf>
    <xf numFmtId="201" fontId="16" fillId="0" borderId="168" xfId="0" applyNumberFormat="1" applyFont="1" applyBorder="1"/>
    <xf numFmtId="0" fontId="16" fillId="0" borderId="168" xfId="0" applyFont="1" applyBorder="1" applyAlignment="1">
      <alignment horizontal="left" indent="2"/>
    </xf>
    <xf numFmtId="0" fontId="41" fillId="0" borderId="168" xfId="0" applyFont="1" applyBorder="1"/>
    <xf numFmtId="0" fontId="41" fillId="0" borderId="169" xfId="0" applyFont="1" applyBorder="1"/>
    <xf numFmtId="0" fontId="41" fillId="0" borderId="171" xfId="0" applyFont="1" applyBorder="1"/>
    <xf numFmtId="0" fontId="41" fillId="0" borderId="172" xfId="0" applyFont="1" applyBorder="1" applyAlignment="1">
      <alignment horizontal="right"/>
    </xf>
    <xf numFmtId="217" fontId="41" fillId="0" borderId="172" xfId="0" applyNumberFormat="1" applyFont="1" applyBorder="1"/>
    <xf numFmtId="0" fontId="41" fillId="0" borderId="172" xfId="0" applyFont="1" applyBorder="1" applyAlignment="1">
      <alignment horizontal="left" indent="1"/>
    </xf>
    <xf numFmtId="0" fontId="41" fillId="0" borderId="172" xfId="0" applyFont="1" applyBorder="1"/>
    <xf numFmtId="0" fontId="41" fillId="0" borderId="170" xfId="0" applyFont="1" applyBorder="1"/>
    <xf numFmtId="0" fontId="16" fillId="0" borderId="172" xfId="0" applyFont="1" applyBorder="1" applyAlignment="1">
      <alignment horizontal="right"/>
    </xf>
    <xf numFmtId="202" fontId="16" fillId="0" borderId="172" xfId="0" applyNumberFormat="1" applyFont="1" applyBorder="1"/>
    <xf numFmtId="0" fontId="61" fillId="0" borderId="162" xfId="0" applyFont="1" applyBorder="1"/>
    <xf numFmtId="0" fontId="37" fillId="0" borderId="163" xfId="0" applyFont="1" applyBorder="1" applyAlignment="1">
      <alignment horizontal="right"/>
    </xf>
    <xf numFmtId="201" fontId="16" fillId="0" borderId="163" xfId="0" applyNumberFormat="1" applyFont="1" applyBorder="1"/>
    <xf numFmtId="0" fontId="16" fillId="0" borderId="163" xfId="0" applyFont="1" applyBorder="1" applyAlignment="1">
      <alignment horizontal="left" indent="1"/>
    </xf>
    <xf numFmtId="0" fontId="41" fillId="0" borderId="163" xfId="0" applyFont="1" applyBorder="1"/>
    <xf numFmtId="0" fontId="41" fillId="0" borderId="164" xfId="0" applyFont="1" applyBorder="1"/>
    <xf numFmtId="0" fontId="41" fillId="0" borderId="168" xfId="0" applyFont="1" applyBorder="1" applyAlignment="1">
      <alignment horizontal="right"/>
    </xf>
    <xf numFmtId="201" fontId="65" fillId="0" borderId="168" xfId="0" applyNumberFormat="1" applyFont="1" applyBorder="1"/>
    <xf numFmtId="0" fontId="65" fillId="0" borderId="168" xfId="0" applyFont="1" applyBorder="1" applyAlignment="1">
      <alignment horizontal="left" indent="1"/>
    </xf>
    <xf numFmtId="0" fontId="41" fillId="0" borderId="162" xfId="0" applyFont="1" applyBorder="1"/>
    <xf numFmtId="0" fontId="16" fillId="0" borderId="163" xfId="0" applyFont="1" applyBorder="1" applyAlignment="1">
      <alignment horizontal="right"/>
    </xf>
    <xf numFmtId="192" fontId="16" fillId="0" borderId="163" xfId="0" applyNumberFormat="1" applyFont="1" applyBorder="1"/>
    <xf numFmtId="0" fontId="61" fillId="0" borderId="165" xfId="0" applyFont="1" applyBorder="1"/>
    <xf numFmtId="0" fontId="47" fillId="44" borderId="218" xfId="0" applyFont="1" applyFill="1" applyBorder="1" applyAlignment="1">
      <alignment horizontal="centerContinuous"/>
    </xf>
    <xf numFmtId="167" fontId="48" fillId="37" borderId="0" xfId="0" applyNumberFormat="1" applyFont="1" applyFill="1" applyAlignment="1">
      <alignment horizontal="centerContinuous"/>
    </xf>
    <xf numFmtId="3" fontId="48" fillId="37" borderId="0" xfId="0" applyNumberFormat="1" applyFont="1" applyFill="1"/>
    <xf numFmtId="3" fontId="32" fillId="0" borderId="165" xfId="0" applyNumberFormat="1" applyFont="1" applyBorder="1" applyAlignment="1">
      <alignment horizontal="left" indent="1"/>
    </xf>
    <xf numFmtId="202" fontId="32" fillId="18" borderId="0" xfId="39" applyNumberFormat="1" applyFont="1" applyFill="1" applyProtection="1">
      <protection locked="0"/>
    </xf>
    <xf numFmtId="4" fontId="32" fillId="0" borderId="0" xfId="0" applyNumberFormat="1" applyFont="1" applyProtection="1">
      <protection locked="0"/>
    </xf>
    <xf numFmtId="9" fontId="47" fillId="37" borderId="0" xfId="39" applyFont="1" applyFill="1" applyAlignment="1">
      <alignment horizontal="center"/>
    </xf>
    <xf numFmtId="3" fontId="47" fillId="37" borderId="0" xfId="0" applyNumberFormat="1" applyFont="1" applyFill="1" applyAlignment="1">
      <alignment horizontal="right"/>
    </xf>
    <xf numFmtId="0" fontId="41" fillId="0" borderId="219" xfId="0" applyFont="1" applyBorder="1" applyAlignment="1">
      <alignment horizontal="left" vertical="center"/>
    </xf>
    <xf numFmtId="0" fontId="41" fillId="0" borderId="220" xfId="0" applyFont="1" applyBorder="1" applyAlignment="1">
      <alignment horizontal="left" vertical="center"/>
    </xf>
    <xf numFmtId="0" fontId="41" fillId="0" borderId="202" xfId="0" applyFont="1" applyBorder="1" applyAlignment="1">
      <alignment vertical="center"/>
    </xf>
    <xf numFmtId="0" fontId="41" fillId="0" borderId="203" xfId="0" applyFont="1" applyBorder="1" applyAlignment="1">
      <alignment vertical="center"/>
    </xf>
    <xf numFmtId="0" fontId="32" fillId="0" borderId="219" xfId="0" applyFont="1" applyBorder="1" applyAlignment="1">
      <alignment vertical="center"/>
    </xf>
    <xf numFmtId="0" fontId="32" fillId="0" borderId="220" xfId="0" applyFont="1" applyBorder="1" applyAlignment="1">
      <alignment vertical="center"/>
    </xf>
    <xf numFmtId="0" fontId="32" fillId="0" borderId="195" xfId="0" applyFont="1" applyBorder="1" applyAlignment="1">
      <alignment vertical="center"/>
    </xf>
    <xf numFmtId="0" fontId="32" fillId="0" borderId="198" xfId="0" applyFont="1" applyBorder="1" applyAlignment="1">
      <alignment vertical="center"/>
    </xf>
    <xf numFmtId="0" fontId="32" fillId="0" borderId="202" xfId="0" applyFont="1" applyBorder="1" applyAlignment="1">
      <alignment vertical="center"/>
    </xf>
    <xf numFmtId="0" fontId="32" fillId="0" borderId="203" xfId="0" applyFont="1" applyBorder="1" applyAlignment="1">
      <alignment vertical="center"/>
    </xf>
    <xf numFmtId="0" fontId="32" fillId="0" borderId="188" xfId="0" applyFont="1" applyBorder="1" applyAlignment="1">
      <alignment horizontal="left"/>
    </xf>
    <xf numFmtId="166" fontId="32" fillId="0" borderId="179" xfId="39" applyNumberFormat="1" applyFont="1" applyBorder="1" applyAlignment="1">
      <alignment horizontal="left"/>
    </xf>
    <xf numFmtId="166" fontId="32" fillId="0" borderId="174" xfId="39" applyNumberFormat="1" applyFont="1" applyBorder="1" applyAlignment="1">
      <alignment horizontal="left"/>
    </xf>
    <xf numFmtId="0" fontId="32" fillId="0" borderId="188" xfId="0" applyFont="1" applyBorder="1"/>
    <xf numFmtId="0" fontId="32" fillId="0" borderId="179" xfId="0" applyFont="1" applyBorder="1"/>
    <xf numFmtId="0" fontId="32" fillId="0" borderId="174" xfId="0" applyFont="1" applyBorder="1"/>
    <xf numFmtId="220" fontId="42" fillId="44" borderId="221" xfId="0" applyNumberFormat="1" applyFont="1" applyFill="1" applyBorder="1" applyAlignment="1">
      <alignment horizontal="center"/>
    </xf>
    <xf numFmtId="3" fontId="42" fillId="44" borderId="222" xfId="0" applyNumberFormat="1" applyFont="1" applyFill="1" applyBorder="1" applyAlignment="1">
      <alignment horizontal="center"/>
    </xf>
    <xf numFmtId="192" fontId="32" fillId="0" borderId="223" xfId="0" applyNumberFormat="1" applyFont="1" applyBorder="1" applyAlignment="1">
      <alignment horizontal="center"/>
    </xf>
    <xf numFmtId="192" fontId="32" fillId="0" borderId="224" xfId="0" applyNumberFormat="1" applyFont="1" applyBorder="1" applyAlignment="1">
      <alignment horizontal="center"/>
    </xf>
    <xf numFmtId="192" fontId="32" fillId="0" borderId="172" xfId="0" applyNumberFormat="1" applyFont="1" applyBorder="1" applyAlignment="1">
      <alignment horizontal="center"/>
    </xf>
    <xf numFmtId="192" fontId="32" fillId="0" borderId="170" xfId="0" applyNumberFormat="1" applyFont="1" applyBorder="1" applyAlignment="1">
      <alignment horizontal="center"/>
    </xf>
    <xf numFmtId="217" fontId="32" fillId="0" borderId="172" xfId="0" applyNumberFormat="1" applyFont="1" applyBorder="1" applyAlignment="1">
      <alignment horizontal="center"/>
    </xf>
    <xf numFmtId="217" fontId="32" fillId="0" borderId="170" xfId="0" applyNumberFormat="1" applyFont="1" applyBorder="1" applyAlignment="1">
      <alignment horizontal="center"/>
    </xf>
    <xf numFmtId="3" fontId="32" fillId="0" borderId="172" xfId="0" applyNumberFormat="1" applyFont="1" applyBorder="1" applyAlignment="1">
      <alignment horizontal="center"/>
    </xf>
    <xf numFmtId="3" fontId="32" fillId="0" borderId="170" xfId="0" applyNumberFormat="1" applyFont="1" applyBorder="1" applyAlignment="1">
      <alignment horizontal="center"/>
    </xf>
    <xf numFmtId="4" fontId="32" fillId="0" borderId="172" xfId="0" applyNumberFormat="1" applyFont="1" applyBorder="1" applyAlignment="1">
      <alignment horizontal="center"/>
    </xf>
    <xf numFmtId="4" fontId="32" fillId="0" borderId="170" xfId="0" applyNumberFormat="1" applyFont="1" applyBorder="1" applyAlignment="1">
      <alignment horizontal="center"/>
    </xf>
    <xf numFmtId="197" fontId="32" fillId="0" borderId="172" xfId="39" applyNumberFormat="1" applyFont="1" applyBorder="1" applyAlignment="1">
      <alignment horizontal="center"/>
    </xf>
    <xf numFmtId="197" fontId="32" fillId="0" borderId="170" xfId="39" applyNumberFormat="1" applyFont="1" applyBorder="1" applyAlignment="1">
      <alignment horizontal="center"/>
    </xf>
    <xf numFmtId="0" fontId="42" fillId="44" borderId="225" xfId="0" applyFont="1" applyFill="1" applyBorder="1" applyAlignment="1">
      <alignment horizontal="center"/>
    </xf>
    <xf numFmtId="3" fontId="42" fillId="44" borderId="226" xfId="0" applyNumberFormat="1" applyFont="1" applyFill="1" applyBorder="1" applyAlignment="1">
      <alignment horizontal="center"/>
    </xf>
    <xf numFmtId="0" fontId="22" fillId="0" borderId="227" xfId="0" applyFont="1" applyBorder="1" applyAlignment="1">
      <alignment horizontal="right" vertical="center"/>
    </xf>
    <xf numFmtId="0" fontId="22" fillId="0" borderId="228" xfId="0" applyFont="1" applyBorder="1" applyAlignment="1">
      <alignment horizontal="right" vertical="center"/>
    </xf>
    <xf numFmtId="0" fontId="48" fillId="44" borderId="229" xfId="0" applyFont="1" applyFill="1" applyBorder="1" applyAlignment="1">
      <alignment horizontal="center"/>
    </xf>
    <xf numFmtId="0" fontId="48" fillId="44" borderId="230" xfId="0" applyFont="1" applyFill="1" applyBorder="1" applyAlignment="1">
      <alignment horizontal="center"/>
    </xf>
    <xf numFmtId="0" fontId="48" fillId="44" borderId="231" xfId="0" applyFont="1" applyFill="1" applyBorder="1" applyAlignment="1">
      <alignment horizontal="centerContinuous"/>
    </xf>
    <xf numFmtId="0" fontId="47" fillId="44" borderId="232" xfId="0" applyFont="1" applyFill="1" applyBorder="1" applyAlignment="1">
      <alignment horizontal="centerContinuous"/>
    </xf>
    <xf numFmtId="0" fontId="47" fillId="44" borderId="233" xfId="0" applyFont="1" applyFill="1" applyBorder="1" applyAlignment="1">
      <alignment horizontal="centerContinuous"/>
    </xf>
    <xf numFmtId="0" fontId="61" fillId="0" borderId="234" xfId="0" applyFont="1" applyBorder="1"/>
    <xf numFmtId="0" fontId="37" fillId="0" borderId="235" xfId="0" applyFont="1" applyBorder="1" applyAlignment="1">
      <alignment horizontal="center"/>
    </xf>
    <xf numFmtId="0" fontId="37" fillId="0" borderId="236" xfId="0" applyFont="1" applyBorder="1" applyAlignment="1">
      <alignment horizontal="center"/>
    </xf>
    <xf numFmtId="0" fontId="37" fillId="0" borderId="177" xfId="0" applyFont="1" applyBorder="1" applyAlignment="1">
      <alignment horizontal="right"/>
    </xf>
    <xf numFmtId="0" fontId="66" fillId="0" borderId="178" xfId="0" applyFont="1" applyBorder="1" applyAlignment="1">
      <alignment horizontal="center"/>
    </xf>
    <xf numFmtId="2" fontId="61" fillId="0" borderId="179" xfId="0" applyNumberFormat="1" applyFont="1" applyBorder="1" applyAlignment="1">
      <alignment horizontal="center"/>
    </xf>
    <xf numFmtId="218" fontId="37" fillId="0" borderId="177" xfId="0" applyNumberFormat="1" applyFont="1" applyBorder="1" applyAlignment="1">
      <alignment horizontal="right"/>
    </xf>
    <xf numFmtId="218" fontId="37" fillId="0" borderId="175" xfId="0" applyNumberFormat="1" applyFont="1" applyBorder="1" applyAlignment="1">
      <alignment horizontal="right"/>
    </xf>
    <xf numFmtId="0" fontId="66" fillId="0" borderId="173" xfId="0" applyFont="1" applyBorder="1" applyAlignment="1">
      <alignment horizontal="center"/>
    </xf>
    <xf numFmtId="2" fontId="61" fillId="0" borderId="174" xfId="0" applyNumberFormat="1" applyFont="1" applyBorder="1" applyAlignment="1">
      <alignment horizontal="center"/>
    </xf>
    <xf numFmtId="0" fontId="48" fillId="44" borderId="237" xfId="0" applyFont="1" applyFill="1" applyBorder="1" applyAlignment="1">
      <alignment horizontal="centerContinuous"/>
    </xf>
    <xf numFmtId="0" fontId="47" fillId="44" borderId="238" xfId="0" applyFont="1" applyFill="1" applyBorder="1" applyAlignment="1">
      <alignment horizontal="centerContinuous"/>
    </xf>
    <xf numFmtId="0" fontId="37" fillId="0" borderId="234" xfId="0" applyFont="1" applyBorder="1" applyAlignment="1">
      <alignment horizontal="centerContinuous"/>
    </xf>
    <xf numFmtId="192" fontId="37" fillId="0" borderId="178" xfId="0" applyNumberFormat="1" applyFont="1" applyBorder="1" applyAlignment="1">
      <alignment horizontal="center"/>
    </xf>
    <xf numFmtId="206" fontId="61" fillId="0" borderId="179" xfId="0" quotePrefix="1" applyNumberFormat="1" applyFont="1" applyBorder="1"/>
    <xf numFmtId="195" fontId="61" fillId="0" borderId="179" xfId="0" applyNumberFormat="1" applyFont="1" applyBorder="1"/>
    <xf numFmtId="195" fontId="61" fillId="0" borderId="174" xfId="0" applyNumberFormat="1" applyFont="1" applyBorder="1"/>
    <xf numFmtId="0" fontId="32" fillId="0" borderId="189" xfId="0" applyFont="1" applyBorder="1" applyAlignment="1">
      <alignment horizontal="left" indent="4"/>
    </xf>
    <xf numFmtId="201" fontId="32" fillId="20" borderId="190" xfId="0" applyNumberFormat="1" applyFont="1" applyFill="1" applyBorder="1" applyAlignment="1" applyProtection="1">
      <alignment horizontal="center"/>
      <protection locked="0"/>
    </xf>
    <xf numFmtId="211" fontId="32" fillId="18" borderId="190" xfId="0" applyNumberFormat="1" applyFont="1" applyFill="1" applyBorder="1" applyAlignment="1" applyProtection="1">
      <alignment horizontal="center"/>
      <protection locked="0"/>
    </xf>
    <xf numFmtId="9" fontId="22" fillId="1" borderId="190" xfId="39" applyFont="1" applyFill="1" applyBorder="1" applyAlignment="1">
      <alignment horizontal="center"/>
    </xf>
    <xf numFmtId="9" fontId="22" fillId="1" borderId="191" xfId="39" applyFont="1" applyFill="1" applyBorder="1" applyAlignment="1">
      <alignment horizontal="center"/>
    </xf>
    <xf numFmtId="0" fontId="42" fillId="44" borderId="239" xfId="0" applyFont="1" applyFill="1" applyBorder="1" applyAlignment="1">
      <alignment horizontal="left" vertical="center" indent="2"/>
    </xf>
    <xf numFmtId="0" fontId="42" fillId="44" borderId="240" xfId="0" applyFont="1" applyFill="1" applyBorder="1" applyAlignment="1">
      <alignment horizontal="center" vertical="center"/>
    </xf>
    <xf numFmtId="0" fontId="42" fillId="44" borderId="240" xfId="0" applyFont="1" applyFill="1" applyBorder="1" applyAlignment="1">
      <alignment horizontal="center" vertical="center" wrapText="1"/>
    </xf>
    <xf numFmtId="0" fontId="42" fillId="44" borderId="241" xfId="0" applyFont="1" applyFill="1" applyBorder="1" applyAlignment="1">
      <alignment horizontal="center" vertical="center" wrapText="1"/>
    </xf>
    <xf numFmtId="210" fontId="32" fillId="0" borderId="191" xfId="39" applyNumberFormat="1" applyFont="1" applyBorder="1" applyAlignment="1">
      <alignment horizontal="center"/>
    </xf>
    <xf numFmtId="0" fontId="42" fillId="44" borderId="239" xfId="0" applyFont="1" applyFill="1" applyBorder="1" applyAlignment="1">
      <alignment horizontal="center" vertical="center" wrapText="1"/>
    </xf>
    <xf numFmtId="227" fontId="32" fillId="0" borderId="242" xfId="0" applyNumberFormat="1" applyFont="1" applyBorder="1" applyAlignment="1">
      <alignment horizontal="center"/>
    </xf>
    <xf numFmtId="0" fontId="42" fillId="44" borderId="243" xfId="0" applyFont="1" applyFill="1" applyBorder="1" applyAlignment="1">
      <alignment horizontal="center" vertical="center" wrapText="1"/>
    </xf>
    <xf numFmtId="3" fontId="17" fillId="19" borderId="197" xfId="0" applyNumberFormat="1" applyFont="1" applyFill="1" applyBorder="1" applyAlignment="1">
      <alignment horizontal="center"/>
    </xf>
    <xf numFmtId="227" fontId="41" fillId="19" borderId="195" xfId="0" applyNumberFormat="1" applyFont="1" applyFill="1" applyBorder="1" applyAlignment="1">
      <alignment horizontal="center"/>
    </xf>
    <xf numFmtId="3" fontId="17" fillId="19" borderId="201" xfId="0" applyNumberFormat="1" applyFont="1" applyFill="1" applyBorder="1" applyAlignment="1">
      <alignment horizontal="center"/>
    </xf>
    <xf numFmtId="227" fontId="41" fillId="19" borderId="202" xfId="0" applyNumberFormat="1" applyFont="1" applyFill="1" applyBorder="1" applyAlignment="1">
      <alignment horizontal="center"/>
    </xf>
    <xf numFmtId="3" fontId="16" fillId="19" borderId="244" xfId="0" applyNumberFormat="1" applyFont="1" applyFill="1" applyBorder="1" applyAlignment="1">
      <alignment horizontal="center"/>
    </xf>
    <xf numFmtId="3" fontId="17" fillId="19" borderId="244" xfId="0" applyNumberFormat="1" applyFont="1" applyFill="1" applyBorder="1" applyAlignment="1">
      <alignment horizontal="center"/>
    </xf>
    <xf numFmtId="3" fontId="48" fillId="44" borderId="245" xfId="0" applyNumberFormat="1" applyFont="1" applyFill="1" applyBorder="1"/>
    <xf numFmtId="1" fontId="48" fillId="44" borderId="245" xfId="0" applyNumberFormat="1" applyFont="1" applyFill="1" applyBorder="1" applyAlignment="1">
      <alignment horizontal="center"/>
    </xf>
    <xf numFmtId="3" fontId="48" fillId="44" borderId="245" xfId="0" applyNumberFormat="1" applyFont="1" applyFill="1" applyBorder="1" applyAlignment="1">
      <alignment horizontal="centerContinuous"/>
    </xf>
    <xf numFmtId="0" fontId="48" fillId="44" borderId="245" xfId="0" applyFont="1" applyFill="1" applyBorder="1" applyAlignment="1">
      <alignment horizontal="centerContinuous" vertical="center"/>
    </xf>
    <xf numFmtId="220" fontId="48" fillId="44" borderId="245" xfId="0" applyNumberFormat="1" applyFont="1" applyFill="1" applyBorder="1" applyAlignment="1">
      <alignment horizontal="centerContinuous" vertical="center"/>
    </xf>
    <xf numFmtId="220" fontId="48" fillId="44" borderId="245" xfId="0" applyNumberFormat="1" applyFont="1" applyFill="1" applyBorder="1" applyAlignment="1">
      <alignment horizontal="center" vertical="center"/>
    </xf>
    <xf numFmtId="3" fontId="48" fillId="44" borderId="246" xfId="0" applyNumberFormat="1" applyFont="1" applyFill="1" applyBorder="1" applyAlignment="1">
      <alignment horizontal="centerContinuous"/>
    </xf>
    <xf numFmtId="1" fontId="48" fillId="44" borderId="246" xfId="0" applyNumberFormat="1" applyFont="1" applyFill="1" applyBorder="1" applyAlignment="1">
      <alignment horizontal="center"/>
    </xf>
    <xf numFmtId="3" fontId="39" fillId="19" borderId="165" xfId="0" applyNumberFormat="1" applyFont="1" applyFill="1" applyBorder="1" applyAlignment="1">
      <alignment horizontal="left" vertical="center" indent="1"/>
    </xf>
    <xf numFmtId="10" fontId="39" fillId="19" borderId="166" xfId="0" applyNumberFormat="1" applyFont="1" applyFill="1" applyBorder="1" applyAlignment="1">
      <alignment horizontal="center" vertical="center"/>
    </xf>
    <xf numFmtId="3" fontId="39" fillId="19" borderId="166" xfId="0" applyNumberFormat="1" applyFont="1" applyFill="1" applyBorder="1" applyAlignment="1">
      <alignment horizontal="center" vertical="center"/>
    </xf>
    <xf numFmtId="3" fontId="39" fillId="19" borderId="167" xfId="0" applyNumberFormat="1" applyFont="1" applyFill="1" applyBorder="1" applyAlignment="1">
      <alignment horizontal="left" vertical="center" indent="1"/>
    </xf>
    <xf numFmtId="173" fontId="39" fillId="19" borderId="168" xfId="0" applyNumberFormat="1" applyFont="1" applyFill="1" applyBorder="1" applyAlignment="1">
      <alignment horizontal="center" vertical="center"/>
    </xf>
    <xf numFmtId="173" fontId="39" fillId="19" borderId="169" xfId="0" applyNumberFormat="1" applyFont="1" applyFill="1" applyBorder="1" applyAlignment="1">
      <alignment horizontal="center" vertical="center"/>
    </xf>
    <xf numFmtId="3" fontId="39" fillId="19" borderId="166" xfId="34" applyNumberFormat="1" applyFont="1" applyFill="1" applyBorder="1" applyAlignment="1">
      <alignment horizontal="center" vertical="center"/>
    </xf>
    <xf numFmtId="3" fontId="39" fillId="19" borderId="168" xfId="0" applyNumberFormat="1" applyFont="1" applyFill="1" applyBorder="1" applyAlignment="1">
      <alignment horizontal="right" vertical="center" indent="1"/>
    </xf>
    <xf numFmtId="3" fontId="39" fillId="19" borderId="168" xfId="0" applyNumberFormat="1" applyFont="1" applyFill="1" applyBorder="1" applyAlignment="1">
      <alignment horizontal="center" vertical="center"/>
    </xf>
    <xf numFmtId="3" fontId="39" fillId="19" borderId="169" xfId="0" applyNumberFormat="1" applyFont="1" applyFill="1" applyBorder="1" applyAlignment="1">
      <alignment horizontal="center" vertical="center"/>
    </xf>
    <xf numFmtId="3" fontId="16" fillId="19" borderId="0" xfId="0" applyNumberFormat="1" applyFont="1" applyFill="1" applyAlignment="1">
      <alignment horizontal="left" indent="1"/>
    </xf>
    <xf numFmtId="3" fontId="39" fillId="19" borderId="0" xfId="0" applyNumberFormat="1" applyFont="1" applyFill="1" applyAlignment="1">
      <alignment horizontal="left" indent="1"/>
    </xf>
    <xf numFmtId="49" fontId="48" fillId="37" borderId="0" xfId="0" applyNumberFormat="1" applyFont="1" applyFill="1" applyAlignment="1">
      <alignment horizontal="center"/>
    </xf>
    <xf numFmtId="3" fontId="101" fillId="44" borderId="247" xfId="0" applyNumberFormat="1" applyFont="1" applyFill="1" applyBorder="1" applyAlignment="1">
      <alignment horizontal="left" vertical="center" indent="1"/>
    </xf>
    <xf numFmtId="4" fontId="17" fillId="19" borderId="248" xfId="0" applyNumberFormat="1" applyFont="1" applyFill="1" applyBorder="1" applyAlignment="1">
      <alignment horizontal="center" vertical="center"/>
    </xf>
    <xf numFmtId="4" fontId="17" fillId="19" borderId="159" xfId="0" applyNumberFormat="1" applyFont="1" applyFill="1" applyBorder="1" applyAlignment="1">
      <alignment horizontal="center" vertical="center"/>
    </xf>
    <xf numFmtId="3" fontId="16" fillId="19" borderId="249" xfId="0" applyNumberFormat="1" applyFont="1" applyFill="1" applyBorder="1" applyAlignment="1">
      <alignment horizontal="center"/>
    </xf>
    <xf numFmtId="3" fontId="16" fillId="19" borderId="160" xfId="0" applyNumberFormat="1" applyFont="1" applyFill="1" applyBorder="1" applyAlignment="1">
      <alignment horizontal="center"/>
    </xf>
    <xf numFmtId="1" fontId="44" fillId="44" borderId="225" xfId="0" applyNumberFormat="1" applyFont="1" applyFill="1" applyBorder="1" applyAlignment="1">
      <alignment horizontal="center" vertical="center"/>
    </xf>
    <xf numFmtId="1" fontId="44" fillId="44" borderId="221" xfId="0" applyNumberFormat="1" applyFont="1" applyFill="1" applyBorder="1" applyAlignment="1">
      <alignment horizontal="center" vertical="center"/>
    </xf>
    <xf numFmtId="3" fontId="44" fillId="44" borderId="250" xfId="0" applyNumberFormat="1" applyFont="1" applyFill="1" applyBorder="1" applyAlignment="1">
      <alignment horizontal="center" vertical="center"/>
    </xf>
    <xf numFmtId="218" fontId="44" fillId="44" borderId="221" xfId="0" applyNumberFormat="1" applyFont="1" applyFill="1" applyBorder="1" applyAlignment="1">
      <alignment horizontal="center" vertical="center"/>
    </xf>
    <xf numFmtId="3" fontId="101" fillId="44" borderId="239" xfId="0" applyNumberFormat="1" applyFont="1" applyFill="1" applyBorder="1" applyAlignment="1">
      <alignment horizontal="left" vertical="center" indent="1"/>
    </xf>
    <xf numFmtId="3" fontId="39" fillId="19" borderId="251" xfId="0" applyNumberFormat="1" applyFont="1" applyFill="1" applyBorder="1" applyAlignment="1">
      <alignment horizontal="left" vertical="center" indent="1"/>
    </xf>
    <xf numFmtId="173" fontId="39" fillId="19" borderId="252" xfId="0" applyNumberFormat="1" applyFont="1" applyFill="1" applyBorder="1" applyAlignment="1">
      <alignment horizontal="center" vertical="center"/>
    </xf>
    <xf numFmtId="3" fontId="44" fillId="44" borderId="253" xfId="0" applyNumberFormat="1" applyFont="1" applyFill="1" applyBorder="1" applyAlignment="1">
      <alignment horizontal="center" vertical="center"/>
    </xf>
    <xf numFmtId="227" fontId="16" fillId="19" borderId="195" xfId="0" applyNumberFormat="1" applyFont="1" applyFill="1" applyBorder="1" applyAlignment="1">
      <alignment horizontal="center"/>
    </xf>
    <xf numFmtId="3" fontId="17" fillId="19" borderId="189" xfId="0" applyNumberFormat="1" applyFont="1" applyFill="1" applyBorder="1" applyAlignment="1">
      <alignment horizontal="center"/>
    </xf>
    <xf numFmtId="3" fontId="48" fillId="37" borderId="0" xfId="0" applyNumberFormat="1" applyFont="1" applyFill="1" applyAlignment="1">
      <alignment horizontal="centerContinuous"/>
    </xf>
    <xf numFmtId="3" fontId="17" fillId="0" borderId="228" xfId="0" applyNumberFormat="1" applyFont="1" applyBorder="1" applyAlignment="1">
      <alignment horizontal="center"/>
    </xf>
    <xf numFmtId="192" fontId="16" fillId="0" borderId="254" xfId="0" applyNumberFormat="1" applyFont="1" applyBorder="1"/>
    <xf numFmtId="191" fontId="16" fillId="0" borderId="254" xfId="0" applyNumberFormat="1" applyFont="1" applyBorder="1"/>
    <xf numFmtId="191" fontId="16" fillId="0" borderId="176" xfId="0" applyNumberFormat="1" applyFont="1" applyBorder="1"/>
    <xf numFmtId="3" fontId="41" fillId="38" borderId="0" xfId="0" applyNumberFormat="1" applyFont="1" applyFill="1"/>
    <xf numFmtId="192" fontId="41" fillId="38" borderId="0" xfId="0" applyNumberFormat="1" applyFont="1" applyFill="1"/>
    <xf numFmtId="191" fontId="41" fillId="38" borderId="0" xfId="0" applyNumberFormat="1" applyFont="1" applyFill="1"/>
    <xf numFmtId="0" fontId="41" fillId="38" borderId="0" xfId="0" applyFont="1" applyFill="1"/>
    <xf numFmtId="0" fontId="52" fillId="38" borderId="0" xfId="0" applyFont="1" applyFill="1"/>
    <xf numFmtId="0" fontId="16" fillId="38" borderId="0" xfId="0" applyFont="1" applyFill="1"/>
    <xf numFmtId="3" fontId="16" fillId="38" borderId="0" xfId="0" applyNumberFormat="1" applyFont="1" applyFill="1" applyAlignment="1">
      <alignment horizontal="left"/>
    </xf>
    <xf numFmtId="3" fontId="16" fillId="38" borderId="0" xfId="0" applyNumberFormat="1" applyFont="1" applyFill="1" applyAlignment="1">
      <alignment horizontal="right"/>
    </xf>
    <xf numFmtId="0" fontId="41" fillId="38" borderId="0" xfId="0" applyFont="1" applyFill="1" applyAlignment="1">
      <alignment horizontal="right"/>
    </xf>
    <xf numFmtId="0" fontId="44" fillId="38" borderId="0" xfId="31" applyFont="1" applyFill="1" applyAlignment="1" applyProtection="1">
      <alignment horizontal="center"/>
    </xf>
    <xf numFmtId="0" fontId="91" fillId="38" borderId="0" xfId="31" applyFont="1" applyFill="1" applyAlignment="1" applyProtection="1"/>
    <xf numFmtId="3" fontId="48" fillId="38" borderId="0" xfId="0" applyNumberFormat="1" applyFont="1" applyFill="1"/>
    <xf numFmtId="3" fontId="48" fillId="38" borderId="0" xfId="0" applyNumberFormat="1" applyFont="1" applyFill="1" applyAlignment="1">
      <alignment horizontal="centerContinuous"/>
    </xf>
    <xf numFmtId="3" fontId="16" fillId="38" borderId="0" xfId="0" applyNumberFormat="1" applyFont="1" applyFill="1" applyAlignment="1">
      <alignment horizontal="center"/>
    </xf>
    <xf numFmtId="166" fontId="16" fillId="38" borderId="0" xfId="0" applyNumberFormat="1" applyFont="1" applyFill="1" applyAlignment="1">
      <alignment horizontal="center"/>
    </xf>
    <xf numFmtId="191" fontId="48" fillId="38" borderId="0" xfId="0" applyNumberFormat="1" applyFont="1" applyFill="1"/>
    <xf numFmtId="191" fontId="16" fillId="38" borderId="0" xfId="0" applyNumberFormat="1" applyFont="1" applyFill="1"/>
    <xf numFmtId="2" fontId="16" fillId="38" borderId="0" xfId="0" applyNumberFormat="1" applyFont="1" applyFill="1" applyAlignment="1">
      <alignment horizontal="center"/>
    </xf>
    <xf numFmtId="166" fontId="41" fillId="38" borderId="0" xfId="0" applyNumberFormat="1" applyFont="1" applyFill="1"/>
    <xf numFmtId="0" fontId="32" fillId="38" borderId="0" xfId="0" applyFont="1" applyFill="1" applyAlignment="1">
      <alignment horizontal="left" indent="2"/>
    </xf>
    <xf numFmtId="170" fontId="16" fillId="38" borderId="0" xfId="0" applyNumberFormat="1" applyFont="1" applyFill="1"/>
    <xf numFmtId="191" fontId="41" fillId="38" borderId="166" xfId="0" applyNumberFormat="1" applyFont="1" applyFill="1" applyBorder="1"/>
    <xf numFmtId="191" fontId="41" fillId="0" borderId="166" xfId="0" applyNumberFormat="1" applyFont="1" applyBorder="1"/>
    <xf numFmtId="3" fontId="41" fillId="0" borderId="165" xfId="0" applyNumberFormat="1" applyFont="1" applyBorder="1"/>
    <xf numFmtId="2" fontId="16" fillId="0" borderId="255" xfId="0" applyNumberFormat="1" applyFont="1" applyBorder="1" applyAlignment="1">
      <alignment horizontal="center"/>
    </xf>
    <xf numFmtId="166" fontId="16" fillId="0" borderId="255" xfId="0" applyNumberFormat="1" applyFont="1" applyBorder="1" applyAlignment="1">
      <alignment horizontal="center"/>
    </xf>
    <xf numFmtId="166" fontId="16" fillId="0" borderId="256" xfId="0" applyNumberFormat="1" applyFont="1" applyBorder="1" applyAlignment="1">
      <alignment horizontal="center"/>
    </xf>
    <xf numFmtId="3" fontId="41" fillId="0" borderId="257" xfId="0" applyNumberFormat="1" applyFont="1" applyBorder="1" applyAlignment="1">
      <alignment horizontal="left" indent="1"/>
    </xf>
    <xf numFmtId="192" fontId="41" fillId="0" borderId="258" xfId="0" applyNumberFormat="1" applyFont="1" applyBorder="1"/>
    <xf numFmtId="191" fontId="41" fillId="0" borderId="258" xfId="0" applyNumberFormat="1" applyFont="1" applyBorder="1"/>
    <xf numFmtId="191" fontId="41" fillId="0" borderId="259" xfId="0" applyNumberFormat="1" applyFont="1" applyBorder="1"/>
    <xf numFmtId="3" fontId="41" fillId="0" borderId="257" xfId="0" applyNumberFormat="1" applyFont="1" applyBorder="1" applyAlignment="1">
      <alignment horizontal="left" indent="2"/>
    </xf>
    <xf numFmtId="170" fontId="97" fillId="0" borderId="257" xfId="0" applyNumberFormat="1" applyFont="1" applyBorder="1"/>
    <xf numFmtId="2" fontId="16" fillId="0" borderId="258" xfId="0" applyNumberFormat="1" applyFont="1" applyBorder="1" applyAlignment="1">
      <alignment horizontal="center"/>
    </xf>
    <xf numFmtId="166" fontId="16" fillId="0" borderId="258" xfId="0" applyNumberFormat="1" applyFont="1" applyBorder="1" applyAlignment="1">
      <alignment horizontal="center"/>
    </xf>
    <xf numFmtId="166" fontId="16" fillId="0" borderId="259" xfId="0" applyNumberFormat="1" applyFont="1" applyBorder="1" applyAlignment="1">
      <alignment horizontal="center"/>
    </xf>
    <xf numFmtId="192" fontId="16" fillId="0" borderId="261" xfId="0" applyNumberFormat="1" applyFont="1" applyBorder="1"/>
    <xf numFmtId="191" fontId="16" fillId="0" borderId="261" xfId="0" applyNumberFormat="1" applyFont="1" applyBorder="1"/>
    <xf numFmtId="191" fontId="16" fillId="0" borderId="262" xfId="0" applyNumberFormat="1" applyFont="1" applyBorder="1"/>
    <xf numFmtId="192" fontId="16" fillId="0" borderId="258" xfId="0" applyNumberFormat="1" applyFont="1" applyBorder="1"/>
    <xf numFmtId="191" fontId="16" fillId="0" borderId="258" xfId="0" applyNumberFormat="1" applyFont="1" applyBorder="1"/>
    <xf numFmtId="191" fontId="16" fillId="0" borderId="259" xfId="0" applyNumberFormat="1" applyFont="1" applyBorder="1"/>
    <xf numFmtId="2" fontId="16" fillId="38" borderId="255" xfId="0" applyNumberFormat="1" applyFont="1" applyFill="1" applyBorder="1" applyAlignment="1">
      <alignment horizontal="center"/>
    </xf>
    <xf numFmtId="166" fontId="16" fillId="38" borderId="255" xfId="0" applyNumberFormat="1" applyFont="1" applyFill="1" applyBorder="1" applyAlignment="1">
      <alignment horizontal="center"/>
    </xf>
    <xf numFmtId="166" fontId="16" fillId="38" borderId="256" xfId="0" applyNumberFormat="1" applyFont="1" applyFill="1" applyBorder="1" applyAlignment="1">
      <alignment horizontal="center"/>
    </xf>
    <xf numFmtId="192" fontId="41" fillId="38" borderId="258" xfId="0" applyNumberFormat="1" applyFont="1" applyFill="1" applyBorder="1"/>
    <xf numFmtId="191" fontId="41" fillId="38" borderId="258" xfId="0" applyNumberFormat="1" applyFont="1" applyFill="1" applyBorder="1"/>
    <xf numFmtId="191" fontId="41" fillId="38" borderId="259" xfId="0" applyNumberFormat="1" applyFont="1" applyFill="1" applyBorder="1"/>
    <xf numFmtId="2" fontId="16" fillId="38" borderId="258" xfId="0" applyNumberFormat="1" applyFont="1" applyFill="1" applyBorder="1" applyAlignment="1">
      <alignment horizontal="center"/>
    </xf>
    <xf numFmtId="192" fontId="16" fillId="38" borderId="254" xfId="0" applyNumberFormat="1" applyFont="1" applyFill="1" applyBorder="1"/>
    <xf numFmtId="191" fontId="16" fillId="38" borderId="254" xfId="0" applyNumberFormat="1" applyFont="1" applyFill="1" applyBorder="1"/>
    <xf numFmtId="191" fontId="16" fillId="38" borderId="176" xfId="0" applyNumberFormat="1" applyFont="1" applyFill="1" applyBorder="1"/>
    <xf numFmtId="3" fontId="97" fillId="38" borderId="260" xfId="0" applyNumberFormat="1" applyFont="1" applyFill="1" applyBorder="1" applyAlignment="1">
      <alignment horizontal="left" indent="1"/>
    </xf>
    <xf numFmtId="192" fontId="16" fillId="38" borderId="261" xfId="0" applyNumberFormat="1" applyFont="1" applyFill="1" applyBorder="1"/>
    <xf numFmtId="191" fontId="16" fillId="38" borderId="261" xfId="0" applyNumberFormat="1" applyFont="1" applyFill="1" applyBorder="1"/>
    <xf numFmtId="191" fontId="16" fillId="38" borderId="262" xfId="0" applyNumberFormat="1" applyFont="1" applyFill="1" applyBorder="1"/>
    <xf numFmtId="3" fontId="41" fillId="38" borderId="257" xfId="0" applyNumberFormat="1" applyFont="1" applyFill="1" applyBorder="1" applyAlignment="1">
      <alignment horizontal="left" indent="2"/>
    </xf>
    <xf numFmtId="3" fontId="41" fillId="38" borderId="257" xfId="0" applyNumberFormat="1" applyFont="1" applyFill="1" applyBorder="1" applyAlignment="1">
      <alignment horizontal="left" indent="1"/>
    </xf>
    <xf numFmtId="3" fontId="41" fillId="38" borderId="257" xfId="0" applyNumberFormat="1" applyFont="1" applyFill="1" applyBorder="1"/>
    <xf numFmtId="170" fontId="97" fillId="38" borderId="257" xfId="0" applyNumberFormat="1" applyFont="1" applyFill="1" applyBorder="1"/>
    <xf numFmtId="3" fontId="16" fillId="38" borderId="257" xfId="0" applyNumberFormat="1" applyFont="1" applyFill="1" applyBorder="1" applyAlignment="1">
      <alignment horizontal="left" indent="1"/>
    </xf>
    <xf numFmtId="192" fontId="16" fillId="38" borderId="258" xfId="0" applyNumberFormat="1" applyFont="1" applyFill="1" applyBorder="1"/>
    <xf numFmtId="191" fontId="16" fillId="38" borderId="258" xfId="0" applyNumberFormat="1" applyFont="1" applyFill="1" applyBorder="1"/>
    <xf numFmtId="191" fontId="16" fillId="38" borderId="259" xfId="0" applyNumberFormat="1" applyFont="1" applyFill="1" applyBorder="1"/>
    <xf numFmtId="3" fontId="16" fillId="38" borderId="263" xfId="0" applyNumberFormat="1" applyFont="1" applyFill="1" applyBorder="1" applyAlignment="1">
      <alignment horizontal="left" indent="1"/>
    </xf>
    <xf numFmtId="192" fontId="16" fillId="38" borderId="264" xfId="0" applyNumberFormat="1" applyFont="1" applyFill="1" applyBorder="1"/>
    <xf numFmtId="191" fontId="16" fillId="38" borderId="264" xfId="0" applyNumberFormat="1" applyFont="1" applyFill="1" applyBorder="1"/>
    <xf numFmtId="191" fontId="16" fillId="38" borderId="265" xfId="0" applyNumberFormat="1" applyFont="1" applyFill="1" applyBorder="1"/>
    <xf numFmtId="3" fontId="16" fillId="0" borderId="180" xfId="0" applyNumberFormat="1" applyFont="1" applyBorder="1" applyAlignment="1">
      <alignment horizontal="center"/>
    </xf>
    <xf numFmtId="3" fontId="16" fillId="0" borderId="181" xfId="0" applyNumberFormat="1" applyFont="1" applyBorder="1" applyAlignment="1">
      <alignment horizontal="center"/>
    </xf>
    <xf numFmtId="3" fontId="16" fillId="0" borderId="182" xfId="0" applyNumberFormat="1" applyFont="1" applyBorder="1" applyAlignment="1">
      <alignment horizontal="center"/>
    </xf>
    <xf numFmtId="3" fontId="48" fillId="44" borderId="266" xfId="0" applyNumberFormat="1" applyFont="1" applyFill="1" applyBorder="1" applyAlignment="1">
      <alignment horizontal="centerContinuous"/>
    </xf>
    <xf numFmtId="0" fontId="48" fillId="44" borderId="243" xfId="0" applyFont="1" applyFill="1" applyBorder="1" applyAlignment="1">
      <alignment horizontal="center" vertical="center"/>
    </xf>
    <xf numFmtId="1" fontId="48" fillId="44" borderId="243" xfId="0" applyNumberFormat="1" applyFont="1" applyFill="1" applyBorder="1" applyAlignment="1">
      <alignment horizontal="center" vertical="center"/>
    </xf>
    <xf numFmtId="0" fontId="42" fillId="44" borderId="243" xfId="0" applyFont="1" applyFill="1" applyBorder="1" applyAlignment="1">
      <alignment horizontal="center" vertical="center"/>
    </xf>
    <xf numFmtId="3" fontId="41" fillId="0" borderId="267" xfId="0" applyNumberFormat="1" applyFont="1" applyBorder="1" applyAlignment="1">
      <alignment horizontal="left" indent="1"/>
    </xf>
    <xf numFmtId="192" fontId="41" fillId="0" borderId="268" xfId="0" applyNumberFormat="1" applyFont="1" applyBorder="1"/>
    <xf numFmtId="191" fontId="32" fillId="0" borderId="268" xfId="39" applyNumberFormat="1" applyFont="1" applyBorder="1"/>
    <xf numFmtId="191" fontId="32" fillId="0" borderId="268" xfId="0" applyNumberFormat="1" applyFont="1" applyBorder="1"/>
    <xf numFmtId="191" fontId="32" fillId="0" borderId="269" xfId="0" applyNumberFormat="1" applyFont="1" applyBorder="1"/>
    <xf numFmtId="3" fontId="41" fillId="0" borderId="270" xfId="0" applyNumberFormat="1" applyFont="1" applyBorder="1" applyAlignment="1">
      <alignment horizontal="left" indent="1"/>
    </xf>
    <xf numFmtId="192" fontId="41" fillId="0" borderId="271" xfId="0" applyNumberFormat="1" applyFont="1" applyBorder="1"/>
    <xf numFmtId="191" fontId="32" fillId="0" borderId="271" xfId="39" applyNumberFormat="1" applyFont="1" applyBorder="1"/>
    <xf numFmtId="191" fontId="32" fillId="0" borderId="271" xfId="0" applyNumberFormat="1" applyFont="1" applyBorder="1"/>
    <xf numFmtId="191" fontId="32" fillId="0" borderId="272" xfId="0" applyNumberFormat="1" applyFont="1" applyBorder="1"/>
    <xf numFmtId="170" fontId="97" fillId="45" borderId="270" xfId="0" applyNumberFormat="1" applyFont="1" applyFill="1" applyBorder="1"/>
    <xf numFmtId="170" fontId="16" fillId="45" borderId="271" xfId="0" applyNumberFormat="1" applyFont="1" applyFill="1" applyBorder="1"/>
    <xf numFmtId="166" fontId="16" fillId="45" borderId="271" xfId="0" applyNumberFormat="1" applyFont="1" applyFill="1" applyBorder="1"/>
    <xf numFmtId="170" fontId="16" fillId="45" borderId="272" xfId="0" applyNumberFormat="1" applyFont="1" applyFill="1" applyBorder="1"/>
    <xf numFmtId="3" fontId="41" fillId="38" borderId="273" xfId="0" applyNumberFormat="1" applyFont="1" applyFill="1" applyBorder="1" applyAlignment="1">
      <alignment horizontal="left" indent="1"/>
    </xf>
    <xf numFmtId="192" fontId="41" fillId="38" borderId="274" xfId="0" applyNumberFormat="1" applyFont="1" applyFill="1" applyBorder="1"/>
    <xf numFmtId="191" fontId="32" fillId="38" borderId="274" xfId="39" applyNumberFormat="1" applyFont="1" applyFill="1" applyBorder="1"/>
    <xf numFmtId="191" fontId="32" fillId="38" borderId="274" xfId="0" applyNumberFormat="1" applyFont="1" applyFill="1" applyBorder="1"/>
    <xf numFmtId="191" fontId="32" fillId="38" borderId="275" xfId="0" applyNumberFormat="1" applyFont="1" applyFill="1" applyBorder="1"/>
    <xf numFmtId="3" fontId="41" fillId="38" borderId="165" xfId="0" applyNumberFormat="1" applyFont="1" applyFill="1" applyBorder="1" applyAlignment="1">
      <alignment horizontal="left" indent="1"/>
    </xf>
    <xf numFmtId="191" fontId="32" fillId="38" borderId="0" xfId="39" applyNumberFormat="1" applyFont="1" applyFill="1"/>
    <xf numFmtId="191" fontId="32" fillId="38" borderId="0" xfId="0" applyNumberFormat="1" applyFont="1" applyFill="1"/>
    <xf numFmtId="191" fontId="32" fillId="38" borderId="166" xfId="0" applyNumberFormat="1" applyFont="1" applyFill="1" applyBorder="1"/>
    <xf numFmtId="0" fontId="102" fillId="0" borderId="0" xfId="0" applyFont="1" applyAlignment="1">
      <alignment horizontal="center"/>
    </xf>
    <xf numFmtId="3" fontId="92" fillId="37" borderId="0" xfId="0" applyNumberFormat="1" applyFont="1" applyFill="1" applyAlignment="1">
      <alignment horizontal="left"/>
    </xf>
    <xf numFmtId="3" fontId="52" fillId="38" borderId="0" xfId="0" applyNumberFormat="1" applyFont="1" applyFill="1" applyAlignment="1">
      <alignment horizontal="left"/>
    </xf>
    <xf numFmtId="0" fontId="102" fillId="38" borderId="0" xfId="0" applyFont="1" applyFill="1" applyAlignment="1">
      <alignment horizontal="center"/>
    </xf>
    <xf numFmtId="0" fontId="32" fillId="38" borderId="0" xfId="0" applyFont="1" applyFill="1" applyAlignment="1">
      <alignment horizontal="left" indent="1"/>
    </xf>
    <xf numFmtId="0" fontId="47" fillId="38" borderId="0" xfId="0" applyFont="1" applyFill="1"/>
    <xf numFmtId="0" fontId="42" fillId="38" borderId="0" xfId="0" applyFont="1" applyFill="1" applyAlignment="1">
      <alignment horizontal="center" vertical="center"/>
    </xf>
    <xf numFmtId="0" fontId="16" fillId="38" borderId="0" xfId="0" applyFont="1" applyFill="1" applyAlignment="1">
      <alignment horizontal="center" vertical="center"/>
    </xf>
    <xf numFmtId="170" fontId="97" fillId="38" borderId="0" xfId="0" applyNumberFormat="1" applyFont="1" applyFill="1"/>
    <xf numFmtId="191" fontId="22" fillId="38" borderId="0" xfId="0" applyNumberFormat="1" applyFont="1" applyFill="1"/>
    <xf numFmtId="191" fontId="97" fillId="38" borderId="0" xfId="0" applyNumberFormat="1" applyFont="1" applyFill="1"/>
    <xf numFmtId="0" fontId="97" fillId="38" borderId="0" xfId="0" applyFont="1" applyFill="1"/>
    <xf numFmtId="193" fontId="22" fillId="38" borderId="0" xfId="0" applyNumberFormat="1" applyFont="1" applyFill="1"/>
    <xf numFmtId="193" fontId="32" fillId="38" borderId="0" xfId="0" applyNumberFormat="1" applyFont="1" applyFill="1"/>
    <xf numFmtId="193" fontId="48" fillId="38" borderId="0" xfId="0" applyNumberFormat="1" applyFont="1" applyFill="1"/>
    <xf numFmtId="3" fontId="42" fillId="44" borderId="243" xfId="0" applyNumberFormat="1" applyFont="1" applyFill="1" applyBorder="1" applyAlignment="1">
      <alignment horizontal="left" indent="3"/>
    </xf>
    <xf numFmtId="3" fontId="42" fillId="44" borderId="243" xfId="0" applyNumberFormat="1" applyFont="1" applyFill="1" applyBorder="1" applyAlignment="1">
      <alignment horizontal="center"/>
    </xf>
    <xf numFmtId="3" fontId="42" fillId="44" borderId="243" xfId="0" applyNumberFormat="1" applyFont="1" applyFill="1" applyBorder="1" applyAlignment="1">
      <alignment horizontal="centerContinuous"/>
    </xf>
    <xf numFmtId="1" fontId="42" fillId="44" borderId="243" xfId="0" applyNumberFormat="1" applyFont="1" applyFill="1" applyBorder="1" applyAlignment="1">
      <alignment horizontal="centerContinuous"/>
    </xf>
    <xf numFmtId="3" fontId="22" fillId="38" borderId="0" xfId="0" applyNumberFormat="1" applyFont="1" applyFill="1" applyAlignment="1">
      <alignment horizontal="left" vertical="center" indent="1"/>
    </xf>
    <xf numFmtId="3" fontId="22" fillId="38" borderId="0" xfId="0" applyNumberFormat="1" applyFont="1" applyFill="1" applyAlignment="1">
      <alignment horizontal="center" vertical="center"/>
    </xf>
    <xf numFmtId="181" fontId="32" fillId="38" borderId="0" xfId="0" applyNumberFormat="1" applyFont="1" applyFill="1" applyAlignment="1">
      <alignment horizontal="center" vertical="center"/>
    </xf>
    <xf numFmtId="181" fontId="32" fillId="38" borderId="166" xfId="0" applyNumberFormat="1" applyFont="1" applyFill="1" applyBorder="1" applyAlignment="1">
      <alignment horizontal="center" vertical="center"/>
    </xf>
    <xf numFmtId="0" fontId="41" fillId="38" borderId="0" xfId="0" applyFont="1" applyFill="1" applyAlignment="1">
      <alignment vertical="center"/>
    </xf>
    <xf numFmtId="0" fontId="0" fillId="46" borderId="166" xfId="0" applyFill="1" applyBorder="1"/>
    <xf numFmtId="0" fontId="0" fillId="38" borderId="0" xfId="0" applyFill="1"/>
    <xf numFmtId="3" fontId="22" fillId="38" borderId="0" xfId="0" applyNumberFormat="1" applyFont="1" applyFill="1" applyAlignment="1">
      <alignment horizontal="center"/>
    </xf>
    <xf numFmtId="167" fontId="22" fillId="38" borderId="0" xfId="0" applyNumberFormat="1" applyFont="1" applyFill="1" applyAlignment="1">
      <alignment horizontal="left"/>
    </xf>
    <xf numFmtId="3" fontId="22" fillId="38" borderId="0" xfId="0" quotePrefix="1" applyNumberFormat="1" applyFont="1" applyFill="1"/>
    <xf numFmtId="0" fontId="65" fillId="38" borderId="0" xfId="0" applyFont="1" applyFill="1" applyAlignment="1">
      <alignment horizontal="left" indent="1"/>
    </xf>
    <xf numFmtId="2" fontId="41" fillId="38" borderId="0" xfId="0" applyNumberFormat="1" applyFont="1" applyFill="1"/>
    <xf numFmtId="2" fontId="32" fillId="38" borderId="0" xfId="0" quotePrefix="1" applyNumberFormat="1" applyFont="1" applyFill="1" applyAlignment="1">
      <alignment horizontal="right" vertical="center"/>
    </xf>
    <xf numFmtId="2" fontId="32" fillId="38" borderId="0" xfId="0" applyNumberFormat="1" applyFont="1" applyFill="1" applyAlignment="1">
      <alignment horizontal="right" vertical="center"/>
    </xf>
    <xf numFmtId="9" fontId="41" fillId="38" borderId="0" xfId="0" applyNumberFormat="1" applyFont="1" applyFill="1"/>
    <xf numFmtId="3" fontId="22" fillId="38" borderId="276" xfId="0" applyNumberFormat="1" applyFont="1" applyFill="1" applyBorder="1" applyAlignment="1">
      <alignment horizontal="left" indent="1"/>
    </xf>
    <xf numFmtId="3" fontId="22" fillId="38" borderId="274" xfId="0" applyNumberFormat="1" applyFont="1" applyFill="1" applyBorder="1" applyAlignment="1">
      <alignment horizontal="center"/>
    </xf>
    <xf numFmtId="180" fontId="32" fillId="38" borderId="274" xfId="39" applyNumberFormat="1" applyFont="1" applyFill="1" applyBorder="1" applyAlignment="1">
      <alignment horizontal="center"/>
    </xf>
    <xf numFmtId="180" fontId="32" fillId="38" borderId="275" xfId="39" applyNumberFormat="1" applyFont="1" applyFill="1" applyBorder="1" applyAlignment="1">
      <alignment horizontal="center"/>
    </xf>
    <xf numFmtId="3" fontId="22" fillId="38" borderId="277" xfId="0" applyNumberFormat="1" applyFont="1" applyFill="1" applyBorder="1" applyAlignment="1">
      <alignment horizontal="left" indent="1"/>
    </xf>
    <xf numFmtId="3" fontId="22" fillId="38" borderId="278" xfId="0" applyNumberFormat="1" applyFont="1" applyFill="1" applyBorder="1" applyAlignment="1">
      <alignment horizontal="center"/>
    </xf>
    <xf numFmtId="2" fontId="32" fillId="38" borderId="278" xfId="39" applyNumberFormat="1" applyFont="1" applyFill="1" applyBorder="1" applyAlignment="1">
      <alignment horizontal="center"/>
    </xf>
    <xf numFmtId="2" fontId="32" fillId="38" borderId="279" xfId="39" applyNumberFormat="1" applyFont="1" applyFill="1" applyBorder="1" applyAlignment="1">
      <alignment horizontal="center"/>
    </xf>
    <xf numFmtId="3" fontId="22" fillId="38" borderId="280" xfId="0" applyNumberFormat="1" applyFont="1" applyFill="1" applyBorder="1" applyAlignment="1">
      <alignment horizontal="left" indent="1"/>
    </xf>
    <xf numFmtId="2" fontId="32" fillId="38" borderId="0" xfId="39" applyNumberFormat="1" applyFont="1" applyFill="1" applyAlignment="1">
      <alignment horizontal="center"/>
    </xf>
    <xf numFmtId="2" fontId="32" fillId="38" borderId="166" xfId="39" applyNumberFormat="1" applyFont="1" applyFill="1" applyBorder="1" applyAlignment="1">
      <alignment horizontal="center"/>
    </xf>
    <xf numFmtId="3" fontId="22" fillId="38" borderId="0" xfId="0" applyNumberFormat="1" applyFont="1" applyFill="1" applyAlignment="1">
      <alignment horizontal="left" indent="1"/>
    </xf>
    <xf numFmtId="3" fontId="22" fillId="38" borderId="281" xfId="0" applyNumberFormat="1" applyFont="1" applyFill="1" applyBorder="1" applyAlignment="1">
      <alignment horizontal="left" vertical="center" indent="1"/>
    </xf>
    <xf numFmtId="3" fontId="22" fillId="38" borderId="278" xfId="0" applyNumberFormat="1" applyFont="1" applyFill="1" applyBorder="1" applyAlignment="1">
      <alignment horizontal="center" vertical="center"/>
    </xf>
    <xf numFmtId="181" fontId="32" fillId="38" borderId="278" xfId="0" applyNumberFormat="1" applyFont="1" applyFill="1" applyBorder="1" applyAlignment="1">
      <alignment horizontal="center" vertical="center"/>
    </xf>
    <xf numFmtId="181" fontId="32" fillId="38" borderId="279" xfId="0" applyNumberFormat="1" applyFont="1" applyFill="1" applyBorder="1" applyAlignment="1">
      <alignment horizontal="center" vertical="center"/>
    </xf>
    <xf numFmtId="3" fontId="22" fillId="38" borderId="282" xfId="0" applyNumberFormat="1" applyFont="1" applyFill="1" applyBorder="1" applyAlignment="1">
      <alignment horizontal="left" vertical="center" indent="1"/>
    </xf>
    <xf numFmtId="3" fontId="22" fillId="38" borderId="283" xfId="0" applyNumberFormat="1" applyFont="1" applyFill="1" applyBorder="1" applyAlignment="1">
      <alignment horizontal="center" vertical="center"/>
    </xf>
    <xf numFmtId="181" fontId="32" fillId="38" borderId="283" xfId="0" applyNumberFormat="1" applyFont="1" applyFill="1" applyBorder="1" applyAlignment="1">
      <alignment horizontal="center" vertical="center"/>
    </xf>
    <xf numFmtId="181" fontId="32" fillId="38" borderId="284" xfId="0" applyNumberFormat="1" applyFont="1" applyFill="1" applyBorder="1" applyAlignment="1">
      <alignment horizontal="center" vertical="center"/>
    </xf>
    <xf numFmtId="3" fontId="22" fillId="38" borderId="197" xfId="0" applyNumberFormat="1" applyFont="1" applyFill="1" applyBorder="1" applyAlignment="1">
      <alignment horizontal="left" vertical="center" indent="1"/>
    </xf>
    <xf numFmtId="3" fontId="22" fillId="38" borderId="195" xfId="0" applyNumberFormat="1" applyFont="1" applyFill="1" applyBorder="1" applyAlignment="1">
      <alignment horizontal="center" wrapText="1"/>
    </xf>
    <xf numFmtId="180" fontId="32" fillId="38" borderId="195" xfId="39" applyNumberFormat="1" applyFont="1" applyFill="1" applyBorder="1" applyAlignment="1">
      <alignment horizontal="center" vertical="center"/>
    </xf>
    <xf numFmtId="180" fontId="32" fillId="38" borderId="198" xfId="39" applyNumberFormat="1" applyFont="1" applyFill="1" applyBorder="1" applyAlignment="1">
      <alignment horizontal="center" vertical="center"/>
    </xf>
    <xf numFmtId="3" fontId="22" fillId="38" borderId="197" xfId="0" applyNumberFormat="1" applyFont="1" applyFill="1" applyBorder="1"/>
    <xf numFmtId="3" fontId="22" fillId="38" borderId="195" xfId="0" applyNumberFormat="1" applyFont="1" applyFill="1" applyBorder="1" applyAlignment="1">
      <alignment horizontal="center"/>
    </xf>
    <xf numFmtId="167" fontId="32" fillId="38" borderId="195" xfId="0" applyNumberFormat="1" applyFont="1" applyFill="1" applyBorder="1"/>
    <xf numFmtId="3" fontId="32" fillId="38" borderId="195" xfId="0" applyNumberFormat="1" applyFont="1" applyFill="1" applyBorder="1"/>
    <xf numFmtId="3" fontId="32" fillId="38" borderId="198" xfId="0" applyNumberFormat="1" applyFont="1" applyFill="1" applyBorder="1"/>
    <xf numFmtId="3" fontId="22" fillId="38" borderId="285" xfId="0" applyNumberFormat="1" applyFont="1" applyFill="1" applyBorder="1" applyAlignment="1">
      <alignment horizontal="left" indent="1"/>
    </xf>
    <xf numFmtId="3" fontId="22" fillId="38" borderId="218" xfId="0" applyNumberFormat="1" applyFont="1" applyFill="1" applyBorder="1" applyAlignment="1">
      <alignment horizontal="center"/>
    </xf>
    <xf numFmtId="194" fontId="32" fillId="38" borderId="218" xfId="0" applyNumberFormat="1" applyFont="1" applyFill="1" applyBorder="1" applyAlignment="1">
      <alignment horizontal="center"/>
    </xf>
    <xf numFmtId="194" fontId="32" fillId="38" borderId="286" xfId="0" applyNumberFormat="1" applyFont="1" applyFill="1" applyBorder="1" applyAlignment="1">
      <alignment horizontal="center"/>
    </xf>
    <xf numFmtId="3" fontId="22" fillId="38" borderId="281" xfId="0" applyNumberFormat="1" applyFont="1" applyFill="1" applyBorder="1"/>
    <xf numFmtId="2" fontId="22" fillId="38" borderId="278" xfId="0" applyNumberFormat="1" applyFont="1" applyFill="1" applyBorder="1" applyAlignment="1">
      <alignment horizontal="right"/>
    </xf>
    <xf numFmtId="2" fontId="22" fillId="38" borderId="279" xfId="0" applyNumberFormat="1" applyFont="1" applyFill="1" applyBorder="1" applyAlignment="1">
      <alignment horizontal="right"/>
    </xf>
    <xf numFmtId="3" fontId="22" fillId="38" borderId="273" xfId="0" applyNumberFormat="1" applyFont="1" applyFill="1" applyBorder="1" applyAlignment="1">
      <alignment horizontal="left" vertical="center" indent="1"/>
    </xf>
    <xf numFmtId="3" fontId="22" fillId="38" borderId="274" xfId="0" applyNumberFormat="1" applyFont="1" applyFill="1" applyBorder="1" applyAlignment="1">
      <alignment horizontal="center" vertical="center"/>
    </xf>
    <xf numFmtId="181" fontId="32" fillId="38" borderId="274" xfId="0" applyNumberFormat="1" applyFont="1" applyFill="1" applyBorder="1" applyAlignment="1">
      <alignment horizontal="center" vertical="center"/>
    </xf>
    <xf numFmtId="181" fontId="32" fillId="38" borderId="275" xfId="0" applyNumberFormat="1" applyFont="1" applyFill="1" applyBorder="1" applyAlignment="1">
      <alignment horizontal="center" vertical="center"/>
    </xf>
    <xf numFmtId="3" fontId="22" fillId="38" borderId="287" xfId="0" applyNumberFormat="1" applyFont="1" applyFill="1" applyBorder="1" applyAlignment="1">
      <alignment horizontal="left" vertical="center" indent="1"/>
    </xf>
    <xf numFmtId="3" fontId="22" fillId="38" borderId="288" xfId="0" applyNumberFormat="1" applyFont="1" applyFill="1" applyBorder="1" applyAlignment="1">
      <alignment horizontal="center" vertical="center"/>
    </xf>
    <xf numFmtId="199" fontId="32" fillId="38" borderId="288" xfId="0" applyNumberFormat="1" applyFont="1" applyFill="1" applyBorder="1" applyAlignment="1">
      <alignment horizontal="right" vertical="center"/>
    </xf>
    <xf numFmtId="199" fontId="32" fillId="38" borderId="289" xfId="0" applyNumberFormat="1" applyFont="1" applyFill="1" applyBorder="1" applyAlignment="1">
      <alignment horizontal="right" vertical="center"/>
    </xf>
    <xf numFmtId="3" fontId="22" fillId="38" borderId="290" xfId="0" applyNumberFormat="1" applyFont="1" applyFill="1" applyBorder="1" applyAlignment="1">
      <alignment horizontal="left" vertical="center" indent="1"/>
    </xf>
    <xf numFmtId="3" fontId="22" fillId="38" borderId="291" xfId="0" applyNumberFormat="1" applyFont="1" applyFill="1" applyBorder="1" applyAlignment="1">
      <alignment horizontal="center" vertical="center"/>
    </xf>
    <xf numFmtId="181" fontId="32" fillId="38" borderId="292" xfId="0" applyNumberFormat="1" applyFont="1" applyFill="1" applyBorder="1" applyAlignment="1">
      <alignment horizontal="center" vertical="center"/>
    </xf>
    <xf numFmtId="0" fontId="22" fillId="38" borderId="283" xfId="0" applyFont="1" applyFill="1" applyBorder="1" applyAlignment="1">
      <alignment horizontal="center" vertical="center"/>
    </xf>
    <xf numFmtId="2" fontId="32" fillId="38" borderId="284" xfId="0" applyNumberFormat="1" applyFont="1" applyFill="1" applyBorder="1" applyAlignment="1">
      <alignment horizontal="center" vertical="center"/>
    </xf>
    <xf numFmtId="2" fontId="22" fillId="38" borderId="283" xfId="0" applyNumberFormat="1" applyFont="1" applyFill="1" applyBorder="1" applyAlignment="1">
      <alignment horizontal="center" vertical="center"/>
    </xf>
    <xf numFmtId="200" fontId="32" fillId="38" borderId="284" xfId="0" applyNumberFormat="1" applyFont="1" applyFill="1" applyBorder="1" applyAlignment="1">
      <alignment horizontal="center" vertical="center"/>
    </xf>
    <xf numFmtId="10" fontId="32" fillId="38" borderId="284" xfId="39" applyNumberFormat="1" applyFont="1" applyFill="1" applyBorder="1" applyAlignment="1">
      <alignment horizontal="center" vertical="center"/>
    </xf>
    <xf numFmtId="0" fontId="22" fillId="38" borderId="288" xfId="0" applyFont="1" applyFill="1" applyBorder="1" applyAlignment="1">
      <alignment horizontal="center" vertical="center"/>
    </xf>
    <xf numFmtId="10" fontId="32" fillId="38" borderId="289" xfId="0" applyNumberFormat="1" applyFont="1" applyFill="1" applyBorder="1" applyAlignment="1">
      <alignment horizontal="center" vertical="center"/>
    </xf>
    <xf numFmtId="199" fontId="41" fillId="38" borderId="0" xfId="0" applyNumberFormat="1" applyFont="1" applyFill="1" applyAlignment="1">
      <alignment vertical="center"/>
    </xf>
    <xf numFmtId="3" fontId="103" fillId="37" borderId="0" xfId="0" applyNumberFormat="1" applyFont="1" applyFill="1" applyAlignment="1">
      <alignment horizontal="center"/>
    </xf>
    <xf numFmtId="181" fontId="32" fillId="38" borderId="288" xfId="0" applyNumberFormat="1" applyFont="1" applyFill="1" applyBorder="1" applyAlignment="1">
      <alignment horizontal="center" vertical="center"/>
    </xf>
    <xf numFmtId="181" fontId="32" fillId="38" borderId="289" xfId="0" applyNumberFormat="1" applyFont="1" applyFill="1" applyBorder="1" applyAlignment="1">
      <alignment horizontal="center" vertical="center"/>
    </xf>
    <xf numFmtId="180" fontId="32" fillId="38" borderId="218" xfId="39" applyNumberFormat="1" applyFont="1" applyFill="1" applyBorder="1" applyAlignment="1">
      <alignment horizontal="center"/>
    </xf>
    <xf numFmtId="180" fontId="32" fillId="38" borderId="286" xfId="39" applyNumberFormat="1" applyFont="1" applyFill="1" applyBorder="1" applyAlignment="1">
      <alignment horizontal="center"/>
    </xf>
    <xf numFmtId="3" fontId="22" fillId="38" borderId="281" xfId="0" applyNumberFormat="1" applyFont="1" applyFill="1" applyBorder="1" applyAlignment="1">
      <alignment horizontal="left" indent="1"/>
    </xf>
    <xf numFmtId="3" fontId="22" fillId="38" borderId="273" xfId="0" applyNumberFormat="1" applyFont="1" applyFill="1" applyBorder="1" applyAlignment="1">
      <alignment horizontal="left" indent="1"/>
    </xf>
    <xf numFmtId="3" fontId="22" fillId="38" borderId="165" xfId="0" applyNumberFormat="1" applyFont="1" applyFill="1" applyBorder="1" applyAlignment="1">
      <alignment horizontal="left" indent="1"/>
    </xf>
    <xf numFmtId="3" fontId="22" fillId="38" borderId="293" xfId="0" applyNumberFormat="1" applyFont="1" applyFill="1" applyBorder="1" applyAlignment="1">
      <alignment horizontal="left" indent="1"/>
    </xf>
    <xf numFmtId="3" fontId="22" fillId="38" borderId="294" xfId="0" applyNumberFormat="1" applyFont="1" applyFill="1" applyBorder="1" applyAlignment="1">
      <alignment horizontal="center"/>
    </xf>
    <xf numFmtId="2" fontId="32" fillId="38" borderId="294" xfId="39" applyNumberFormat="1" applyFont="1" applyFill="1" applyBorder="1" applyAlignment="1">
      <alignment horizontal="center"/>
    </xf>
    <xf numFmtId="2" fontId="32" fillId="38" borderId="295" xfId="39" applyNumberFormat="1" applyFont="1" applyFill="1" applyBorder="1" applyAlignment="1">
      <alignment horizontal="center"/>
    </xf>
    <xf numFmtId="3" fontId="22" fillId="38" borderId="296" xfId="0" applyNumberFormat="1" applyFont="1" applyFill="1" applyBorder="1" applyAlignment="1">
      <alignment horizontal="left" vertical="center" indent="1"/>
    </xf>
    <xf numFmtId="3" fontId="22" fillId="38" borderId="297" xfId="0" applyNumberFormat="1" applyFont="1" applyFill="1" applyBorder="1" applyAlignment="1">
      <alignment horizontal="center" vertical="center"/>
    </xf>
    <xf numFmtId="181" fontId="32" fillId="38" borderId="297" xfId="0" applyNumberFormat="1" applyFont="1" applyFill="1" applyBorder="1" applyAlignment="1">
      <alignment horizontal="center" vertical="center"/>
    </xf>
    <xf numFmtId="181" fontId="32" fillId="38" borderId="298" xfId="0" applyNumberFormat="1" applyFont="1" applyFill="1" applyBorder="1" applyAlignment="1">
      <alignment horizontal="center" vertical="center"/>
    </xf>
    <xf numFmtId="3" fontId="22" fillId="38" borderId="293" xfId="0" applyNumberFormat="1" applyFont="1" applyFill="1" applyBorder="1" applyAlignment="1">
      <alignment horizontal="left" vertical="center" indent="1"/>
    </xf>
    <xf numFmtId="3" fontId="22" fillId="38" borderId="294" xfId="0" applyNumberFormat="1" applyFont="1" applyFill="1" applyBorder="1" applyAlignment="1">
      <alignment horizontal="center" vertical="center"/>
    </xf>
    <xf numFmtId="181" fontId="32" fillId="38" borderId="294" xfId="0" applyNumberFormat="1" applyFont="1" applyFill="1" applyBorder="1" applyAlignment="1">
      <alignment horizontal="center" vertical="center"/>
    </xf>
    <xf numFmtId="181" fontId="32" fillId="38" borderId="295" xfId="0" applyNumberFormat="1" applyFont="1" applyFill="1" applyBorder="1" applyAlignment="1">
      <alignment horizontal="center" vertical="center"/>
    </xf>
    <xf numFmtId="3" fontId="22" fillId="38" borderId="299" xfId="0" applyNumberFormat="1" applyFont="1" applyFill="1" applyBorder="1"/>
    <xf numFmtId="3" fontId="22" fillId="38" borderId="300" xfId="0" applyNumberFormat="1" applyFont="1" applyFill="1" applyBorder="1" applyAlignment="1">
      <alignment horizontal="center"/>
    </xf>
    <xf numFmtId="167" fontId="32" fillId="38" borderId="300" xfId="0" applyNumberFormat="1" applyFont="1" applyFill="1" applyBorder="1"/>
    <xf numFmtId="3" fontId="32" fillId="38" borderId="300" xfId="0" applyNumberFormat="1" applyFont="1" applyFill="1" applyBorder="1"/>
    <xf numFmtId="3" fontId="32" fillId="38" borderId="301" xfId="0" applyNumberFormat="1" applyFont="1" applyFill="1" applyBorder="1"/>
    <xf numFmtId="0" fontId="22" fillId="38" borderId="278" xfId="0" applyFont="1" applyFill="1" applyBorder="1" applyAlignment="1">
      <alignment horizontal="center" vertical="center"/>
    </xf>
    <xf numFmtId="0" fontId="22" fillId="38" borderId="292" xfId="0" applyFont="1" applyFill="1" applyBorder="1" applyAlignment="1">
      <alignment horizontal="center" vertical="center"/>
    </xf>
    <xf numFmtId="0" fontId="92" fillId="37" borderId="0" xfId="0" applyFont="1" applyFill="1" applyAlignment="1">
      <alignment horizontal="left"/>
    </xf>
    <xf numFmtId="1" fontId="42" fillId="44" borderId="221" xfId="0" applyNumberFormat="1" applyFont="1" applyFill="1" applyBorder="1" applyAlignment="1">
      <alignment horizontal="center"/>
    </xf>
    <xf numFmtId="0" fontId="60" fillId="44" borderId="302" xfId="0" applyFont="1" applyFill="1" applyBorder="1" applyAlignment="1">
      <alignment vertical="center"/>
    </xf>
    <xf numFmtId="0" fontId="60" fillId="44" borderId="303" xfId="0" applyFont="1" applyFill="1" applyBorder="1" applyAlignment="1">
      <alignment vertical="center"/>
    </xf>
    <xf numFmtId="0" fontId="60" fillId="44" borderId="304" xfId="0" applyFont="1" applyFill="1" applyBorder="1" applyAlignment="1">
      <alignment vertical="center"/>
    </xf>
    <xf numFmtId="202" fontId="32" fillId="0" borderId="178" xfId="39" applyNumberFormat="1" applyFont="1" applyBorder="1"/>
    <xf numFmtId="202" fontId="32" fillId="0" borderId="179" xfId="39" applyNumberFormat="1" applyFont="1" applyBorder="1"/>
    <xf numFmtId="3" fontId="61" fillId="0" borderId="180" xfId="0" applyNumberFormat="1" applyFont="1" applyBorder="1" applyAlignment="1">
      <alignment horizontal="left" indent="1"/>
    </xf>
    <xf numFmtId="201" fontId="32" fillId="0" borderId="181" xfId="0" applyNumberFormat="1" applyFont="1" applyBorder="1"/>
    <xf numFmtId="3" fontId="92" fillId="44" borderId="305" xfId="0" applyNumberFormat="1" applyFont="1" applyFill="1" applyBorder="1" applyAlignment="1">
      <alignment horizontal="right"/>
    </xf>
    <xf numFmtId="1" fontId="92" fillId="44" borderId="306" xfId="0" applyNumberFormat="1" applyFont="1" applyFill="1" applyBorder="1" applyAlignment="1">
      <alignment horizontal="center"/>
    </xf>
    <xf numFmtId="3" fontId="42" fillId="44" borderId="307" xfId="0" applyNumberFormat="1" applyFont="1" applyFill="1" applyBorder="1" applyAlignment="1">
      <alignment horizontal="center" vertical="center"/>
    </xf>
    <xf numFmtId="3" fontId="42" fillId="44" borderId="308" xfId="0" applyNumberFormat="1" applyFont="1" applyFill="1" applyBorder="1" applyAlignment="1">
      <alignment horizontal="center" vertical="center"/>
    </xf>
    <xf numFmtId="202" fontId="32" fillId="0" borderId="181" xfId="39" applyNumberFormat="1" applyFont="1" applyBorder="1"/>
    <xf numFmtId="202" fontId="32" fillId="0" borderId="182" xfId="39" applyNumberFormat="1" applyFont="1" applyBorder="1"/>
    <xf numFmtId="3" fontId="42" fillId="44" borderId="240" xfId="0" applyNumberFormat="1" applyFont="1" applyFill="1" applyBorder="1" applyAlignment="1">
      <alignment horizontal="center" vertical="center"/>
    </xf>
    <xf numFmtId="3" fontId="42" fillId="44" borderId="309" xfId="0" applyNumberFormat="1" applyFont="1" applyFill="1" applyBorder="1" applyAlignment="1">
      <alignment horizontal="center" vertical="center"/>
    </xf>
    <xf numFmtId="219" fontId="92" fillId="44" borderId="305" xfId="0" applyNumberFormat="1" applyFont="1" applyFill="1" applyBorder="1" applyAlignment="1">
      <alignment horizontal="right"/>
    </xf>
    <xf numFmtId="1" fontId="92" fillId="44" borderId="306" xfId="0" quotePrefix="1" applyNumberFormat="1" applyFont="1" applyFill="1" applyBorder="1" applyAlignment="1">
      <alignment horizontal="center"/>
    </xf>
    <xf numFmtId="3" fontId="42" fillId="44" borderId="310" xfId="0" applyNumberFormat="1" applyFont="1" applyFill="1" applyBorder="1" applyAlignment="1">
      <alignment horizontal="center" vertical="center"/>
    </xf>
    <xf numFmtId="3" fontId="42" fillId="44" borderId="241" xfId="0" applyNumberFormat="1" applyFont="1" applyFill="1" applyBorder="1" applyAlignment="1">
      <alignment horizontal="center" vertical="center"/>
    </xf>
    <xf numFmtId="3" fontId="22" fillId="0" borderId="166" xfId="0" applyNumberFormat="1" applyFont="1" applyBorder="1" applyAlignment="1">
      <alignment horizontal="center"/>
    </xf>
    <xf numFmtId="3" fontId="42" fillId="44" borderId="229" xfId="0" applyNumberFormat="1" applyFont="1" applyFill="1" applyBorder="1" applyAlignment="1">
      <alignment horizontal="center"/>
    </xf>
    <xf numFmtId="220" fontId="42" fillId="44" borderId="311" xfId="0" applyNumberFormat="1" applyFont="1" applyFill="1" applyBorder="1" applyAlignment="1">
      <alignment horizontal="center"/>
    </xf>
    <xf numFmtId="220" fontId="42" fillId="44" borderId="312" xfId="0" applyNumberFormat="1" applyFont="1" applyFill="1" applyBorder="1" applyAlignment="1">
      <alignment horizontal="center"/>
    </xf>
    <xf numFmtId="1" fontId="42" fillId="44" borderId="313" xfId="0" applyNumberFormat="1" applyFont="1" applyFill="1" applyBorder="1" applyAlignment="1">
      <alignment horizontal="center"/>
    </xf>
    <xf numFmtId="1" fontId="42" fillId="44" borderId="314" xfId="0" applyNumberFormat="1" applyFont="1" applyFill="1" applyBorder="1" applyAlignment="1">
      <alignment horizontal="center"/>
    </xf>
    <xf numFmtId="1" fontId="42" fillId="44" borderId="315" xfId="0" applyNumberFormat="1" applyFont="1" applyFill="1" applyBorder="1" applyAlignment="1">
      <alignment horizontal="center"/>
    </xf>
    <xf numFmtId="0" fontId="48" fillId="44" borderId="239" xfId="0" applyFont="1" applyFill="1" applyBorder="1" applyAlignment="1">
      <alignment horizontal="left" indent="2"/>
    </xf>
    <xf numFmtId="206" fontId="32" fillId="0" borderId="0" xfId="0" applyNumberFormat="1" applyFont="1"/>
    <xf numFmtId="3" fontId="48" fillId="44" borderId="311" xfId="0" applyNumberFormat="1" applyFont="1" applyFill="1" applyBorder="1" applyAlignment="1">
      <alignment horizontal="center"/>
    </xf>
    <xf numFmtId="9" fontId="48" fillId="44" borderId="311" xfId="39" applyFont="1" applyFill="1" applyBorder="1" applyAlignment="1">
      <alignment horizontal="center" wrapText="1"/>
    </xf>
    <xf numFmtId="9" fontId="48" fillId="44" borderId="311" xfId="39" applyFont="1" applyFill="1" applyBorder="1" applyAlignment="1">
      <alignment horizontal="center"/>
    </xf>
    <xf numFmtId="3" fontId="48" fillId="44" borderId="311" xfId="0" applyNumberFormat="1" applyFont="1" applyFill="1" applyBorder="1" applyAlignment="1">
      <alignment horizontal="center" wrapText="1"/>
    </xf>
    <xf numFmtId="3" fontId="48" fillId="44" borderId="312" xfId="0" applyNumberFormat="1" applyFont="1" applyFill="1" applyBorder="1" applyAlignment="1">
      <alignment horizontal="center" wrapText="1"/>
    </xf>
    <xf numFmtId="0" fontId="41" fillId="0" borderId="197" xfId="0" applyFont="1" applyBorder="1" applyAlignment="1">
      <alignment horizontal="left" indent="2"/>
    </xf>
    <xf numFmtId="164" fontId="16" fillId="1" borderId="198" xfId="34" applyFont="1" applyFill="1" applyBorder="1" applyAlignment="1">
      <alignment horizontal="right"/>
    </xf>
    <xf numFmtId="201" fontId="41" fillId="0" borderId="198" xfId="0" applyNumberFormat="1" applyFont="1" applyBorder="1" applyAlignment="1">
      <alignment horizontal="right"/>
    </xf>
    <xf numFmtId="0" fontId="41" fillId="0" borderId="201" xfId="0" applyFont="1" applyBorder="1" applyAlignment="1">
      <alignment horizontal="left" indent="2"/>
    </xf>
    <xf numFmtId="201" fontId="41" fillId="0" borderId="202" xfId="0" applyNumberFormat="1" applyFont="1" applyBorder="1"/>
    <xf numFmtId="224" fontId="41" fillId="0" borderId="202" xfId="34" applyNumberFormat="1" applyFont="1" applyBorder="1"/>
    <xf numFmtId="10" fontId="41" fillId="0" borderId="202" xfId="39" applyNumberFormat="1" applyFont="1" applyBorder="1" applyAlignment="1">
      <alignment horizontal="center"/>
    </xf>
    <xf numFmtId="201" fontId="41" fillId="0" borderId="202" xfId="0" applyNumberFormat="1" applyFont="1" applyBorder="1" applyAlignment="1">
      <alignment horizontal="right"/>
    </xf>
    <xf numFmtId="201" fontId="41" fillId="0" borderId="203" xfId="0" applyNumberFormat="1" applyFont="1" applyBorder="1" applyAlignment="1">
      <alignment horizontal="right"/>
    </xf>
    <xf numFmtId="0" fontId="16" fillId="0" borderId="202" xfId="0" applyFont="1" applyBorder="1" applyAlignment="1">
      <alignment horizontal="left" vertical="center" indent="1"/>
    </xf>
    <xf numFmtId="0" fontId="48" fillId="44" borderId="239" xfId="0" applyFont="1" applyFill="1" applyBorder="1" applyAlignment="1">
      <alignment horizontal="right" vertical="center"/>
    </xf>
    <xf numFmtId="0" fontId="37" fillId="0" borderId="219" xfId="0" applyFont="1" applyBorder="1" applyAlignment="1">
      <alignment horizontal="left" vertical="center" indent="1"/>
    </xf>
    <xf numFmtId="0" fontId="35" fillId="44" borderId="239" xfId="0" applyFont="1" applyFill="1" applyBorder="1" applyAlignment="1">
      <alignment horizontal="right" vertical="center"/>
    </xf>
    <xf numFmtId="0" fontId="22" fillId="0" borderId="219" xfId="0" applyFont="1" applyBorder="1" applyAlignment="1">
      <alignment horizontal="left" vertical="center" indent="1"/>
    </xf>
    <xf numFmtId="0" fontId="22" fillId="0" borderId="195" xfId="0" applyFont="1" applyBorder="1" applyAlignment="1">
      <alignment horizontal="left" vertical="center" indent="1"/>
    </xf>
    <xf numFmtId="3" fontId="22" fillId="0" borderId="202" xfId="0" applyNumberFormat="1" applyFont="1" applyBorder="1" applyAlignment="1">
      <alignment horizontal="left" vertical="center" indent="1"/>
    </xf>
    <xf numFmtId="192" fontId="32" fillId="0" borderId="316" xfId="0" applyNumberFormat="1" applyFont="1" applyBorder="1"/>
    <xf numFmtId="192" fontId="32" fillId="0" borderId="204" xfId="0" applyNumberFormat="1" applyFont="1" applyBorder="1"/>
    <xf numFmtId="192" fontId="32" fillId="0" borderId="317" xfId="0" applyNumberFormat="1" applyFont="1" applyBorder="1"/>
    <xf numFmtId="198" fontId="32" fillId="0" borderId="316" xfId="0" applyNumberFormat="1" applyFont="1" applyBorder="1" applyAlignment="1">
      <alignment horizontal="center"/>
    </xf>
    <xf numFmtId="198" fontId="32" fillId="0" borderId="317" xfId="0" applyNumberFormat="1" applyFont="1" applyBorder="1" applyAlignment="1">
      <alignment horizontal="center"/>
    </xf>
    <xf numFmtId="10" fontId="32" fillId="0" borderId="204" xfId="39" applyNumberFormat="1" applyFont="1" applyBorder="1" applyAlignment="1">
      <alignment horizontal="center"/>
    </xf>
    <xf numFmtId="10" fontId="32" fillId="0" borderId="317" xfId="39" applyNumberFormat="1" applyFont="1" applyBorder="1" applyAlignment="1">
      <alignment horizontal="center"/>
    </xf>
    <xf numFmtId="3" fontId="17" fillId="19" borderId="242" xfId="0" applyNumberFormat="1" applyFont="1" applyFill="1" applyBorder="1" applyAlignment="1">
      <alignment horizontal="center"/>
    </xf>
    <xf numFmtId="3" fontId="16" fillId="19" borderId="242" xfId="0" applyNumberFormat="1" applyFont="1" applyFill="1" applyBorder="1" applyAlignment="1">
      <alignment horizontal="center"/>
    </xf>
    <xf numFmtId="3" fontId="44" fillId="44" borderId="247" xfId="0" applyNumberFormat="1" applyFont="1" applyFill="1" applyBorder="1" applyAlignment="1">
      <alignment horizontal="center" vertical="center"/>
    </xf>
    <xf numFmtId="1" fontId="44" fillId="44" borderId="318" xfId="0" applyNumberFormat="1" applyFont="1" applyFill="1" applyBorder="1" applyAlignment="1">
      <alignment horizontal="center" vertical="center"/>
    </xf>
    <xf numFmtId="218" fontId="44" fillId="44" borderId="247" xfId="0" applyNumberFormat="1" applyFont="1" applyFill="1" applyBorder="1" applyAlignment="1">
      <alignment horizontal="center" vertical="center"/>
    </xf>
    <xf numFmtId="3" fontId="48" fillId="44" borderId="221" xfId="0" applyNumberFormat="1" applyFont="1" applyFill="1" applyBorder="1" applyAlignment="1">
      <alignment horizontal="centerContinuous"/>
    </xf>
    <xf numFmtId="3" fontId="48" fillId="44" borderId="319" xfId="0" applyNumberFormat="1" applyFont="1" applyFill="1" applyBorder="1" applyAlignment="1">
      <alignment horizontal="center"/>
    </xf>
    <xf numFmtId="9" fontId="48" fillId="44" borderId="319" xfId="39" applyFont="1" applyFill="1" applyBorder="1" applyAlignment="1">
      <alignment horizontal="center" wrapText="1"/>
    </xf>
    <xf numFmtId="9" fontId="48" fillId="44" borderId="319" xfId="39" applyFont="1" applyFill="1" applyBorder="1" applyAlignment="1">
      <alignment horizontal="center"/>
    </xf>
    <xf numFmtId="1" fontId="48" fillId="44" borderId="319" xfId="34" applyNumberFormat="1" applyFont="1" applyFill="1" applyBorder="1" applyAlignment="1">
      <alignment horizontal="center"/>
    </xf>
    <xf numFmtId="1" fontId="48" fillId="44" borderId="320" xfId="34" applyNumberFormat="1" applyFont="1" applyFill="1" applyBorder="1" applyAlignment="1">
      <alignment horizontal="center"/>
    </xf>
    <xf numFmtId="0" fontId="32" fillId="0" borderId="281" xfId="0" applyFont="1" applyBorder="1" applyAlignment="1">
      <alignment horizontal="center"/>
    </xf>
    <xf numFmtId="201" fontId="32" fillId="18" borderId="278" xfId="0" applyNumberFormat="1" applyFont="1" applyFill="1" applyBorder="1" applyProtection="1">
      <protection locked="0"/>
    </xf>
    <xf numFmtId="3" fontId="32" fillId="0" borderId="278" xfId="0" applyNumberFormat="1" applyFont="1" applyBorder="1" applyProtection="1">
      <protection locked="0"/>
    </xf>
    <xf numFmtId="201" fontId="32" fillId="0" borderId="278" xfId="0" applyNumberFormat="1" applyFont="1" applyBorder="1" applyProtection="1">
      <protection locked="0"/>
    </xf>
    <xf numFmtId="0" fontId="48" fillId="44" borderId="229" xfId="0" applyFont="1" applyFill="1" applyBorder="1" applyAlignment="1">
      <alignment horizontal="center" vertical="center"/>
    </xf>
    <xf numFmtId="3" fontId="42" fillId="44" borderId="311" xfId="0" applyNumberFormat="1" applyFont="1" applyFill="1" applyBorder="1" applyAlignment="1">
      <alignment horizontal="center" vertical="center"/>
    </xf>
    <xf numFmtId="0" fontId="41" fillId="0" borderId="0" xfId="0" applyFont="1" applyAlignment="1">
      <alignment horizontal="left" indent="1"/>
    </xf>
    <xf numFmtId="0" fontId="47" fillId="44" borderId="250" xfId="0" applyFont="1" applyFill="1" applyBorder="1" applyAlignment="1">
      <alignment vertical="center"/>
    </xf>
    <xf numFmtId="0" fontId="48" fillId="44" borderId="218" xfId="0" applyFont="1" applyFill="1" applyBorder="1" applyAlignment="1">
      <alignment horizontal="right" vertical="center"/>
    </xf>
    <xf numFmtId="0" fontId="43" fillId="44" borderId="221" xfId="0" applyFont="1" applyFill="1" applyBorder="1" applyAlignment="1">
      <alignment horizontal="center" vertical="center" wrapText="1"/>
    </xf>
    <xf numFmtId="0" fontId="43" fillId="44" borderId="250" xfId="0" applyFont="1" applyFill="1" applyBorder="1" applyAlignment="1">
      <alignment horizontal="center" vertical="center" wrapText="1"/>
    </xf>
    <xf numFmtId="0" fontId="43" fillId="44" borderId="218" xfId="0" applyFont="1" applyFill="1" applyBorder="1" applyAlignment="1">
      <alignment horizontal="center" vertical="center" wrapText="1"/>
    </xf>
    <xf numFmtId="0" fontId="43" fillId="44" borderId="225" xfId="0" applyFont="1" applyFill="1" applyBorder="1" applyAlignment="1">
      <alignment horizontal="center" vertical="center" wrapText="1"/>
    </xf>
    <xf numFmtId="3" fontId="104" fillId="44" borderId="250" xfId="0" applyNumberFormat="1" applyFont="1" applyFill="1" applyBorder="1" applyAlignment="1">
      <alignment horizontal="center"/>
    </xf>
    <xf numFmtId="3" fontId="104" fillId="44" borderId="225" xfId="0" applyNumberFormat="1" applyFont="1" applyFill="1" applyBorder="1" applyAlignment="1">
      <alignment horizontal="center"/>
    </xf>
    <xf numFmtId="1" fontId="104" fillId="44" borderId="321" xfId="0" applyNumberFormat="1" applyFont="1" applyFill="1" applyBorder="1" applyAlignment="1">
      <alignment horizontal="center"/>
    </xf>
    <xf numFmtId="3" fontId="104" fillId="44" borderId="218" xfId="0" applyNumberFormat="1" applyFont="1" applyFill="1" applyBorder="1" applyAlignment="1">
      <alignment horizontal="center"/>
    </xf>
    <xf numFmtId="0" fontId="42" fillId="44" borderId="322" xfId="0" applyFont="1" applyFill="1" applyBorder="1" applyAlignment="1">
      <alignment horizontal="right" vertical="center"/>
    </xf>
    <xf numFmtId="0" fontId="42" fillId="44" borderId="323" xfId="0" applyFont="1" applyFill="1" applyBorder="1" applyAlignment="1">
      <alignment horizontal="right" vertical="center"/>
    </xf>
    <xf numFmtId="0" fontId="42" fillId="44" borderId="324" xfId="0" applyFont="1" applyFill="1" applyBorder="1" applyAlignment="1">
      <alignment horizontal="right" vertical="center"/>
    </xf>
    <xf numFmtId="3" fontId="42" fillId="44" borderId="325" xfId="0" applyNumberFormat="1" applyFont="1" applyFill="1" applyBorder="1" applyAlignment="1">
      <alignment horizontal="centerContinuous" vertical="center"/>
    </xf>
    <xf numFmtId="3" fontId="42" fillId="44" borderId="326" xfId="0" applyNumberFormat="1" applyFont="1" applyFill="1" applyBorder="1" applyAlignment="1">
      <alignment horizontal="centerContinuous" vertical="center"/>
    </xf>
    <xf numFmtId="3" fontId="42" fillId="44" borderId="327" xfId="0" applyNumberFormat="1" applyFont="1" applyFill="1" applyBorder="1" applyAlignment="1">
      <alignment horizontal="centerContinuous" vertical="center"/>
    </xf>
    <xf numFmtId="3" fontId="42" fillId="44" borderId="328" xfId="0" applyNumberFormat="1" applyFont="1" applyFill="1" applyBorder="1" applyAlignment="1">
      <alignment horizontal="centerContinuous" vertical="center"/>
    </xf>
    <xf numFmtId="3" fontId="42" fillId="44" borderId="329" xfId="0" applyNumberFormat="1" applyFont="1" applyFill="1" applyBorder="1" applyAlignment="1">
      <alignment horizontal="centerContinuous" vertical="center"/>
    </xf>
    <xf numFmtId="3" fontId="92" fillId="44" borderId="330" xfId="0" applyNumberFormat="1" applyFont="1" applyFill="1" applyBorder="1"/>
    <xf numFmtId="3" fontId="92" fillId="44" borderId="223" xfId="0" applyNumberFormat="1" applyFont="1" applyFill="1" applyBorder="1"/>
    <xf numFmtId="1" fontId="92" fillId="44" borderId="331" xfId="0" applyNumberFormat="1" applyFont="1" applyFill="1" applyBorder="1" applyAlignment="1">
      <alignment horizontal="center"/>
    </xf>
    <xf numFmtId="10" fontId="16" fillId="0" borderId="258" xfId="0" applyNumberFormat="1" applyFont="1" applyBorder="1" applyAlignment="1">
      <alignment horizontal="center"/>
    </xf>
    <xf numFmtId="192" fontId="41" fillId="38" borderId="264" xfId="0" applyNumberFormat="1" applyFont="1" applyFill="1" applyBorder="1"/>
    <xf numFmtId="192" fontId="41" fillId="38" borderId="332" xfId="0" applyNumberFormat="1" applyFont="1" applyFill="1" applyBorder="1"/>
    <xf numFmtId="2" fontId="16" fillId="38" borderId="283" xfId="0" applyNumberFormat="1" applyFont="1" applyFill="1" applyBorder="1" applyAlignment="1">
      <alignment horizontal="center"/>
    </xf>
    <xf numFmtId="3" fontId="41" fillId="0" borderId="334" xfId="0" applyNumberFormat="1" applyFont="1" applyBorder="1" applyAlignment="1">
      <alignment horizontal="left" indent="1"/>
    </xf>
    <xf numFmtId="191" fontId="32" fillId="0" borderId="335" xfId="39" applyNumberFormat="1" applyFont="1" applyBorder="1"/>
    <xf numFmtId="192" fontId="41" fillId="0" borderId="335" xfId="0" applyNumberFormat="1" applyFont="1" applyBorder="1"/>
    <xf numFmtId="191" fontId="32" fillId="0" borderId="335" xfId="0" applyNumberFormat="1" applyFont="1" applyBorder="1"/>
    <xf numFmtId="191" fontId="32" fillId="0" borderId="336" xfId="0" applyNumberFormat="1" applyFont="1" applyBorder="1"/>
    <xf numFmtId="0" fontId="48" fillId="44" borderId="221" xfId="0" applyFont="1" applyFill="1" applyBorder="1" applyAlignment="1">
      <alignment horizontal="center" vertical="center"/>
    </xf>
    <xf numFmtId="1" fontId="48" fillId="44" borderId="221" xfId="0" applyNumberFormat="1" applyFont="1" applyFill="1" applyBorder="1" applyAlignment="1">
      <alignment horizontal="center" vertical="center"/>
    </xf>
    <xf numFmtId="0" fontId="42" fillId="44" borderId="221" xfId="0" applyFont="1" applyFill="1" applyBorder="1" applyAlignment="1">
      <alignment horizontal="center" vertical="center"/>
    </xf>
    <xf numFmtId="3" fontId="32" fillId="0" borderId="281" xfId="0" applyNumberFormat="1" applyFont="1" applyBorder="1" applyAlignment="1">
      <alignment horizontal="left" indent="1"/>
    </xf>
    <xf numFmtId="3" fontId="32" fillId="0" borderId="278" xfId="0" applyNumberFormat="1" applyFont="1" applyBorder="1"/>
    <xf numFmtId="3" fontId="32" fillId="0" borderId="279" xfId="0" applyNumberFormat="1" applyFont="1" applyBorder="1"/>
    <xf numFmtId="3" fontId="32" fillId="0" borderId="282" xfId="0" applyNumberFormat="1" applyFont="1" applyBorder="1" applyAlignment="1">
      <alignment horizontal="left" indent="1"/>
    </xf>
    <xf numFmtId="3" fontId="32" fillId="0" borderId="283" xfId="0" applyNumberFormat="1" applyFont="1" applyBorder="1"/>
    <xf numFmtId="3" fontId="32" fillId="0" borderId="283" xfId="0" quotePrefix="1" applyNumberFormat="1" applyFont="1" applyBorder="1"/>
    <xf numFmtId="3" fontId="32" fillId="0" borderId="284" xfId="0" quotePrefix="1" applyNumberFormat="1" applyFont="1" applyBorder="1"/>
    <xf numFmtId="3" fontId="32" fillId="0" borderId="284" xfId="0" applyNumberFormat="1" applyFont="1" applyBorder="1"/>
    <xf numFmtId="3" fontId="22" fillId="0" borderId="282" xfId="0" applyNumberFormat="1" applyFont="1" applyBorder="1" applyAlignment="1">
      <alignment horizontal="left" indent="1"/>
    </xf>
    <xf numFmtId="196" fontId="22" fillId="38" borderId="291" xfId="0" applyNumberFormat="1" applyFont="1" applyFill="1" applyBorder="1" applyAlignment="1" applyProtection="1">
      <alignment vertical="center"/>
      <protection locked="0"/>
    </xf>
    <xf numFmtId="196" fontId="22" fillId="38" borderId="292" xfId="0" applyNumberFormat="1" applyFont="1" applyFill="1" applyBorder="1" applyAlignment="1" applyProtection="1">
      <alignment vertical="center"/>
      <protection locked="0"/>
    </xf>
    <xf numFmtId="196" fontId="22" fillId="38" borderId="283" xfId="0" applyNumberFormat="1" applyFont="1" applyFill="1" applyBorder="1" applyAlignment="1" applyProtection="1">
      <alignment vertical="center"/>
      <protection locked="0"/>
    </xf>
    <xf numFmtId="196" fontId="22" fillId="38" borderId="284" xfId="0" applyNumberFormat="1" applyFont="1" applyFill="1" applyBorder="1" applyAlignment="1" applyProtection="1">
      <alignment vertical="center"/>
      <protection locked="0"/>
    </xf>
    <xf numFmtId="196" fontId="22" fillId="38" borderId="288" xfId="0" applyNumberFormat="1" applyFont="1" applyFill="1" applyBorder="1" applyAlignment="1" applyProtection="1">
      <alignment horizontal="center" vertical="center"/>
      <protection locked="0"/>
    </xf>
    <xf numFmtId="196" fontId="22" fillId="38" borderId="289" xfId="0" applyNumberFormat="1" applyFont="1" applyFill="1" applyBorder="1" applyAlignment="1" applyProtection="1">
      <alignment horizontal="center" vertical="center"/>
      <protection locked="0"/>
    </xf>
    <xf numFmtId="180" fontId="32" fillId="38" borderId="0" xfId="39" applyNumberFormat="1" applyFont="1" applyFill="1" applyAlignment="1">
      <alignment horizontal="center"/>
    </xf>
    <xf numFmtId="180" fontId="32" fillId="38" borderId="166" xfId="39" applyNumberFormat="1" applyFont="1" applyFill="1" applyBorder="1" applyAlignment="1">
      <alignment horizontal="center"/>
    </xf>
    <xf numFmtId="3" fontId="42" fillId="44" borderId="221" xfId="0" applyNumberFormat="1" applyFont="1" applyFill="1" applyBorder="1" applyAlignment="1">
      <alignment horizontal="left" indent="3"/>
    </xf>
    <xf numFmtId="3" fontId="42" fillId="44" borderId="221" xfId="0" applyNumberFormat="1" applyFont="1" applyFill="1" applyBorder="1" applyAlignment="1">
      <alignment horizontal="center"/>
    </xf>
    <xf numFmtId="3" fontId="42" fillId="44" borderId="221" xfId="0" applyNumberFormat="1" applyFont="1" applyFill="1" applyBorder="1" applyAlignment="1">
      <alignment horizontal="centerContinuous"/>
    </xf>
    <xf numFmtId="1" fontId="42" fillId="44" borderId="221" xfId="0" applyNumberFormat="1" applyFont="1" applyFill="1" applyBorder="1" applyAlignment="1">
      <alignment horizontal="centerContinuous"/>
    </xf>
    <xf numFmtId="194" fontId="32" fillId="38" borderId="0" xfId="0" applyNumberFormat="1" applyFont="1" applyFill="1" applyAlignment="1">
      <alignment horizontal="center"/>
    </xf>
    <xf numFmtId="194" fontId="32" fillId="38" borderId="166" xfId="0" applyNumberFormat="1" applyFont="1" applyFill="1" applyBorder="1" applyAlignment="1">
      <alignment horizontal="center"/>
    </xf>
    <xf numFmtId="10" fontId="16" fillId="0" borderId="259" xfId="0" applyNumberFormat="1" applyFont="1" applyBorder="1" applyAlignment="1">
      <alignment horizontal="center"/>
    </xf>
    <xf numFmtId="0" fontId="0" fillId="35" borderId="0" xfId="0" applyFill="1" applyAlignment="1">
      <alignment horizontal="center"/>
    </xf>
    <xf numFmtId="0" fontId="17" fillId="0" borderId="180" xfId="0" applyFont="1" applyBorder="1" applyAlignment="1">
      <alignment vertical="center"/>
    </xf>
    <xf numFmtId="0" fontId="39" fillId="0" borderId="181" xfId="0" applyFont="1" applyBorder="1" applyAlignment="1">
      <alignment horizontal="right" vertical="center" indent="1"/>
    </xf>
    <xf numFmtId="10" fontId="16" fillId="18" borderId="182" xfId="0" applyNumberFormat="1" applyFont="1" applyFill="1" applyBorder="1" applyAlignment="1" applyProtection="1">
      <alignment horizontal="center" vertical="center"/>
      <protection locked="0"/>
    </xf>
    <xf numFmtId="0" fontId="48" fillId="44" borderId="337" xfId="0" applyFont="1" applyFill="1" applyBorder="1" applyAlignment="1">
      <alignment horizontal="centerContinuous" vertical="center"/>
    </xf>
    <xf numFmtId="0" fontId="42" fillId="44" borderId="338" xfId="0" applyFont="1" applyFill="1" applyBorder="1" applyAlignment="1">
      <alignment horizontal="centerContinuous" vertical="center"/>
    </xf>
    <xf numFmtId="0" fontId="42" fillId="44" borderId="339" xfId="0" applyFont="1" applyFill="1" applyBorder="1" applyAlignment="1">
      <alignment horizontal="centerContinuous" vertical="center"/>
    </xf>
    <xf numFmtId="0" fontId="16" fillId="18" borderId="170" xfId="0" applyFont="1" applyFill="1" applyBorder="1" applyAlignment="1" applyProtection="1">
      <alignment horizontal="center" vertical="center"/>
      <protection locked="0"/>
    </xf>
    <xf numFmtId="0" fontId="43" fillId="44" borderId="247" xfId="0" applyFont="1" applyFill="1" applyBorder="1" applyAlignment="1">
      <alignment horizontal="center" vertical="center"/>
    </xf>
    <xf numFmtId="3" fontId="16" fillId="18" borderId="170" xfId="0" applyNumberFormat="1" applyFont="1" applyFill="1" applyBorder="1" applyAlignment="1" applyProtection="1">
      <alignment horizontal="center"/>
      <protection locked="0"/>
    </xf>
    <xf numFmtId="0" fontId="43" fillId="44" borderId="337" xfId="0" applyFont="1" applyFill="1" applyBorder="1" applyAlignment="1">
      <alignment horizontal="center" vertical="center"/>
    </xf>
    <xf numFmtId="0" fontId="43" fillId="44" borderId="340" xfId="0" applyFont="1" applyFill="1" applyBorder="1" applyAlignment="1">
      <alignment horizontal="center"/>
    </xf>
    <xf numFmtId="10" fontId="16" fillId="21" borderId="170" xfId="39" applyNumberFormat="1" applyFont="1" applyFill="1" applyBorder="1" applyAlignment="1" applyProtection="1">
      <alignment horizontal="center" vertical="center"/>
      <protection locked="0"/>
    </xf>
    <xf numFmtId="0" fontId="48" fillId="44" borderId="341" xfId="0" applyFont="1" applyFill="1" applyBorder="1" applyAlignment="1">
      <alignment vertical="center"/>
    </xf>
    <xf numFmtId="0" fontId="47" fillId="44" borderId="342" xfId="0" applyFont="1" applyFill="1" applyBorder="1" applyAlignment="1">
      <alignment horizontal="right" vertical="center" indent="1"/>
    </xf>
    <xf numFmtId="0" fontId="16" fillId="0" borderId="180" xfId="0" applyFont="1" applyBorder="1" applyAlignment="1">
      <alignment horizontal="centerContinuous" wrapText="1"/>
    </xf>
    <xf numFmtId="0" fontId="16" fillId="0" borderId="181" xfId="0" applyFont="1" applyBorder="1" applyAlignment="1">
      <alignment horizontal="centerContinuous"/>
    </xf>
    <xf numFmtId="0" fontId="41" fillId="0" borderId="181" xfId="0" applyFont="1" applyBorder="1" applyAlignment="1">
      <alignment horizontal="centerContinuous"/>
    </xf>
    <xf numFmtId="0" fontId="22" fillId="0" borderId="181" xfId="0" applyFont="1" applyBorder="1" applyAlignment="1">
      <alignment horizontal="center" vertical="center" wrapText="1"/>
    </xf>
    <xf numFmtId="0" fontId="22" fillId="0" borderId="182" xfId="0" applyFont="1" applyBorder="1" applyAlignment="1">
      <alignment horizontal="center" vertical="center" wrapText="1"/>
    </xf>
    <xf numFmtId="0" fontId="17" fillId="0" borderId="343" xfId="0" applyFont="1" applyBorder="1" applyAlignment="1">
      <alignment horizontal="centerContinuous" vertical="center"/>
    </xf>
    <xf numFmtId="0" fontId="17" fillId="0" borderId="344" xfId="0" applyFont="1" applyBorder="1" applyAlignment="1">
      <alignment horizontal="center"/>
    </xf>
    <xf numFmtId="220" fontId="17" fillId="0" borderId="344" xfId="0" applyNumberFormat="1" applyFont="1" applyBorder="1" applyAlignment="1">
      <alignment horizontal="center"/>
    </xf>
    <xf numFmtId="220" fontId="17" fillId="0" borderId="345" xfId="0" applyNumberFormat="1" applyFont="1" applyBorder="1" applyAlignment="1">
      <alignment horizontal="center"/>
    </xf>
    <xf numFmtId="0" fontId="89" fillId="44" borderId="337" xfId="0" applyFont="1" applyFill="1" applyBorder="1" applyAlignment="1">
      <alignment horizontal="centerContinuous"/>
    </xf>
    <xf numFmtId="0" fontId="42" fillId="44" borderId="338" xfId="0" applyFont="1" applyFill="1" applyBorder="1" applyAlignment="1">
      <alignment horizontal="centerContinuous"/>
    </xf>
    <xf numFmtId="0" fontId="42" fillId="44" borderId="339" xfId="0" applyFont="1" applyFill="1" applyBorder="1" applyAlignment="1">
      <alignment horizontal="centerContinuous"/>
    </xf>
    <xf numFmtId="0" fontId="17" fillId="0" borderId="346" xfId="0" applyFont="1" applyBorder="1" applyAlignment="1">
      <alignment horizontal="center" vertical="center"/>
    </xf>
    <xf numFmtId="1" fontId="17" fillId="0" borderId="181" xfId="0" applyNumberFormat="1" applyFont="1" applyBorder="1" applyAlignment="1">
      <alignment horizontal="center"/>
    </xf>
    <xf numFmtId="220" fontId="17" fillId="0" borderId="346" xfId="0" applyNumberFormat="1" applyFont="1" applyBorder="1" applyAlignment="1">
      <alignment horizontal="center" vertical="center"/>
    </xf>
    <xf numFmtId="220" fontId="17" fillId="0" borderId="347" xfId="0" applyNumberFormat="1" applyFont="1" applyBorder="1" applyAlignment="1">
      <alignment horizontal="center" vertical="center"/>
    </xf>
    <xf numFmtId="1" fontId="17" fillId="0" borderId="182" xfId="0" applyNumberFormat="1" applyFont="1" applyBorder="1" applyAlignment="1">
      <alignment horizontal="center"/>
    </xf>
    <xf numFmtId="0" fontId="89" fillId="44" borderId="337" xfId="0" applyFont="1" applyFill="1" applyBorder="1" applyAlignment="1">
      <alignment horizontal="centerContinuous" vertical="center"/>
    </xf>
    <xf numFmtId="0" fontId="89" fillId="44" borderId="338" xfId="0" applyFont="1" applyFill="1" applyBorder="1" applyAlignment="1">
      <alignment horizontal="centerContinuous" vertical="center"/>
    </xf>
    <xf numFmtId="0" fontId="89" fillId="44" borderId="339" xfId="0" applyFont="1" applyFill="1" applyBorder="1" applyAlignment="1">
      <alignment horizontal="centerContinuous" vertical="center"/>
    </xf>
    <xf numFmtId="0" fontId="105" fillId="38" borderId="0" xfId="0" applyFont="1" applyFill="1"/>
    <xf numFmtId="0" fontId="41" fillId="19" borderId="0" xfId="0" applyFont="1" applyFill="1"/>
    <xf numFmtId="0" fontId="16" fillId="0" borderId="348" xfId="0" applyFont="1" applyBorder="1" applyAlignment="1">
      <alignment horizontal="left" indent="1"/>
    </xf>
    <xf numFmtId="0" fontId="16" fillId="0" borderId="290" xfId="0" applyFont="1" applyBorder="1" applyAlignment="1">
      <alignment horizontal="left" indent="1"/>
    </xf>
    <xf numFmtId="201" fontId="16" fillId="0" borderId="291" xfId="0" applyNumberFormat="1" applyFont="1" applyBorder="1"/>
    <xf numFmtId="3" fontId="16" fillId="0" borderId="291" xfId="0" applyNumberFormat="1" applyFont="1" applyBorder="1" applyAlignment="1">
      <alignment horizontal="center"/>
    </xf>
    <xf numFmtId="3" fontId="16" fillId="0" borderId="292" xfId="0" applyNumberFormat="1" applyFont="1" applyBorder="1" applyAlignment="1">
      <alignment horizontal="center"/>
    </xf>
    <xf numFmtId="0" fontId="41" fillId="0" borderId="282" xfId="0" applyFont="1" applyBorder="1" applyAlignment="1" applyProtection="1">
      <alignment horizontal="left" indent="2"/>
      <protection locked="0"/>
    </xf>
    <xf numFmtId="201" fontId="41" fillId="20" borderId="283" xfId="0" applyNumberFormat="1" applyFont="1" applyFill="1" applyBorder="1" applyProtection="1">
      <protection locked="0"/>
    </xf>
    <xf numFmtId="9" fontId="16" fillId="18" borderId="283" xfId="39" applyFont="1" applyFill="1" applyBorder="1" applyAlignment="1" applyProtection="1">
      <alignment horizontal="center"/>
      <protection locked="0"/>
    </xf>
    <xf numFmtId="9" fontId="16" fillId="18" borderId="284" xfId="39" applyFont="1" applyFill="1" applyBorder="1" applyAlignment="1" applyProtection="1">
      <alignment horizontal="center"/>
      <protection locked="0"/>
    </xf>
    <xf numFmtId="0" fontId="41" fillId="0" borderId="287" xfId="0" applyFont="1" applyBorder="1" applyAlignment="1">
      <alignment horizontal="left" indent="2"/>
    </xf>
    <xf numFmtId="3" fontId="41" fillId="0" borderId="288" xfId="0" applyNumberFormat="1" applyFont="1" applyBorder="1" applyAlignment="1">
      <alignment horizontal="right"/>
    </xf>
    <xf numFmtId="3" fontId="41" fillId="0" borderId="289" xfId="0" applyNumberFormat="1" applyFont="1" applyBorder="1" applyAlignment="1">
      <alignment horizontal="right"/>
    </xf>
    <xf numFmtId="0" fontId="33" fillId="0" borderId="290" xfId="0" applyFont="1" applyBorder="1" applyAlignment="1">
      <alignment horizontal="center" vertical="center" wrapText="1"/>
    </xf>
    <xf numFmtId="3" fontId="16" fillId="0" borderId="292" xfId="0" applyNumberFormat="1" applyFont="1" applyBorder="1" applyAlignment="1">
      <alignment horizontal="center" wrapText="1"/>
    </xf>
    <xf numFmtId="0" fontId="16" fillId="0" borderId="282" xfId="0" applyFont="1" applyBorder="1" applyAlignment="1">
      <alignment horizontal="left" indent="1"/>
    </xf>
    <xf numFmtId="201" fontId="16" fillId="0" borderId="284" xfId="0" applyNumberFormat="1" applyFont="1" applyBorder="1"/>
    <xf numFmtId="0" fontId="41" fillId="0" borderId="287" xfId="0" applyFont="1" applyBorder="1" applyAlignment="1" applyProtection="1">
      <alignment horizontal="left" indent="2"/>
      <protection locked="0"/>
    </xf>
    <xf numFmtId="201" fontId="41" fillId="18" borderId="289" xfId="0" applyNumberFormat="1" applyFont="1" applyFill="1" applyBorder="1" applyProtection="1">
      <protection locked="0"/>
    </xf>
    <xf numFmtId="201" fontId="16" fillId="0" borderId="292" xfId="0" applyNumberFormat="1" applyFont="1" applyBorder="1"/>
    <xf numFmtId="0" fontId="41" fillId="0" borderId="282" xfId="0" applyFont="1" applyBorder="1" applyAlignment="1">
      <alignment horizontal="left" indent="2"/>
    </xf>
    <xf numFmtId="201" fontId="41" fillId="0" borderId="284" xfId="0" applyNumberFormat="1" applyFont="1" applyBorder="1"/>
    <xf numFmtId="3" fontId="89" fillId="44" borderId="311" xfId="0" applyNumberFormat="1" applyFont="1" applyFill="1" applyBorder="1" applyAlignment="1">
      <alignment horizontal="centerContinuous" vertical="center"/>
    </xf>
    <xf numFmtId="0" fontId="89" fillId="44" borderId="312" xfId="0" applyFont="1" applyFill="1" applyBorder="1" applyAlignment="1">
      <alignment horizontal="centerContinuous" vertical="center"/>
    </xf>
    <xf numFmtId="3" fontId="89" fillId="44" borderId="229" xfId="0" applyNumberFormat="1" applyFont="1" applyFill="1" applyBorder="1" applyAlignment="1">
      <alignment horizontal="centerContinuous" vertical="center" wrapText="1"/>
    </xf>
    <xf numFmtId="0" fontId="17" fillId="0" borderId="281" xfId="0" applyFont="1" applyBorder="1" applyAlignment="1">
      <alignment horizontal="center" vertical="center"/>
    </xf>
    <xf numFmtId="164" fontId="17" fillId="0" borderId="278" xfId="34" applyFont="1" applyBorder="1" applyAlignment="1">
      <alignment vertical="center"/>
    </xf>
    <xf numFmtId="229" fontId="17" fillId="0" borderId="279" xfId="0" applyNumberFormat="1" applyFont="1" applyBorder="1" applyAlignment="1">
      <alignment horizontal="center" vertical="center"/>
    </xf>
    <xf numFmtId="0" fontId="39" fillId="0" borderId="282" xfId="0" applyFont="1" applyBorder="1" applyAlignment="1">
      <alignment horizontal="left" vertical="center" indent="2"/>
    </xf>
    <xf numFmtId="164" fontId="39" fillId="20" borderId="283" xfId="34" applyFont="1" applyFill="1" applyBorder="1" applyAlignment="1" applyProtection="1">
      <alignment vertical="center"/>
      <protection locked="0"/>
    </xf>
    <xf numFmtId="229" fontId="39" fillId="0" borderId="284" xfId="0" applyNumberFormat="1" applyFont="1" applyBorder="1" applyAlignment="1">
      <alignment horizontal="center" vertical="center"/>
    </xf>
    <xf numFmtId="164" fontId="39" fillId="0" borderId="283" xfId="34" applyFont="1" applyBorder="1" applyAlignment="1">
      <alignment vertical="center"/>
    </xf>
    <xf numFmtId="228" fontId="39" fillId="0" borderId="283" xfId="34" applyNumberFormat="1" applyFont="1" applyBorder="1" applyAlignment="1">
      <alignment vertical="center"/>
    </xf>
    <xf numFmtId="169" fontId="39" fillId="22" borderId="283" xfId="34" applyNumberFormat="1" applyFont="1" applyFill="1" applyBorder="1" applyAlignment="1" applyProtection="1">
      <alignment vertical="center"/>
      <protection locked="0"/>
    </xf>
    <xf numFmtId="228" fontId="39" fillId="22" borderId="283" xfId="34" applyNumberFormat="1" applyFont="1" applyFill="1" applyBorder="1" applyAlignment="1" applyProtection="1">
      <alignment vertical="center"/>
      <protection locked="0"/>
    </xf>
    <xf numFmtId="189" fontId="39" fillId="20" borderId="283" xfId="34" applyNumberFormat="1" applyFont="1" applyFill="1" applyBorder="1" applyAlignment="1" applyProtection="1">
      <alignment vertical="center"/>
      <protection locked="0"/>
    </xf>
    <xf numFmtId="0" fontId="39" fillId="0" borderId="282" xfId="0" applyFont="1" applyBorder="1" applyAlignment="1">
      <alignment vertical="center"/>
    </xf>
    <xf numFmtId="166" fontId="39" fillId="0" borderId="284" xfId="0" applyNumberFormat="1" applyFont="1" applyBorder="1" applyAlignment="1">
      <alignment horizontal="left" vertical="center"/>
    </xf>
    <xf numFmtId="0" fontId="17" fillId="0" borderId="282" xfId="0" applyFont="1" applyBorder="1" applyAlignment="1">
      <alignment horizontal="center" vertical="center"/>
    </xf>
    <xf numFmtId="164" fontId="17" fillId="0" borderId="283" xfId="34" applyFont="1" applyBorder="1" applyAlignment="1">
      <alignment vertical="center"/>
    </xf>
    <xf numFmtId="229" fontId="17" fillId="0" borderId="284" xfId="0" applyNumberFormat="1" applyFont="1" applyBorder="1" applyAlignment="1">
      <alignment horizontal="center" vertical="center"/>
    </xf>
    <xf numFmtId="0" fontId="57" fillId="0" borderId="282" xfId="0" applyFont="1" applyBorder="1" applyAlignment="1">
      <alignment horizontal="left" vertical="center" indent="2"/>
    </xf>
    <xf numFmtId="164" fontId="39" fillId="18" borderId="283" xfId="34" applyFont="1" applyFill="1" applyBorder="1" applyAlignment="1" applyProtection="1">
      <alignment vertical="center"/>
      <protection locked="0"/>
    </xf>
    <xf numFmtId="164" fontId="39" fillId="22" borderId="283" xfId="34" applyFont="1" applyFill="1" applyBorder="1" applyAlignment="1" applyProtection="1">
      <alignment vertical="center"/>
      <protection locked="0"/>
    </xf>
    <xf numFmtId="164" fontId="39" fillId="0" borderId="283" xfId="34" applyFont="1" applyBorder="1" applyAlignment="1" applyProtection="1">
      <alignment vertical="center"/>
      <protection locked="0"/>
    </xf>
    <xf numFmtId="3" fontId="39" fillId="0" borderId="282" xfId="0" applyNumberFormat="1" applyFont="1" applyBorder="1" applyAlignment="1">
      <alignment horizontal="left" vertical="center" indent="1"/>
    </xf>
    <xf numFmtId="3" fontId="39" fillId="20" borderId="283" xfId="34" applyNumberFormat="1" applyFont="1" applyFill="1" applyBorder="1" applyAlignment="1" applyProtection="1">
      <alignment horizontal="center" vertical="center"/>
      <protection locked="0"/>
    </xf>
    <xf numFmtId="3" fontId="39" fillId="20" borderId="284" xfId="34" applyNumberFormat="1" applyFont="1" applyFill="1" applyBorder="1" applyAlignment="1" applyProtection="1">
      <alignment horizontal="center" vertical="center"/>
      <protection locked="0"/>
    </xf>
    <xf numFmtId="10" fontId="39" fillId="20" borderId="283" xfId="0" applyNumberFormat="1" applyFont="1" applyFill="1" applyBorder="1" applyAlignment="1" applyProtection="1">
      <alignment horizontal="center" vertical="center"/>
      <protection locked="0"/>
    </xf>
    <xf numFmtId="10" fontId="39" fillId="20" borderId="284" xfId="0" applyNumberFormat="1" applyFont="1" applyFill="1" applyBorder="1" applyAlignment="1" applyProtection="1">
      <alignment horizontal="center" vertical="center"/>
      <protection locked="0"/>
    </xf>
    <xf numFmtId="3" fontId="39" fillId="20" borderId="283" xfId="0" applyNumberFormat="1" applyFont="1" applyFill="1" applyBorder="1" applyAlignment="1" applyProtection="1">
      <alignment horizontal="center" vertical="center"/>
      <protection locked="0"/>
    </xf>
    <xf numFmtId="3" fontId="39" fillId="20" borderId="284" xfId="0" applyNumberFormat="1" applyFont="1" applyFill="1" applyBorder="1" applyAlignment="1" applyProtection="1">
      <alignment horizontal="center" vertical="center"/>
      <protection locked="0"/>
    </xf>
    <xf numFmtId="3" fontId="39" fillId="0" borderId="349" xfId="0" applyNumberFormat="1" applyFont="1" applyBorder="1" applyAlignment="1">
      <alignment horizontal="left" vertical="center" indent="2"/>
    </xf>
    <xf numFmtId="164" fontId="39" fillId="20" borderId="351" xfId="34" applyFont="1" applyFill="1" applyBorder="1" applyAlignment="1" applyProtection="1">
      <alignment vertical="center"/>
      <protection locked="0"/>
    </xf>
    <xf numFmtId="3" fontId="39" fillId="0" borderId="282" xfId="0" applyNumberFormat="1" applyFont="1" applyBorder="1" applyAlignment="1">
      <alignment horizontal="left" vertical="center" indent="2"/>
    </xf>
    <xf numFmtId="3" fontId="39" fillId="0" borderId="282" xfId="0" applyNumberFormat="1" applyFont="1" applyBorder="1" applyAlignment="1">
      <alignment horizontal="center" vertical="center"/>
    </xf>
    <xf numFmtId="3" fontId="16" fillId="20" borderId="283" xfId="0" applyNumberFormat="1" applyFont="1" applyFill="1" applyBorder="1" applyAlignment="1" applyProtection="1">
      <alignment horizontal="center" vertical="center"/>
      <protection locked="0"/>
    </xf>
    <xf numFmtId="3" fontId="16" fillId="20" borderId="284" xfId="0" applyNumberFormat="1" applyFont="1" applyFill="1" applyBorder="1" applyAlignment="1" applyProtection="1">
      <alignment horizontal="center" vertical="center"/>
      <protection locked="0"/>
    </xf>
    <xf numFmtId="3" fontId="16" fillId="18" borderId="283" xfId="0" applyNumberFormat="1" applyFont="1" applyFill="1" applyBorder="1" applyAlignment="1" applyProtection="1">
      <alignment horizontal="center" vertical="center"/>
      <protection locked="0"/>
    </xf>
    <xf numFmtId="3" fontId="16" fillId="18" borderId="284" xfId="0" applyNumberFormat="1" applyFont="1" applyFill="1" applyBorder="1" applyAlignment="1" applyProtection="1">
      <alignment horizontal="center" vertical="center"/>
      <protection locked="0"/>
    </xf>
    <xf numFmtId="164" fontId="39" fillId="18" borderId="283" xfId="34" applyFont="1" applyFill="1" applyBorder="1" applyAlignment="1" applyProtection="1">
      <alignment horizontal="center" vertical="center"/>
      <protection locked="0"/>
    </xf>
    <xf numFmtId="164" fontId="39" fillId="18" borderId="284" xfId="34" applyFont="1" applyFill="1" applyBorder="1" applyAlignment="1" applyProtection="1">
      <alignment horizontal="center" vertical="center"/>
      <protection locked="0"/>
    </xf>
    <xf numFmtId="4" fontId="41" fillId="43" borderId="178" xfId="0" applyNumberFormat="1" applyFont="1" applyFill="1" applyBorder="1" applyAlignment="1" applyProtection="1">
      <alignment horizontal="center"/>
      <protection locked="0"/>
    </xf>
    <xf numFmtId="4" fontId="41" fillId="43" borderId="173" xfId="0" applyNumberFormat="1" applyFont="1" applyFill="1" applyBorder="1" applyAlignment="1" applyProtection="1">
      <alignment horizontal="center"/>
      <protection locked="0"/>
    </xf>
    <xf numFmtId="4" fontId="41" fillId="38" borderId="181" xfId="0" applyNumberFormat="1" applyFont="1" applyFill="1" applyBorder="1" applyAlignment="1">
      <alignment horizontal="center"/>
    </xf>
    <xf numFmtId="4" fontId="41" fillId="38" borderId="178" xfId="0" applyNumberFormat="1" applyFont="1" applyFill="1" applyBorder="1" applyAlignment="1">
      <alignment horizontal="center"/>
    </xf>
    <xf numFmtId="4" fontId="41" fillId="38" borderId="173" xfId="0" applyNumberFormat="1" applyFont="1" applyFill="1" applyBorder="1" applyAlignment="1">
      <alignment horizontal="center"/>
    </xf>
    <xf numFmtId="166" fontId="41" fillId="45" borderId="181" xfId="39" applyNumberFormat="1" applyFont="1" applyFill="1" applyBorder="1" applyAlignment="1" applyProtection="1">
      <alignment horizontal="center"/>
      <protection locked="0"/>
    </xf>
    <xf numFmtId="166" fontId="41" fillId="45" borderId="178" xfId="39" applyNumberFormat="1" applyFont="1" applyFill="1" applyBorder="1" applyAlignment="1" applyProtection="1">
      <alignment horizontal="center"/>
      <protection locked="0"/>
    </xf>
    <xf numFmtId="166" fontId="41" fillId="45" borderId="173" xfId="39" applyNumberFormat="1" applyFont="1" applyFill="1" applyBorder="1" applyAlignment="1" applyProtection="1">
      <alignment horizontal="center"/>
      <protection locked="0"/>
    </xf>
    <xf numFmtId="4" fontId="41" fillId="38" borderId="179" xfId="0" applyNumberFormat="1" applyFont="1" applyFill="1" applyBorder="1" applyAlignment="1">
      <alignment horizontal="center"/>
    </xf>
    <xf numFmtId="4" fontId="41" fillId="38" borderId="174" xfId="0" applyNumberFormat="1" applyFont="1" applyFill="1" applyBorder="1" applyAlignment="1">
      <alignment horizontal="center"/>
    </xf>
    <xf numFmtId="9" fontId="56" fillId="38" borderId="179" xfId="39" applyFont="1" applyFill="1" applyBorder="1" applyAlignment="1">
      <alignment horizontal="center"/>
    </xf>
    <xf numFmtId="9" fontId="56" fillId="38" borderId="174" xfId="39" applyFont="1" applyFill="1" applyBorder="1" applyAlignment="1">
      <alignment horizontal="center"/>
    </xf>
    <xf numFmtId="182" fontId="32" fillId="43" borderId="178" xfId="39" applyNumberFormat="1" applyFont="1" applyFill="1" applyBorder="1" applyAlignment="1" applyProtection="1">
      <alignment horizontal="center"/>
      <protection locked="0"/>
    </xf>
    <xf numFmtId="182" fontId="32" fillId="43" borderId="173" xfId="39" applyNumberFormat="1" applyFont="1" applyFill="1" applyBorder="1" applyAlignment="1" applyProtection="1">
      <alignment horizontal="center"/>
      <protection locked="0"/>
    </xf>
    <xf numFmtId="182" fontId="22" fillId="38" borderId="178" xfId="39" applyNumberFormat="1" applyFont="1" applyFill="1" applyBorder="1" applyAlignment="1">
      <alignment horizontal="center"/>
    </xf>
    <xf numFmtId="182" fontId="22" fillId="38" borderId="173" xfId="39" applyNumberFormat="1" applyFont="1" applyFill="1" applyBorder="1" applyAlignment="1">
      <alignment horizontal="center"/>
    </xf>
    <xf numFmtId="166" fontId="41" fillId="38" borderId="181" xfId="39" applyNumberFormat="1" applyFont="1" applyFill="1" applyBorder="1" applyAlignment="1">
      <alignment horizontal="center"/>
    </xf>
    <xf numFmtId="179" fontId="22" fillId="0" borderId="352" xfId="0" applyNumberFormat="1" applyFont="1" applyBorder="1" applyAlignment="1">
      <alignment horizontal="center" vertical="center" wrapText="1"/>
    </xf>
    <xf numFmtId="179" fontId="22" fillId="0" borderId="353" xfId="0" applyNumberFormat="1" applyFont="1" applyBorder="1" applyAlignment="1">
      <alignment horizontal="center" vertical="center" wrapText="1"/>
    </xf>
    <xf numFmtId="3" fontId="44" fillId="44" borderId="229" xfId="0" applyNumberFormat="1" applyFont="1" applyFill="1" applyBorder="1" applyAlignment="1">
      <alignment horizontal="center" vertical="center"/>
    </xf>
    <xf numFmtId="0" fontId="89" fillId="44" borderId="311" xfId="0" applyFont="1" applyFill="1" applyBorder="1" applyAlignment="1">
      <alignment horizontal="center" wrapText="1"/>
    </xf>
    <xf numFmtId="0" fontId="93" fillId="44" borderId="311" xfId="0" applyFont="1" applyFill="1" applyBorder="1" applyAlignment="1">
      <alignment horizontal="centerContinuous" vertical="center"/>
    </xf>
    <xf numFmtId="0" fontId="93" fillId="44" borderId="312" xfId="0" applyFont="1" applyFill="1" applyBorder="1" applyAlignment="1">
      <alignment horizontal="centerContinuous" vertical="center"/>
    </xf>
    <xf numFmtId="0" fontId="16" fillId="0" borderId="189" xfId="0" applyFont="1" applyBorder="1" applyAlignment="1">
      <alignment horizontal="centerContinuous" wrapText="1"/>
    </xf>
    <xf numFmtId="179" fontId="22" fillId="0" borderId="190" xfId="0" applyNumberFormat="1" applyFont="1" applyBorder="1" applyAlignment="1">
      <alignment horizontal="center" vertical="center" wrapText="1"/>
    </xf>
    <xf numFmtId="179" fontId="22" fillId="0" borderId="191" xfId="0" applyNumberFormat="1" applyFont="1" applyBorder="1" applyAlignment="1">
      <alignment horizontal="center" vertical="center" wrapText="1"/>
    </xf>
    <xf numFmtId="182" fontId="22" fillId="38" borderId="181" xfId="39" applyNumberFormat="1" applyFont="1" applyFill="1" applyBorder="1" applyAlignment="1">
      <alignment horizontal="center"/>
    </xf>
    <xf numFmtId="182" fontId="32" fillId="43" borderId="181" xfId="39" applyNumberFormat="1" applyFont="1" applyFill="1" applyBorder="1" applyAlignment="1" applyProtection="1">
      <alignment horizontal="center"/>
      <protection locked="0"/>
    </xf>
    <xf numFmtId="9" fontId="56" fillId="38" borderId="182" xfId="39" applyFont="1" applyFill="1" applyBorder="1" applyAlignment="1">
      <alignment horizontal="center"/>
    </xf>
    <xf numFmtId="3" fontId="48" fillId="44" borderId="229" xfId="0" applyNumberFormat="1" applyFont="1" applyFill="1" applyBorder="1" applyAlignment="1">
      <alignment horizontal="center" vertical="center"/>
    </xf>
    <xf numFmtId="3" fontId="71" fillId="44" borderId="311" xfId="0" applyNumberFormat="1" applyFont="1" applyFill="1" applyBorder="1" applyAlignment="1">
      <alignment horizontal="center" vertical="center"/>
    </xf>
    <xf numFmtId="172" fontId="71" fillId="44" borderId="311" xfId="0" applyNumberFormat="1" applyFont="1" applyFill="1" applyBorder="1" applyAlignment="1">
      <alignment horizontal="center" vertical="center"/>
    </xf>
    <xf numFmtId="3" fontId="71" fillId="44" borderId="312" xfId="0" applyNumberFormat="1" applyFont="1" applyFill="1" applyBorder="1" applyAlignment="1">
      <alignment horizontal="center" vertical="center"/>
    </xf>
    <xf numFmtId="3" fontId="48" fillId="44" borderId="229" xfId="0" applyNumberFormat="1" applyFont="1" applyFill="1" applyBorder="1"/>
    <xf numFmtId="0" fontId="42" fillId="44" borderId="311" xfId="0" applyFont="1" applyFill="1" applyBorder="1" applyAlignment="1">
      <alignment horizontal="center"/>
    </xf>
    <xf numFmtId="3" fontId="42" fillId="44" borderId="311" xfId="0" applyNumberFormat="1" applyFont="1" applyFill="1" applyBorder="1" applyAlignment="1">
      <alignment horizontal="center"/>
    </xf>
    <xf numFmtId="3" fontId="42" fillId="44" borderId="312" xfId="0" applyNumberFormat="1" applyFont="1" applyFill="1" applyBorder="1" applyAlignment="1">
      <alignment horizontal="center"/>
    </xf>
    <xf numFmtId="0" fontId="16" fillId="47" borderId="164" xfId="0" applyFont="1" applyFill="1" applyBorder="1" applyAlignment="1">
      <alignment horizontal="center" vertical="center"/>
    </xf>
    <xf numFmtId="186" fontId="16" fillId="47" borderId="166" xfId="0" applyNumberFormat="1" applyFont="1" applyFill="1" applyBorder="1" applyAlignment="1">
      <alignment horizontal="center"/>
    </xf>
    <xf numFmtId="0" fontId="41" fillId="47" borderId="166" xfId="0" applyFont="1" applyFill="1" applyBorder="1"/>
    <xf numFmtId="0" fontId="16" fillId="47" borderId="166" xfId="0" applyFont="1" applyFill="1" applyBorder="1" applyAlignment="1">
      <alignment horizontal="center" vertical="center"/>
    </xf>
    <xf numFmtId="186" fontId="41" fillId="47" borderId="166" xfId="0" applyNumberFormat="1" applyFont="1" applyFill="1" applyBorder="1" applyAlignment="1">
      <alignment horizontal="center"/>
    </xf>
    <xf numFmtId="186" fontId="41" fillId="47" borderId="169" xfId="0" applyNumberFormat="1" applyFont="1" applyFill="1" applyBorder="1" applyAlignment="1">
      <alignment horizontal="center"/>
    </xf>
    <xf numFmtId="0" fontId="16" fillId="38" borderId="343" xfId="0" applyFont="1" applyFill="1" applyBorder="1" applyAlignment="1">
      <alignment horizontal="left" indent="1"/>
    </xf>
    <xf numFmtId="164" fontId="16" fillId="38" borderId="344" xfId="34" applyFont="1" applyFill="1" applyBorder="1"/>
    <xf numFmtId="9" fontId="16" fillId="38" borderId="344" xfId="39" applyFont="1" applyFill="1" applyBorder="1" applyAlignment="1">
      <alignment horizontal="right"/>
    </xf>
    <xf numFmtId="164" fontId="16" fillId="38" borderId="344" xfId="34" applyFont="1" applyFill="1" applyBorder="1" applyAlignment="1">
      <alignment horizontal="right"/>
    </xf>
    <xf numFmtId="164" fontId="16" fillId="38" borderId="345" xfId="34" applyFont="1" applyFill="1" applyBorder="1" applyAlignment="1">
      <alignment horizontal="right"/>
    </xf>
    <xf numFmtId="0" fontId="16" fillId="38" borderId="178" xfId="0" applyFont="1" applyFill="1" applyBorder="1" applyAlignment="1">
      <alignment horizontal="left" vertical="center" indent="1"/>
    </xf>
    <xf numFmtId="164" fontId="16" fillId="38" borderId="178" xfId="34" applyFont="1" applyFill="1" applyBorder="1" applyAlignment="1">
      <alignment vertical="center"/>
    </xf>
    <xf numFmtId="224" fontId="41" fillId="38" borderId="178" xfId="34" applyNumberFormat="1" applyFont="1" applyFill="1" applyBorder="1" applyAlignment="1">
      <alignment vertical="center"/>
    </xf>
    <xf numFmtId="10" fontId="41" fillId="38" borderId="178" xfId="39" applyNumberFormat="1" applyFont="1" applyFill="1" applyBorder="1" applyAlignment="1">
      <alignment horizontal="center" vertical="center"/>
    </xf>
    <xf numFmtId="164" fontId="16" fillId="38" borderId="178" xfId="34" applyFont="1" applyFill="1" applyBorder="1" applyAlignment="1">
      <alignment horizontal="right" vertical="center"/>
    </xf>
    <xf numFmtId="191" fontId="2" fillId="0" borderId="271" xfId="0" applyNumberFormat="1" applyFont="1" applyBorder="1"/>
    <xf numFmtId="170" fontId="16" fillId="38" borderId="270" xfId="0" applyNumberFormat="1" applyFont="1" applyFill="1" applyBorder="1"/>
    <xf numFmtId="170" fontId="16" fillId="38" borderId="271" xfId="0" applyNumberFormat="1" applyFont="1" applyFill="1" applyBorder="1"/>
    <xf numFmtId="166" fontId="16" fillId="38" borderId="271" xfId="0" applyNumberFormat="1" applyFont="1" applyFill="1" applyBorder="1"/>
    <xf numFmtId="170" fontId="16" fillId="38" borderId="272" xfId="0" applyNumberFormat="1" applyFont="1" applyFill="1" applyBorder="1"/>
    <xf numFmtId="201" fontId="32" fillId="0" borderId="297" xfId="0" applyNumberFormat="1" applyFont="1" applyBorder="1"/>
    <xf numFmtId="201" fontId="32" fillId="0" borderId="298" xfId="0" applyNumberFormat="1" applyFont="1" applyBorder="1"/>
    <xf numFmtId="3" fontId="32" fillId="0" borderId="282" xfId="0" applyNumberFormat="1" applyFont="1" applyBorder="1" applyAlignment="1" applyProtection="1">
      <alignment horizontal="left" indent="2"/>
      <protection locked="0"/>
    </xf>
    <xf numFmtId="201" fontId="32" fillId="0" borderId="283" xfId="0" applyNumberFormat="1" applyFont="1" applyBorder="1"/>
    <xf numFmtId="201" fontId="32" fillId="0" borderId="284" xfId="0" applyNumberFormat="1" applyFont="1" applyBorder="1"/>
    <xf numFmtId="3" fontId="32" fillId="0" borderId="273" xfId="0" applyNumberFormat="1" applyFont="1" applyBorder="1" applyAlignment="1" applyProtection="1">
      <alignment horizontal="left" indent="2"/>
      <protection locked="0"/>
    </xf>
    <xf numFmtId="201" fontId="32" fillId="0" borderId="274" xfId="0" applyNumberFormat="1" applyFont="1" applyBorder="1"/>
    <xf numFmtId="201" fontId="32" fillId="0" borderId="275" xfId="0" applyNumberFormat="1" applyFont="1" applyBorder="1"/>
    <xf numFmtId="0" fontId="155" fillId="48" borderId="76" xfId="0" applyFont="1" applyFill="1" applyBorder="1"/>
    <xf numFmtId="0" fontId="106" fillId="37" borderId="0" xfId="36" applyFont="1" applyFill="1"/>
    <xf numFmtId="0" fontId="104" fillId="38" borderId="0" xfId="36" applyFont="1" applyFill="1"/>
    <xf numFmtId="0" fontId="106" fillId="38" borderId="0" xfId="36" applyFont="1" applyFill="1"/>
    <xf numFmtId="0" fontId="2" fillId="38" borderId="0" xfId="36" applyFill="1"/>
    <xf numFmtId="0" fontId="107" fillId="37" borderId="0" xfId="36" applyFont="1" applyFill="1"/>
    <xf numFmtId="0" fontId="108" fillId="37" borderId="0" xfId="36" applyFont="1" applyFill="1"/>
    <xf numFmtId="0" fontId="34" fillId="38" borderId="0" xfId="36" applyFont="1" applyFill="1"/>
    <xf numFmtId="0" fontId="22" fillId="38" borderId="0" xfId="36" applyFont="1" applyFill="1"/>
    <xf numFmtId="0" fontId="34" fillId="38" borderId="0" xfId="36" applyFont="1" applyFill="1" applyAlignment="1">
      <alignment horizontal="right"/>
    </xf>
    <xf numFmtId="0" fontId="35" fillId="38" borderId="0" xfId="36" applyFont="1" applyFill="1"/>
    <xf numFmtId="0" fontId="32" fillId="38" borderId="0" xfId="36" applyFont="1" applyFill="1"/>
    <xf numFmtId="4" fontId="34" fillId="38" borderId="0" xfId="36" applyNumberFormat="1" applyFont="1" applyFill="1" applyAlignment="1">
      <alignment horizontal="center"/>
    </xf>
    <xf numFmtId="0" fontId="34" fillId="38" borderId="0" xfId="36" applyFont="1" applyFill="1" applyAlignment="1">
      <alignment horizontal="center"/>
    </xf>
    <xf numFmtId="177" fontId="34" fillId="38" borderId="0" xfId="36" applyNumberFormat="1" applyFont="1" applyFill="1" applyAlignment="1">
      <alignment horizontal="center"/>
    </xf>
    <xf numFmtId="0" fontId="109" fillId="0" borderId="0" xfId="0" applyFont="1"/>
    <xf numFmtId="0" fontId="104" fillId="0" borderId="0" xfId="0" applyFont="1"/>
    <xf numFmtId="0" fontId="2" fillId="0" borderId="0" xfId="0" applyFont="1" applyAlignment="1">
      <alignment vertical="center"/>
    </xf>
    <xf numFmtId="0" fontId="4" fillId="0" borderId="166" xfId="0" applyFont="1" applyBorder="1"/>
    <xf numFmtId="0" fontId="3" fillId="0" borderId="0" xfId="0" applyFont="1"/>
    <xf numFmtId="0" fontId="2" fillId="0" borderId="0" xfId="0" applyFont="1" applyAlignment="1">
      <alignment horizontal="left" vertical="center" indent="1"/>
    </xf>
    <xf numFmtId="0" fontId="3" fillId="0" borderId="0" xfId="0" applyFont="1" applyAlignment="1">
      <alignment horizontal="left" vertical="center" indent="1"/>
    </xf>
    <xf numFmtId="0" fontId="2" fillId="0" borderId="166" xfId="0" applyFont="1" applyBorder="1" applyAlignment="1">
      <alignment vertical="center"/>
    </xf>
    <xf numFmtId="0" fontId="114" fillId="0" borderId="161" xfId="0" applyFont="1" applyBorder="1" applyAlignment="1">
      <alignment horizontal="left" vertical="center" indent="1"/>
    </xf>
    <xf numFmtId="1" fontId="16" fillId="20" borderId="173" xfId="0" applyNumberFormat="1" applyFont="1" applyFill="1" applyBorder="1" applyAlignment="1" applyProtection="1">
      <alignment horizontal="center"/>
      <protection locked="0"/>
    </xf>
    <xf numFmtId="1" fontId="16" fillId="0" borderId="173" xfId="0" applyNumberFormat="1" applyFont="1" applyBorder="1" applyAlignment="1">
      <alignment horizontal="center"/>
    </xf>
    <xf numFmtId="1" fontId="16" fillId="0" borderId="174" xfId="0" applyNumberFormat="1" applyFont="1" applyBorder="1" applyAlignment="1">
      <alignment horizontal="center"/>
    </xf>
    <xf numFmtId="0" fontId="17" fillId="0" borderId="170" xfId="0" applyFont="1" applyBorder="1" applyAlignment="1">
      <alignment horizontal="left" vertical="center" indent="1"/>
    </xf>
    <xf numFmtId="0" fontId="115" fillId="0" borderId="0" xfId="0" applyFont="1"/>
    <xf numFmtId="0" fontId="16" fillId="49" borderId="348" xfId="0" applyFont="1" applyFill="1" applyBorder="1" applyAlignment="1">
      <alignment horizontal="left" indent="1"/>
    </xf>
    <xf numFmtId="192" fontId="16" fillId="49" borderId="176" xfId="0" applyNumberFormat="1" applyFont="1" applyFill="1" applyBorder="1"/>
    <xf numFmtId="192" fontId="16" fillId="38" borderId="262" xfId="0" applyNumberFormat="1" applyFont="1" applyFill="1" applyBorder="1"/>
    <xf numFmtId="192" fontId="41" fillId="38" borderId="259" xfId="0" applyNumberFormat="1" applyFont="1" applyFill="1" applyBorder="1"/>
    <xf numFmtId="192" fontId="41" fillId="38" borderId="265" xfId="0" applyNumberFormat="1" applyFont="1" applyFill="1" applyBorder="1"/>
    <xf numFmtId="2" fontId="16" fillId="38" borderId="284" xfId="0" applyNumberFormat="1" applyFont="1" applyFill="1" applyBorder="1" applyAlignment="1">
      <alignment horizontal="center"/>
    </xf>
    <xf numFmtId="192" fontId="41" fillId="38" borderId="333" xfId="0" applyNumberFormat="1" applyFont="1" applyFill="1" applyBorder="1"/>
    <xf numFmtId="192" fontId="16" fillId="38" borderId="259" xfId="0" applyNumberFormat="1" applyFont="1" applyFill="1" applyBorder="1"/>
    <xf numFmtId="192" fontId="16" fillId="38" borderId="265" xfId="0" applyNumberFormat="1" applyFont="1" applyFill="1" applyBorder="1"/>
    <xf numFmtId="192" fontId="16" fillId="38" borderId="176" xfId="0" applyNumberFormat="1" applyFont="1" applyFill="1" applyBorder="1"/>
    <xf numFmtId="3" fontId="48" fillId="44" borderId="362" xfId="0" applyNumberFormat="1" applyFont="1" applyFill="1" applyBorder="1" applyAlignment="1">
      <alignment horizontal="center"/>
    </xf>
    <xf numFmtId="2" fontId="16" fillId="38" borderId="256" xfId="0" applyNumberFormat="1" applyFont="1" applyFill="1" applyBorder="1" applyAlignment="1">
      <alignment horizontal="center"/>
    </xf>
    <xf numFmtId="192" fontId="41" fillId="38" borderId="166" xfId="0" applyNumberFormat="1" applyFont="1" applyFill="1" applyBorder="1"/>
    <xf numFmtId="2" fontId="16" fillId="38" borderId="259" xfId="0" applyNumberFormat="1" applyFont="1" applyFill="1" applyBorder="1" applyAlignment="1">
      <alignment horizontal="center"/>
    </xf>
    <xf numFmtId="170" fontId="97" fillId="0" borderId="260" xfId="0" applyNumberFormat="1" applyFont="1" applyBorder="1"/>
    <xf numFmtId="3" fontId="17" fillId="49" borderId="167" xfId="0" applyNumberFormat="1" applyFont="1" applyFill="1" applyBorder="1" applyAlignment="1">
      <alignment horizontal="center"/>
    </xf>
    <xf numFmtId="192" fontId="16" fillId="49" borderId="168" xfId="0" applyNumberFormat="1" applyFont="1" applyFill="1" applyBorder="1"/>
    <xf numFmtId="192" fontId="16" fillId="49" borderId="169" xfId="0" applyNumberFormat="1" applyFont="1" applyFill="1" applyBorder="1"/>
    <xf numFmtId="191" fontId="16" fillId="49" borderId="168" xfId="0" applyNumberFormat="1" applyFont="1" applyFill="1" applyBorder="1"/>
    <xf numFmtId="191" fontId="16" fillId="49" borderId="169" xfId="0" applyNumberFormat="1" applyFont="1" applyFill="1" applyBorder="1"/>
    <xf numFmtId="3" fontId="100" fillId="49" borderId="171" xfId="0" applyNumberFormat="1" applyFont="1" applyFill="1" applyBorder="1" applyAlignment="1">
      <alignment horizontal="center"/>
    </xf>
    <xf numFmtId="221" fontId="100" fillId="49" borderId="172" xfId="0" applyNumberFormat="1" applyFont="1" applyFill="1" applyBorder="1"/>
    <xf numFmtId="205" fontId="100" fillId="49" borderId="172" xfId="0" applyNumberFormat="1" applyFont="1" applyFill="1" applyBorder="1"/>
    <xf numFmtId="205" fontId="100" fillId="49" borderId="172" xfId="39" applyNumberFormat="1" applyFont="1" applyFill="1" applyBorder="1"/>
    <xf numFmtId="193" fontId="100" fillId="49" borderId="172" xfId="0" applyNumberFormat="1" applyFont="1" applyFill="1" applyBorder="1"/>
    <xf numFmtId="193" fontId="100" fillId="49" borderId="170" xfId="0" applyNumberFormat="1" applyFont="1" applyFill="1" applyBorder="1"/>
    <xf numFmtId="192" fontId="41" fillId="0" borderId="269" xfId="0" applyNumberFormat="1" applyFont="1" applyBorder="1"/>
    <xf numFmtId="192" fontId="41" fillId="0" borderId="272" xfId="0" applyNumberFormat="1" applyFont="1" applyBorder="1"/>
    <xf numFmtId="192" fontId="41" fillId="38" borderId="275" xfId="0" applyNumberFormat="1" applyFont="1" applyFill="1" applyBorder="1"/>
    <xf numFmtId="221" fontId="100" fillId="49" borderId="170" xfId="0" applyNumberFormat="1" applyFont="1" applyFill="1" applyBorder="1"/>
    <xf numFmtId="3" fontId="22" fillId="49" borderId="287" xfId="0" applyNumberFormat="1" applyFont="1" applyFill="1" applyBorder="1" applyAlignment="1">
      <alignment horizontal="right"/>
    </xf>
    <xf numFmtId="3" fontId="22" fillId="49" borderId="288" xfId="0" applyNumberFormat="1" applyFont="1" applyFill="1" applyBorder="1"/>
    <xf numFmtId="3" fontId="22" fillId="49" borderId="289" xfId="0" applyNumberFormat="1" applyFont="1" applyFill="1" applyBorder="1"/>
    <xf numFmtId="3" fontId="22" fillId="49" borderId="215" xfId="0" applyNumberFormat="1" applyFont="1" applyFill="1" applyBorder="1" applyAlignment="1">
      <alignment horizontal="right"/>
    </xf>
    <xf numFmtId="201" fontId="22" fillId="49" borderId="216" xfId="0" applyNumberFormat="1" applyFont="1" applyFill="1" applyBorder="1"/>
    <xf numFmtId="197" fontId="22" fillId="49" borderId="216" xfId="39" applyNumberFormat="1" applyFont="1" applyFill="1" applyBorder="1"/>
    <xf numFmtId="197" fontId="22" fillId="49" borderId="217" xfId="39" applyNumberFormat="1" applyFont="1" applyFill="1" applyBorder="1"/>
    <xf numFmtId="0" fontId="69" fillId="49" borderId="167" xfId="0" applyFont="1" applyFill="1" applyBorder="1"/>
    <xf numFmtId="0" fontId="66" fillId="49" borderId="168" xfId="0" applyFont="1" applyFill="1" applyBorder="1" applyAlignment="1">
      <alignment horizontal="right"/>
    </xf>
    <xf numFmtId="10" fontId="49" fillId="49" borderId="168" xfId="39" applyNumberFormat="1" applyFont="1" applyFill="1" applyBorder="1" applyAlignment="1">
      <alignment horizontal="center"/>
    </xf>
    <xf numFmtId="3" fontId="60" fillId="49" borderId="168" xfId="0" applyNumberFormat="1" applyFont="1" applyFill="1" applyBorder="1"/>
    <xf numFmtId="3" fontId="32" fillId="49" borderId="168" xfId="0" applyNumberFormat="1" applyFont="1" applyFill="1" applyBorder="1"/>
    <xf numFmtId="3" fontId="32" fillId="49" borderId="169" xfId="0" applyNumberFormat="1" applyFont="1" applyFill="1" applyBorder="1"/>
    <xf numFmtId="3" fontId="22" fillId="49" borderId="175" xfId="0" applyNumberFormat="1" applyFont="1" applyFill="1" applyBorder="1" applyAlignment="1">
      <alignment horizontal="center"/>
    </xf>
    <xf numFmtId="201" fontId="22" fillId="49" borderId="173" xfId="0" applyNumberFormat="1" applyFont="1" applyFill="1" applyBorder="1"/>
    <xf numFmtId="202" fontId="22" fillId="49" borderId="173" xfId="39" applyNumberFormat="1" applyFont="1" applyFill="1" applyBorder="1"/>
    <xf numFmtId="202" fontId="22" fillId="49" borderId="174" xfId="39" applyNumberFormat="1" applyFont="1" applyFill="1" applyBorder="1"/>
    <xf numFmtId="3" fontId="22" fillId="49" borderId="167" xfId="0" applyNumberFormat="1" applyFont="1" applyFill="1" applyBorder="1" applyAlignment="1">
      <alignment horizontal="right"/>
    </xf>
    <xf numFmtId="201" fontId="22" fillId="49" borderId="168" xfId="0" applyNumberFormat="1" applyFont="1" applyFill="1" applyBorder="1" applyAlignment="1">
      <alignment horizontal="center"/>
    </xf>
    <xf numFmtId="201" fontId="22" fillId="49" borderId="169" xfId="0" applyNumberFormat="1" applyFont="1" applyFill="1" applyBorder="1" applyAlignment="1">
      <alignment horizontal="center"/>
    </xf>
    <xf numFmtId="3" fontId="22" fillId="49" borderId="239" xfId="0" applyNumberFormat="1" applyFont="1" applyFill="1" applyBorder="1" applyAlignment="1">
      <alignment horizontal="right"/>
    </xf>
    <xf numFmtId="201" fontId="22" fillId="49" borderId="240" xfId="0" applyNumberFormat="1" applyFont="1" applyFill="1" applyBorder="1"/>
    <xf numFmtId="201" fontId="22" fillId="49" borderId="241" xfId="0" applyNumberFormat="1" applyFont="1" applyFill="1" applyBorder="1"/>
    <xf numFmtId="0" fontId="2" fillId="49" borderId="168" xfId="0" applyFont="1" applyFill="1" applyBorder="1" applyAlignment="1">
      <alignment horizontal="center"/>
    </xf>
    <xf numFmtId="0" fontId="22" fillId="49" borderId="167" xfId="0" applyFont="1" applyFill="1" applyBorder="1" applyAlignment="1">
      <alignment horizontal="right" indent="1"/>
    </xf>
    <xf numFmtId="3" fontId="32" fillId="49" borderId="168" xfId="0" applyNumberFormat="1" applyFont="1" applyFill="1" applyBorder="1" applyProtection="1">
      <protection locked="0"/>
    </xf>
    <xf numFmtId="201" fontId="22" fillId="49" borderId="168" xfId="0" applyNumberFormat="1" applyFont="1" applyFill="1" applyBorder="1"/>
    <xf numFmtId="3" fontId="22" fillId="50" borderId="312" xfId="0" applyNumberFormat="1" applyFont="1" applyFill="1" applyBorder="1" applyAlignment="1">
      <alignment horizontal="center" vertical="center"/>
    </xf>
    <xf numFmtId="3" fontId="2" fillId="50" borderId="279" xfId="0" applyNumberFormat="1" applyFont="1" applyFill="1" applyBorder="1" applyProtection="1">
      <protection locked="0"/>
    </xf>
    <xf numFmtId="3" fontId="2" fillId="50" borderId="166" xfId="0" applyNumberFormat="1" applyFont="1" applyFill="1" applyBorder="1" applyProtection="1">
      <protection locked="0"/>
    </xf>
    <xf numFmtId="201" fontId="22" fillId="50" borderId="166" xfId="0" applyNumberFormat="1" applyFont="1" applyFill="1" applyBorder="1"/>
    <xf numFmtId="201" fontId="22" fillId="50" borderId="166" xfId="0" applyNumberFormat="1" applyFont="1" applyFill="1" applyBorder="1" applyProtection="1">
      <protection locked="0"/>
    </xf>
    <xf numFmtId="201" fontId="22" fillId="50" borderId="169" xfId="0" applyNumberFormat="1" applyFont="1" applyFill="1" applyBorder="1"/>
    <xf numFmtId="0" fontId="22" fillId="49" borderId="168" xfId="0" applyFont="1" applyFill="1" applyBorder="1" applyAlignment="1">
      <alignment horizontal="right" indent="1"/>
    </xf>
    <xf numFmtId="4" fontId="2" fillId="50" borderId="166" xfId="0" applyNumberFormat="1" applyFont="1" applyFill="1" applyBorder="1"/>
    <xf numFmtId="0" fontId="16" fillId="49" borderId="171" xfId="0" applyFont="1" applyFill="1" applyBorder="1" applyAlignment="1">
      <alignment horizontal="center" vertical="center" wrapText="1"/>
    </xf>
    <xf numFmtId="3" fontId="16" fillId="49" borderId="172" xfId="0" applyNumberFormat="1" applyFont="1" applyFill="1" applyBorder="1" applyAlignment="1">
      <alignment horizontal="center"/>
    </xf>
    <xf numFmtId="164" fontId="16" fillId="49" borderId="172" xfId="39" applyNumberFormat="1" applyFont="1" applyFill="1" applyBorder="1" applyAlignment="1">
      <alignment horizontal="center" wrapText="1"/>
    </xf>
    <xf numFmtId="9" fontId="16" fillId="49" borderId="172" xfId="39" applyFont="1" applyFill="1" applyBorder="1" applyAlignment="1">
      <alignment horizontal="center"/>
    </xf>
    <xf numFmtId="3" fontId="16" fillId="49" borderId="172" xfId="0" applyNumberFormat="1" applyFont="1" applyFill="1" applyBorder="1" applyAlignment="1">
      <alignment horizontal="center" wrapText="1"/>
    </xf>
    <xf numFmtId="3" fontId="16" fillId="49" borderId="170" xfId="0" applyNumberFormat="1" applyFont="1" applyFill="1" applyBorder="1" applyAlignment="1">
      <alignment horizontal="center" wrapText="1"/>
    </xf>
    <xf numFmtId="3" fontId="16" fillId="50" borderId="244" xfId="0" applyNumberFormat="1" applyFont="1" applyFill="1" applyBorder="1" applyAlignment="1">
      <alignment horizontal="center"/>
    </xf>
    <xf numFmtId="227" fontId="16" fillId="50" borderId="198" xfId="0" applyNumberFormat="1" applyFont="1" applyFill="1" applyBorder="1" applyAlignment="1">
      <alignment horizontal="center"/>
    </xf>
    <xf numFmtId="227" fontId="16" fillId="50" borderId="203" xfId="0" applyNumberFormat="1" applyFont="1" applyFill="1" applyBorder="1" applyAlignment="1">
      <alignment horizontal="center"/>
    </xf>
    <xf numFmtId="0" fontId="117" fillId="51" borderId="196" xfId="31" applyFont="1" applyFill="1" applyBorder="1" applyAlignment="1" applyProtection="1"/>
    <xf numFmtId="0" fontId="117" fillId="51" borderId="159" xfId="31" applyFont="1" applyFill="1" applyBorder="1" applyAlignment="1" applyProtection="1"/>
    <xf numFmtId="0" fontId="117" fillId="51" borderId="160" xfId="0" applyFont="1" applyFill="1" applyBorder="1"/>
    <xf numFmtId="0" fontId="119" fillId="52" borderId="159" xfId="0" applyFont="1" applyFill="1" applyBorder="1"/>
    <xf numFmtId="0" fontId="117" fillId="52" borderId="196" xfId="31" applyFont="1" applyFill="1" applyBorder="1" applyAlignment="1" applyProtection="1"/>
    <xf numFmtId="0" fontId="117" fillId="52" borderId="196" xfId="0" applyFont="1" applyFill="1" applyBorder="1"/>
    <xf numFmtId="0" fontId="119" fillId="52" borderId="196" xfId="0" applyFont="1" applyFill="1" applyBorder="1"/>
    <xf numFmtId="0" fontId="117" fillId="52" borderId="160" xfId="31" applyFont="1" applyFill="1" applyBorder="1" applyAlignment="1" applyProtection="1"/>
    <xf numFmtId="0" fontId="117" fillId="52" borderId="160" xfId="0" applyFont="1" applyFill="1" applyBorder="1"/>
    <xf numFmtId="0" fontId="117" fillId="52" borderId="159" xfId="0" applyFont="1" applyFill="1" applyBorder="1"/>
    <xf numFmtId="0" fontId="118" fillId="52" borderId="196" xfId="0" applyFont="1" applyFill="1" applyBorder="1"/>
    <xf numFmtId="0" fontId="117" fillId="52" borderId="159" xfId="0" applyFont="1" applyFill="1" applyBorder="1" applyProtection="1">
      <protection locked="0"/>
    </xf>
    <xf numFmtId="0" fontId="117" fillId="52" borderId="196" xfId="31" applyFont="1" applyFill="1" applyBorder="1" applyAlignment="1">
      <protection locked="0"/>
    </xf>
    <xf numFmtId="0" fontId="118" fillId="52" borderId="196" xfId="0" applyFont="1" applyFill="1" applyBorder="1" applyProtection="1">
      <protection locked="0"/>
    </xf>
    <xf numFmtId="0" fontId="118" fillId="52" borderId="160" xfId="0" applyFont="1" applyFill="1" applyBorder="1" applyProtection="1">
      <protection locked="0"/>
    </xf>
    <xf numFmtId="0" fontId="118" fillId="52" borderId="160" xfId="0" applyFont="1" applyFill="1" applyBorder="1"/>
    <xf numFmtId="0" fontId="22" fillId="49" borderId="201" xfId="0" applyFont="1" applyFill="1" applyBorder="1" applyAlignment="1">
      <alignment horizontal="center"/>
    </xf>
    <xf numFmtId="201" fontId="22" fillId="49" borderId="202" xfId="0" applyNumberFormat="1" applyFont="1" applyFill="1" applyBorder="1" applyAlignment="1">
      <alignment horizontal="center"/>
    </xf>
    <xf numFmtId="211" fontId="22" fillId="49" borderId="202" xfId="0" applyNumberFormat="1" applyFont="1" applyFill="1" applyBorder="1" applyAlignment="1">
      <alignment horizontal="center"/>
    </xf>
    <xf numFmtId="0" fontId="22" fillId="49" borderId="202" xfId="0" applyFont="1" applyFill="1" applyBorder="1" applyAlignment="1">
      <alignment horizontal="center"/>
    </xf>
    <xf numFmtId="208" fontId="22" fillId="49" borderId="203" xfId="0" applyNumberFormat="1" applyFont="1" applyFill="1" applyBorder="1" applyAlignment="1">
      <alignment horizontal="center"/>
    </xf>
    <xf numFmtId="227" fontId="22" fillId="49" borderId="200" xfId="0" applyNumberFormat="1" applyFont="1" applyFill="1" applyBorder="1" applyAlignment="1">
      <alignment horizontal="center"/>
    </xf>
    <xf numFmtId="209" fontId="32" fillId="49" borderId="201" xfId="0" applyNumberFormat="1" applyFont="1" applyFill="1" applyBorder="1" applyAlignment="1">
      <alignment horizontal="center"/>
    </xf>
    <xf numFmtId="10" fontId="32" fillId="49" borderId="203" xfId="39" applyNumberFormat="1" applyFont="1" applyFill="1" applyBorder="1" applyAlignment="1">
      <alignment horizontal="center"/>
    </xf>
    <xf numFmtId="201" fontId="22" fillId="49" borderId="203" xfId="0" applyNumberFormat="1" applyFont="1" applyFill="1" applyBorder="1" applyAlignment="1">
      <alignment horizontal="center"/>
    </xf>
    <xf numFmtId="3" fontId="17" fillId="49" borderId="287" xfId="0" applyNumberFormat="1" applyFont="1" applyFill="1" applyBorder="1" applyAlignment="1">
      <alignment horizontal="center" vertical="center"/>
    </xf>
    <xf numFmtId="177" fontId="17" fillId="49" borderId="288" xfId="0" applyNumberFormat="1" applyFont="1" applyFill="1" applyBorder="1" applyAlignment="1">
      <alignment horizontal="center" vertical="center"/>
    </xf>
    <xf numFmtId="177" fontId="17" fillId="49" borderId="289" xfId="0" applyNumberFormat="1" applyFont="1" applyFill="1" applyBorder="1" applyAlignment="1">
      <alignment horizontal="center" vertical="center"/>
    </xf>
    <xf numFmtId="0" fontId="17" fillId="49" borderId="287" xfId="0" applyFont="1" applyFill="1" applyBorder="1" applyAlignment="1">
      <alignment horizontal="center" vertical="center"/>
    </xf>
    <xf numFmtId="164" fontId="17" fillId="49" borderId="288" xfId="34" applyFont="1" applyFill="1" applyBorder="1" applyAlignment="1">
      <alignment vertical="center"/>
    </xf>
    <xf numFmtId="229" fontId="17" fillId="49" borderId="289" xfId="0" applyNumberFormat="1" applyFont="1" applyFill="1" applyBorder="1" applyAlignment="1">
      <alignment horizontal="center" vertical="center"/>
    </xf>
    <xf numFmtId="0" fontId="22" fillId="49" borderId="355" xfId="0" applyFont="1" applyFill="1" applyBorder="1" applyAlignment="1">
      <alignment horizontal="right"/>
    </xf>
    <xf numFmtId="201" fontId="22" fillId="49" borderId="356" xfId="0" applyNumberFormat="1" applyFont="1" applyFill="1" applyBorder="1"/>
    <xf numFmtId="211" fontId="22" fillId="49" borderId="356" xfId="0" applyNumberFormat="1" applyFont="1" applyFill="1" applyBorder="1" applyAlignment="1">
      <alignment horizontal="center"/>
    </xf>
    <xf numFmtId="166" fontId="22" fillId="49" borderId="356" xfId="39" applyNumberFormat="1" applyFont="1" applyFill="1" applyBorder="1" applyAlignment="1">
      <alignment horizontal="center"/>
    </xf>
    <xf numFmtId="208" fontId="22" fillId="49" borderId="357" xfId="0" applyNumberFormat="1" applyFont="1" applyFill="1" applyBorder="1" applyAlignment="1">
      <alignment horizontal="center"/>
    </xf>
    <xf numFmtId="0" fontId="16" fillId="49" borderId="354" xfId="0" applyFont="1" applyFill="1" applyBorder="1" applyAlignment="1">
      <alignment horizontal="left" vertical="center" indent="2"/>
    </xf>
    <xf numFmtId="201" fontId="22" fillId="49" borderId="215" xfId="0" applyNumberFormat="1" applyFont="1" applyFill="1" applyBorder="1" applyAlignment="1">
      <alignment vertical="center"/>
    </xf>
    <xf numFmtId="201" fontId="22" fillId="49" borderId="216" xfId="0" applyNumberFormat="1" applyFont="1" applyFill="1" applyBorder="1" applyAlignment="1">
      <alignment vertical="center"/>
    </xf>
    <xf numFmtId="10" fontId="22" fillId="49" borderId="216" xfId="39" applyNumberFormat="1" applyFont="1" applyFill="1" applyBorder="1" applyAlignment="1">
      <alignment horizontal="center" vertical="center"/>
    </xf>
    <xf numFmtId="201" fontId="22" fillId="49" borderId="217" xfId="0" applyNumberFormat="1" applyFont="1" applyFill="1" applyBorder="1" applyAlignment="1">
      <alignment vertical="center"/>
    </xf>
    <xf numFmtId="0" fontId="104" fillId="44" borderId="210" xfId="0" applyFont="1" applyFill="1" applyBorder="1" applyAlignment="1">
      <alignment horizontal="center" vertical="center" wrapText="1"/>
    </xf>
    <xf numFmtId="0" fontId="104" fillId="44" borderId="211" xfId="0" applyFont="1" applyFill="1" applyBorder="1" applyAlignment="1">
      <alignment horizontal="center" vertical="center" wrapText="1"/>
    </xf>
    <xf numFmtId="0" fontId="104" fillId="44" borderId="212" xfId="0" applyFont="1" applyFill="1" applyBorder="1" applyAlignment="1">
      <alignment horizontal="center" vertical="center" wrapText="1"/>
    </xf>
    <xf numFmtId="3" fontId="22" fillId="50" borderId="188" xfId="0" applyNumberFormat="1" applyFont="1" applyFill="1" applyBorder="1" applyAlignment="1">
      <alignment horizontal="center" wrapText="1"/>
    </xf>
    <xf numFmtId="201" fontId="22" fillId="50" borderId="179" xfId="0" applyNumberFormat="1" applyFont="1" applyFill="1" applyBorder="1"/>
    <xf numFmtId="201" fontId="22" fillId="50" borderId="174" xfId="0" applyNumberFormat="1" applyFont="1" applyFill="1" applyBorder="1"/>
    <xf numFmtId="0" fontId="114" fillId="0" borderId="161" xfId="0" applyFont="1" applyBorder="1" applyAlignment="1">
      <alignment horizontal="center" vertical="center"/>
    </xf>
    <xf numFmtId="0" fontId="113" fillId="0" borderId="159" xfId="0" applyFont="1" applyBorder="1" applyAlignment="1" applyProtection="1">
      <alignment horizontal="left" vertical="center" indent="1"/>
      <protection locked="0"/>
    </xf>
    <xf numFmtId="0" fontId="120" fillId="0" borderId="161" xfId="0" applyFont="1" applyBorder="1" applyAlignment="1">
      <alignment horizontal="center" vertical="center" wrapText="1"/>
    </xf>
    <xf numFmtId="0" fontId="120" fillId="0" borderId="186" xfId="0" applyFont="1" applyBorder="1"/>
    <xf numFmtId="0" fontId="113" fillId="0" borderId="187" xfId="0" applyFont="1" applyBorder="1" applyAlignment="1" applyProtection="1">
      <alignment horizontal="center"/>
      <protection locked="0"/>
    </xf>
    <xf numFmtId="218" fontId="113" fillId="0" borderId="187" xfId="0" applyNumberFormat="1" applyFont="1" applyBorder="1" applyAlignment="1">
      <alignment horizontal="center"/>
    </xf>
    <xf numFmtId="218" fontId="113" fillId="0" borderId="188" xfId="0" applyNumberFormat="1" applyFont="1" applyBorder="1" applyAlignment="1">
      <alignment horizontal="center"/>
    </xf>
    <xf numFmtId="0" fontId="113" fillId="0" borderId="175" xfId="0" applyFont="1" applyBorder="1" applyAlignment="1">
      <alignment horizontal="left" indent="1"/>
    </xf>
    <xf numFmtId="0" fontId="116" fillId="0" borderId="161" xfId="0" applyFont="1" applyBorder="1" applyAlignment="1">
      <alignment horizontal="center" vertical="center"/>
    </xf>
    <xf numFmtId="0" fontId="120" fillId="0" borderId="161" xfId="0" applyFont="1" applyBorder="1" applyAlignment="1">
      <alignment horizontal="left" vertical="center" indent="1"/>
    </xf>
    <xf numFmtId="0" fontId="113" fillId="0" borderId="171" xfId="0" applyFont="1" applyBorder="1" applyAlignment="1">
      <alignment horizontal="centerContinuous" vertical="center"/>
    </xf>
    <xf numFmtId="0" fontId="121" fillId="0" borderId="170" xfId="0" applyFont="1" applyBorder="1" applyAlignment="1">
      <alignment horizontal="centerContinuous"/>
    </xf>
    <xf numFmtId="0" fontId="120" fillId="0" borderId="161" xfId="0" applyFont="1" applyBorder="1" applyAlignment="1">
      <alignment horizontal="center" vertical="center"/>
    </xf>
    <xf numFmtId="0" fontId="120" fillId="0" borderId="161" xfId="0" applyFont="1" applyBorder="1" applyAlignment="1">
      <alignment horizontal="left" wrapText="1" indent="1"/>
    </xf>
    <xf numFmtId="0" fontId="113" fillId="0" borderId="161" xfId="0" applyFont="1" applyBorder="1" applyAlignment="1">
      <alignment horizontal="left" vertical="center" indent="2"/>
    </xf>
    <xf numFmtId="0" fontId="119" fillId="52" borderId="159" xfId="0" applyFont="1" applyFill="1" applyBorder="1" applyAlignment="1">
      <alignment horizontal="center"/>
    </xf>
    <xf numFmtId="0" fontId="0" fillId="0" borderId="0" xfId="0" applyAlignment="1">
      <alignment horizontal="left"/>
    </xf>
    <xf numFmtId="0" fontId="92" fillId="37" borderId="0" xfId="0" applyFont="1" applyFill="1" applyAlignment="1">
      <alignment horizontal="left" vertical="center"/>
    </xf>
    <xf numFmtId="3" fontId="61" fillId="0" borderId="189" xfId="0" applyNumberFormat="1" applyFont="1" applyBorder="1" applyAlignment="1" applyProtection="1">
      <alignment horizontal="left" indent="1"/>
      <protection locked="0"/>
    </xf>
    <xf numFmtId="3" fontId="61" fillId="0" borderId="197" xfId="0" applyNumberFormat="1" applyFont="1" applyBorder="1" applyAlignment="1" applyProtection="1">
      <alignment horizontal="left" indent="1"/>
      <protection locked="0"/>
    </xf>
    <xf numFmtId="201" fontId="61" fillId="20" borderId="190" xfId="0" applyNumberFormat="1" applyFont="1" applyFill="1" applyBorder="1" applyProtection="1">
      <protection locked="0"/>
    </xf>
    <xf numFmtId="3" fontId="61" fillId="20" borderId="190" xfId="0" applyNumberFormat="1" applyFont="1" applyFill="1" applyBorder="1" applyAlignment="1" applyProtection="1">
      <alignment horizontal="center"/>
      <protection locked="0"/>
    </xf>
    <xf numFmtId="201" fontId="61" fillId="18" borderId="190" xfId="0" applyNumberFormat="1" applyFont="1" applyFill="1" applyBorder="1" applyProtection="1">
      <protection locked="0"/>
    </xf>
    <xf numFmtId="201" fontId="61" fillId="0" borderId="190" xfId="0" applyNumberFormat="1" applyFont="1" applyBorder="1" applyProtection="1">
      <protection locked="0"/>
    </xf>
    <xf numFmtId="213" fontId="61" fillId="0" borderId="191" xfId="39" applyNumberFormat="1" applyFont="1" applyBorder="1"/>
    <xf numFmtId="3" fontId="61" fillId="20" borderId="195" xfId="0" applyNumberFormat="1" applyFont="1" applyFill="1" applyBorder="1" applyAlignment="1" applyProtection="1">
      <alignment horizontal="center"/>
      <protection locked="0"/>
    </xf>
    <xf numFmtId="201" fontId="61" fillId="18" borderId="195" xfId="0" applyNumberFormat="1" applyFont="1" applyFill="1" applyBorder="1" applyProtection="1">
      <protection locked="0"/>
    </xf>
    <xf numFmtId="201" fontId="61" fillId="0" borderId="195" xfId="0" applyNumberFormat="1" applyFont="1" applyBorder="1"/>
    <xf numFmtId="213" fontId="61" fillId="0" borderId="198" xfId="39" applyNumberFormat="1" applyFont="1" applyBorder="1"/>
    <xf numFmtId="3" fontId="37" fillId="49" borderId="201" xfId="0" applyNumberFormat="1" applyFont="1" applyFill="1" applyBorder="1" applyAlignment="1">
      <alignment horizontal="right"/>
    </xf>
    <xf numFmtId="4" fontId="37" fillId="49" borderId="202" xfId="0" applyNumberFormat="1" applyFont="1" applyFill="1" applyBorder="1"/>
    <xf numFmtId="201" fontId="37" fillId="49" borderId="202" xfId="0" applyNumberFormat="1" applyFont="1" applyFill="1" applyBorder="1"/>
    <xf numFmtId="213" fontId="37" fillId="49" borderId="203" xfId="39" applyNumberFormat="1" applyFont="1" applyFill="1" applyBorder="1"/>
    <xf numFmtId="192" fontId="41" fillId="38" borderId="258" xfId="0" applyNumberFormat="1" applyFont="1" applyFill="1" applyBorder="1" applyProtection="1">
      <protection locked="0"/>
    </xf>
    <xf numFmtId="0" fontId="155" fillId="37" borderId="0" xfId="0" applyFont="1" applyFill="1" applyAlignment="1">
      <alignment horizontal="left"/>
    </xf>
    <xf numFmtId="0" fontId="152" fillId="37" borderId="0" xfId="0" applyFont="1" applyFill="1"/>
    <xf numFmtId="0" fontId="22" fillId="38" borderId="0" xfId="0" applyFont="1" applyFill="1"/>
    <xf numFmtId="0" fontId="156" fillId="37" borderId="0" xfId="0" applyFont="1" applyFill="1"/>
    <xf numFmtId="0" fontId="42" fillId="38" borderId="0" xfId="0" applyFont="1" applyFill="1"/>
    <xf numFmtId="0" fontId="94" fillId="38" borderId="0" xfId="0" applyFont="1" applyFill="1"/>
    <xf numFmtId="0" fontId="29" fillId="38" borderId="0" xfId="0" applyFont="1" applyFill="1"/>
    <xf numFmtId="0" fontId="157" fillId="37" borderId="0" xfId="0" applyFont="1" applyFill="1"/>
    <xf numFmtId="3" fontId="41" fillId="53" borderId="0" xfId="0" applyNumberFormat="1" applyFont="1" applyFill="1"/>
    <xf numFmtId="3" fontId="47" fillId="53" borderId="0" xfId="0" applyNumberFormat="1" applyFont="1" applyFill="1"/>
    <xf numFmtId="0" fontId="155" fillId="37" borderId="0" xfId="0" applyFont="1" applyFill="1"/>
    <xf numFmtId="3" fontId="48" fillId="53" borderId="0" xfId="0" applyNumberFormat="1" applyFont="1" applyFill="1"/>
    <xf numFmtId="0" fontId="47" fillId="53" borderId="0" xfId="0" applyFont="1" applyFill="1"/>
    <xf numFmtId="0" fontId="151" fillId="37" borderId="0" xfId="36" applyFont="1" applyFill="1"/>
    <xf numFmtId="0" fontId="34" fillId="37" borderId="0" xfId="36" applyFont="1" applyFill="1"/>
    <xf numFmtId="0" fontId="44" fillId="37" borderId="157" xfId="31" applyFont="1" applyFill="1" applyBorder="1" applyAlignment="1" applyProtection="1">
      <alignment horizontal="center" vertical="center"/>
    </xf>
    <xf numFmtId="0" fontId="22" fillId="0" borderId="11" xfId="36" applyFont="1" applyBorder="1" applyAlignment="1">
      <alignment horizontal="center"/>
    </xf>
    <xf numFmtId="0" fontId="158" fillId="54" borderId="46" xfId="0" applyFont="1" applyFill="1" applyBorder="1" applyAlignment="1">
      <alignment horizontal="center"/>
    </xf>
    <xf numFmtId="0" fontId="158" fillId="54" borderId="52" xfId="0" applyFont="1" applyFill="1" applyBorder="1" applyAlignment="1">
      <alignment horizontal="center"/>
    </xf>
    <xf numFmtId="0" fontId="122" fillId="21" borderId="46" xfId="0" applyFont="1" applyFill="1" applyBorder="1"/>
    <xf numFmtId="0" fontId="0" fillId="21" borderId="52" xfId="0" applyFill="1" applyBorder="1"/>
    <xf numFmtId="0" fontId="0" fillId="21" borderId="47" xfId="0" applyFill="1" applyBorder="1"/>
    <xf numFmtId="1" fontId="0" fillId="0" borderId="47" xfId="0" applyNumberFormat="1" applyBorder="1"/>
    <xf numFmtId="0" fontId="0" fillId="0" borderId="46" xfId="0" applyBorder="1"/>
    <xf numFmtId="0" fontId="122" fillId="21" borderId="52" xfId="0" applyFont="1" applyFill="1" applyBorder="1"/>
    <xf numFmtId="0" fontId="122" fillId="21" borderId="47" xfId="0" applyFont="1" applyFill="1" applyBorder="1"/>
    <xf numFmtId="0" fontId="2" fillId="0" borderId="155" xfId="0" applyFont="1" applyBorder="1"/>
    <xf numFmtId="0" fontId="0" fillId="0" borderId="79" xfId="0" applyBorder="1"/>
    <xf numFmtId="1" fontId="0" fillId="0" borderId="48" xfId="0" applyNumberFormat="1" applyBorder="1"/>
    <xf numFmtId="0" fontId="122" fillId="21" borderId="42" xfId="0" applyFont="1" applyFill="1" applyBorder="1"/>
    <xf numFmtId="0" fontId="159" fillId="54" borderId="46" xfId="0" applyFont="1" applyFill="1" applyBorder="1" applyAlignment="1">
      <alignment horizontal="center"/>
    </xf>
    <xf numFmtId="0" fontId="159" fillId="54" borderId="52" xfId="0" applyFont="1" applyFill="1" applyBorder="1" applyAlignment="1">
      <alignment horizontal="center"/>
    </xf>
    <xf numFmtId="0" fontId="122" fillId="21" borderId="49" xfId="0" applyFont="1" applyFill="1" applyBorder="1" applyAlignment="1">
      <alignment horizontal="center"/>
    </xf>
    <xf numFmtId="0" fontId="2" fillId="19" borderId="46" xfId="0" applyFont="1" applyFill="1" applyBorder="1" applyAlignment="1">
      <alignment vertical="center" wrapText="1"/>
    </xf>
    <xf numFmtId="0" fontId="2" fillId="19" borderId="49" xfId="0" applyFont="1" applyFill="1" applyBorder="1" applyAlignment="1">
      <alignment vertical="center" wrapText="1"/>
    </xf>
    <xf numFmtId="0" fontId="2" fillId="19" borderId="0" xfId="0" applyFont="1" applyFill="1" applyAlignment="1">
      <alignment vertical="center" wrapText="1"/>
    </xf>
    <xf numFmtId="0" fontId="2" fillId="19" borderId="14" xfId="0" applyFont="1" applyFill="1" applyBorder="1" applyAlignment="1">
      <alignment vertical="center" wrapText="1"/>
    </xf>
    <xf numFmtId="0" fontId="2" fillId="19" borderId="75" xfId="0" applyFont="1" applyFill="1" applyBorder="1" applyAlignment="1">
      <alignment vertical="center" wrapText="1"/>
    </xf>
    <xf numFmtId="0" fontId="2" fillId="19" borderId="35" xfId="0" applyFont="1" applyFill="1" applyBorder="1" applyAlignment="1">
      <alignment vertical="center" wrapText="1"/>
    </xf>
    <xf numFmtId="0" fontId="122" fillId="21" borderId="69" xfId="0" applyFont="1" applyFill="1" applyBorder="1" applyAlignment="1">
      <alignment vertical="center" wrapText="1"/>
    </xf>
    <xf numFmtId="0" fontId="123" fillId="21" borderId="46" xfId="0" applyFont="1" applyFill="1" applyBorder="1" applyAlignment="1">
      <alignment horizontal="center"/>
    </xf>
    <xf numFmtId="0" fontId="0" fillId="0" borderId="49" xfId="0" applyBorder="1"/>
    <xf numFmtId="0" fontId="0" fillId="0" borderId="25" xfId="0" applyBorder="1"/>
    <xf numFmtId="0" fontId="122" fillId="19" borderId="42" xfId="0" applyFont="1" applyFill="1" applyBorder="1"/>
    <xf numFmtId="2" fontId="0" fillId="0" borderId="49" xfId="0" applyNumberFormat="1" applyBorder="1"/>
    <xf numFmtId="0" fontId="125" fillId="21" borderId="49" xfId="0" applyFont="1" applyFill="1" applyBorder="1" applyAlignment="1">
      <alignment horizontal="center"/>
    </xf>
    <xf numFmtId="2" fontId="0" fillId="0" borderId="46" xfId="0" applyNumberFormat="1" applyBorder="1"/>
    <xf numFmtId="2" fontId="122" fillId="21" borderId="46" xfId="0" applyNumberFormat="1" applyFont="1" applyFill="1" applyBorder="1"/>
    <xf numFmtId="2" fontId="122" fillId="21" borderId="49" xfId="0" applyNumberFormat="1" applyFont="1" applyFill="1" applyBorder="1"/>
    <xf numFmtId="2" fontId="122" fillId="21" borderId="25" xfId="0" applyNumberFormat="1" applyFont="1" applyFill="1" applyBorder="1"/>
    <xf numFmtId="2" fontId="0" fillId="0" borderId="25" xfId="0" applyNumberFormat="1" applyBorder="1"/>
    <xf numFmtId="2" fontId="122" fillId="19" borderId="46" xfId="0" applyNumberFormat="1" applyFont="1" applyFill="1" applyBorder="1"/>
    <xf numFmtId="2" fontId="122" fillId="19" borderId="42" xfId="0" applyNumberFormat="1" applyFont="1" applyFill="1" applyBorder="1"/>
    <xf numFmtId="0" fontId="122" fillId="21" borderId="42" xfId="0" applyFont="1" applyFill="1" applyBorder="1" applyAlignment="1">
      <alignment vertical="center" wrapText="1"/>
    </xf>
    <xf numFmtId="0" fontId="119" fillId="52" borderId="161" xfId="0" applyFont="1" applyFill="1" applyBorder="1" applyAlignment="1">
      <alignment horizontal="center"/>
    </xf>
    <xf numFmtId="3" fontId="50" fillId="38" borderId="0" xfId="0" applyNumberFormat="1" applyFont="1" applyFill="1" applyAlignment="1" applyProtection="1">
      <alignment horizontal="left"/>
      <protection locked="0"/>
    </xf>
    <xf numFmtId="3" fontId="32" fillId="38" borderId="0" xfId="0" applyNumberFormat="1" applyFont="1" applyFill="1"/>
    <xf numFmtId="3" fontId="22" fillId="38" borderId="0" xfId="0" applyNumberFormat="1" applyFont="1" applyFill="1"/>
    <xf numFmtId="1" fontId="50" fillId="38" borderId="0" xfId="0" applyNumberFormat="1" applyFont="1" applyFill="1" applyAlignment="1">
      <alignment horizontal="center"/>
    </xf>
    <xf numFmtId="9" fontId="22" fillId="38" borderId="0" xfId="0" applyNumberFormat="1" applyFont="1" applyFill="1"/>
    <xf numFmtId="3" fontId="52" fillId="38" borderId="0" xfId="0" applyNumberFormat="1" applyFont="1" applyFill="1"/>
    <xf numFmtId="3" fontId="67" fillId="38" borderId="0" xfId="0" applyNumberFormat="1" applyFont="1" applyFill="1"/>
    <xf numFmtId="3" fontId="56" fillId="38" borderId="0" xfId="0" applyNumberFormat="1" applyFont="1" applyFill="1" applyAlignment="1" applyProtection="1">
      <alignment horizontal="left"/>
      <protection locked="0"/>
    </xf>
    <xf numFmtId="3" fontId="16" fillId="38" borderId="0" xfId="0" applyNumberFormat="1" applyFont="1" applyFill="1"/>
    <xf numFmtId="3" fontId="56" fillId="38" borderId="0" xfId="0" applyNumberFormat="1" applyFont="1" applyFill="1"/>
    <xf numFmtId="3" fontId="16" fillId="38" borderId="11" xfId="0" applyNumberFormat="1" applyFont="1" applyFill="1" applyBorder="1" applyAlignment="1">
      <alignment horizontal="center" vertical="center"/>
    </xf>
    <xf numFmtId="3" fontId="56" fillId="38" borderId="11" xfId="0" applyNumberFormat="1" applyFont="1" applyFill="1" applyBorder="1" applyAlignment="1">
      <alignment horizontal="center" vertical="center"/>
    </xf>
    <xf numFmtId="3" fontId="56" fillId="38" borderId="0" xfId="0" applyNumberFormat="1" applyFont="1" applyFill="1" applyAlignment="1">
      <alignment horizontal="center" vertical="center"/>
    </xf>
    <xf numFmtId="3" fontId="67" fillId="38" borderId="22" xfId="0" applyNumberFormat="1" applyFont="1" applyFill="1" applyBorder="1" applyAlignment="1">
      <alignment horizontal="left" indent="1"/>
    </xf>
    <xf numFmtId="201" fontId="67" fillId="38" borderId="16" xfId="0" applyNumberFormat="1" applyFont="1" applyFill="1" applyBorder="1"/>
    <xf numFmtId="201" fontId="56" fillId="38" borderId="16" xfId="0" applyNumberFormat="1" applyFont="1" applyFill="1" applyBorder="1"/>
    <xf numFmtId="3" fontId="67" fillId="38" borderId="16" xfId="0" applyNumberFormat="1" applyFont="1" applyFill="1" applyBorder="1" applyAlignment="1">
      <alignment horizontal="left" indent="1"/>
    </xf>
    <xf numFmtId="216" fontId="67" fillId="38" borderId="16" xfId="0" applyNumberFormat="1" applyFont="1" applyFill="1" applyBorder="1" applyProtection="1">
      <protection locked="0"/>
    </xf>
    <xf numFmtId="216" fontId="56" fillId="38" borderId="16" xfId="0" applyNumberFormat="1" applyFont="1" applyFill="1" applyBorder="1"/>
    <xf numFmtId="3" fontId="56" fillId="38" borderId="16" xfId="0" applyNumberFormat="1" applyFont="1" applyFill="1" applyBorder="1" applyAlignment="1">
      <alignment horizontal="center"/>
    </xf>
    <xf numFmtId="3" fontId="56" fillId="38" borderId="16" xfId="0" applyNumberFormat="1" applyFont="1" applyFill="1" applyBorder="1" applyAlignment="1">
      <alignment horizontal="left" indent="1"/>
    </xf>
    <xf numFmtId="3" fontId="67" fillId="38" borderId="24" xfId="0" applyNumberFormat="1" applyFont="1" applyFill="1" applyBorder="1" applyAlignment="1">
      <alignment horizontal="left" indent="1"/>
    </xf>
    <xf numFmtId="3" fontId="56" fillId="38" borderId="24" xfId="0" applyNumberFormat="1" applyFont="1" applyFill="1" applyBorder="1" applyAlignment="1">
      <alignment horizontal="left" indent="1"/>
    </xf>
    <xf numFmtId="3" fontId="56" fillId="38" borderId="24" xfId="0" applyNumberFormat="1" applyFont="1" applyFill="1" applyBorder="1"/>
    <xf numFmtId="3" fontId="56" fillId="38" borderId="16" xfId="0" applyNumberFormat="1" applyFont="1" applyFill="1" applyBorder="1"/>
    <xf numFmtId="168" fontId="56" fillId="38" borderId="16" xfId="0" applyNumberFormat="1" applyFont="1" applyFill="1" applyBorder="1"/>
    <xf numFmtId="3" fontId="56" fillId="38" borderId="27" xfId="0" applyNumberFormat="1" applyFont="1" applyFill="1" applyBorder="1" applyAlignment="1">
      <alignment horizontal="left" indent="1"/>
    </xf>
    <xf numFmtId="216" fontId="56" fillId="38" borderId="21" xfId="0" applyNumberFormat="1" applyFont="1" applyFill="1" applyBorder="1"/>
    <xf numFmtId="3" fontId="70" fillId="38" borderId="0" xfId="0" applyNumberFormat="1" applyFont="1" applyFill="1" applyAlignment="1">
      <alignment horizontal="center"/>
    </xf>
    <xf numFmtId="0" fontId="127" fillId="0" borderId="0" xfId="0" applyFont="1"/>
    <xf numFmtId="3" fontId="128" fillId="0" borderId="0" xfId="0" applyNumberFormat="1" applyFont="1"/>
    <xf numFmtId="225" fontId="127" fillId="0" borderId="0" xfId="0" applyNumberFormat="1" applyFont="1"/>
    <xf numFmtId="0" fontId="110" fillId="0" borderId="0" xfId="0" applyFont="1"/>
    <xf numFmtId="3" fontId="106" fillId="0" borderId="0" xfId="0" applyNumberFormat="1" applyFont="1"/>
    <xf numFmtId="225" fontId="110" fillId="0" borderId="0" xfId="0" applyNumberFormat="1" applyFont="1" applyAlignment="1">
      <alignment horizontal="center"/>
    </xf>
    <xf numFmtId="212" fontId="110" fillId="0" borderId="0" xfId="0" applyNumberFormat="1" applyFont="1"/>
    <xf numFmtId="225" fontId="110" fillId="0" borderId="0" xfId="0" applyNumberFormat="1" applyFont="1"/>
    <xf numFmtId="0" fontId="122" fillId="21" borderId="25" xfId="0" applyFont="1" applyFill="1" applyBorder="1" applyAlignment="1">
      <alignment horizontal="center"/>
    </xf>
    <xf numFmtId="0" fontId="126" fillId="38" borderId="0" xfId="0" applyFont="1" applyFill="1" applyAlignment="1">
      <alignment horizontal="center"/>
    </xf>
    <xf numFmtId="0" fontId="125" fillId="21" borderId="25" xfId="0" applyFont="1" applyFill="1" applyBorder="1" applyAlignment="1">
      <alignment horizontal="center"/>
    </xf>
    <xf numFmtId="0" fontId="122" fillId="21" borderId="62" xfId="0" applyFont="1" applyFill="1" applyBorder="1" applyAlignment="1">
      <alignment horizontal="center"/>
    </xf>
    <xf numFmtId="0" fontId="2" fillId="19" borderId="42" xfId="0" applyFont="1" applyFill="1" applyBorder="1" applyAlignment="1">
      <alignment vertical="center" wrapText="1"/>
    </xf>
    <xf numFmtId="4" fontId="0" fillId="38" borderId="0" xfId="0" applyNumberFormat="1" applyFill="1"/>
    <xf numFmtId="0" fontId="2" fillId="0" borderId="197" xfId="0" applyFont="1" applyBorder="1" applyAlignment="1" applyProtection="1">
      <alignment horizontal="left" wrapText="1" indent="4"/>
      <protection locked="0"/>
    </xf>
    <xf numFmtId="0" fontId="2" fillId="38" borderId="46" xfId="0" applyFont="1" applyFill="1" applyBorder="1" applyAlignment="1">
      <alignment vertical="center" wrapText="1"/>
    </xf>
    <xf numFmtId="177" fontId="2" fillId="38" borderId="49" xfId="0" applyNumberFormat="1" applyFont="1" applyFill="1" applyBorder="1" applyAlignment="1">
      <alignment vertical="center" wrapText="1"/>
    </xf>
    <xf numFmtId="177" fontId="2" fillId="38" borderId="25" xfId="0" applyNumberFormat="1" applyFont="1" applyFill="1" applyBorder="1" applyAlignment="1">
      <alignment vertical="center" wrapText="1"/>
    </xf>
    <xf numFmtId="177" fontId="122" fillId="21" borderId="69" xfId="0" applyNumberFormat="1" applyFont="1" applyFill="1" applyBorder="1" applyAlignment="1">
      <alignment vertical="center" wrapText="1"/>
    </xf>
    <xf numFmtId="177" fontId="122" fillId="21" borderId="28" xfId="0" applyNumberFormat="1" applyFont="1" applyFill="1" applyBorder="1" applyAlignment="1">
      <alignment vertical="center" wrapText="1"/>
    </xf>
    <xf numFmtId="0" fontId="129" fillId="38" borderId="0" xfId="0" applyFont="1" applyFill="1"/>
    <xf numFmtId="181" fontId="129" fillId="38" borderId="0" xfId="0" applyNumberFormat="1" applyFont="1" applyFill="1"/>
    <xf numFmtId="177" fontId="0" fillId="38" borderId="49" xfId="0" applyNumberFormat="1" applyFill="1" applyBorder="1"/>
    <xf numFmtId="177" fontId="0" fillId="38" borderId="25" xfId="0" applyNumberFormat="1" applyFill="1" applyBorder="1"/>
    <xf numFmtId="177" fontId="122" fillId="21" borderId="49" xfId="0" applyNumberFormat="1" applyFont="1" applyFill="1" applyBorder="1"/>
    <xf numFmtId="177" fontId="122" fillId="21" borderId="25" xfId="0" applyNumberFormat="1" applyFont="1" applyFill="1" applyBorder="1"/>
    <xf numFmtId="177" fontId="122" fillId="19" borderId="69" xfId="0" applyNumberFormat="1" applyFont="1" applyFill="1" applyBorder="1"/>
    <xf numFmtId="177" fontId="122" fillId="19" borderId="28" xfId="0" applyNumberFormat="1" applyFont="1" applyFill="1" applyBorder="1"/>
    <xf numFmtId="177" fontId="0" fillId="0" borderId="52" xfId="0" applyNumberFormat="1" applyBorder="1" applyProtection="1">
      <protection locked="0"/>
    </xf>
    <xf numFmtId="2" fontId="0" fillId="38" borderId="46" xfId="0" applyNumberFormat="1" applyFill="1" applyBorder="1"/>
    <xf numFmtId="177" fontId="122" fillId="19" borderId="49" xfId="0" applyNumberFormat="1" applyFont="1" applyFill="1" applyBorder="1"/>
    <xf numFmtId="177" fontId="122" fillId="19" borderId="25" xfId="0" applyNumberFormat="1" applyFont="1" applyFill="1" applyBorder="1"/>
    <xf numFmtId="177" fontId="0" fillId="0" borderId="52" xfId="0" applyNumberFormat="1" applyBorder="1"/>
    <xf numFmtId="177" fontId="122" fillId="21" borderId="53" xfId="0" applyNumberFormat="1" applyFont="1" applyFill="1" applyBorder="1"/>
    <xf numFmtId="0" fontId="2" fillId="0" borderId="197" xfId="0" applyFont="1" applyBorder="1" applyAlignment="1" applyProtection="1">
      <alignment horizontal="left" indent="4"/>
      <protection locked="0"/>
    </xf>
    <xf numFmtId="0" fontId="2" fillId="0" borderId="192" xfId="0" applyFont="1" applyBorder="1" applyAlignment="1" applyProtection="1">
      <alignment horizontal="left" indent="4"/>
      <protection locked="0"/>
    </xf>
    <xf numFmtId="0" fontId="35" fillId="44" borderId="239" xfId="0" applyFont="1" applyFill="1" applyBorder="1" applyAlignment="1">
      <alignment horizontal="left" vertical="center" indent="2"/>
    </xf>
    <xf numFmtId="0" fontId="46" fillId="38" borderId="0" xfId="0" applyFont="1" applyFill="1"/>
    <xf numFmtId="3" fontId="16" fillId="38" borderId="0" xfId="0" applyNumberFormat="1" applyFont="1" applyFill="1" applyAlignment="1">
      <alignment horizontal="center" vertical="center"/>
    </xf>
    <xf numFmtId="0" fontId="49" fillId="38" borderId="0" xfId="0" applyFont="1" applyFill="1"/>
    <xf numFmtId="0" fontId="0" fillId="46" borderId="0" xfId="0" applyFill="1"/>
    <xf numFmtId="177" fontId="0" fillId="0" borderId="47" xfId="0" applyNumberFormat="1" applyBorder="1" applyProtection="1">
      <protection locked="0"/>
    </xf>
    <xf numFmtId="0" fontId="114" fillId="0" borderId="171" xfId="0" applyFont="1" applyBorder="1" applyAlignment="1">
      <alignment vertical="center"/>
    </xf>
    <xf numFmtId="9" fontId="130" fillId="43" borderId="0" xfId="0" applyNumberFormat="1" applyFont="1" applyFill="1" applyAlignment="1" applyProtection="1">
      <alignment horizontal="center"/>
      <protection locked="0"/>
    </xf>
    <xf numFmtId="209" fontId="32" fillId="20" borderId="234" xfId="0" applyNumberFormat="1" applyFont="1" applyFill="1" applyBorder="1" applyAlignment="1" applyProtection="1">
      <alignment horizontal="center"/>
      <protection locked="0"/>
    </xf>
    <xf numFmtId="209" fontId="32" fillId="20" borderId="177" xfId="0" applyNumberFormat="1" applyFont="1" applyFill="1" applyBorder="1" applyAlignment="1" applyProtection="1">
      <alignment horizontal="center"/>
      <protection locked="0"/>
    </xf>
    <xf numFmtId="164" fontId="39" fillId="20" borderId="350" xfId="34" applyFont="1" applyFill="1" applyBorder="1" applyAlignment="1" applyProtection="1">
      <alignment horizontal="center" vertical="center"/>
      <protection locked="0"/>
    </xf>
    <xf numFmtId="0" fontId="122" fillId="21" borderId="40" xfId="0" applyFont="1" applyFill="1" applyBorder="1" applyAlignment="1">
      <alignment horizontal="center"/>
    </xf>
    <xf numFmtId="0" fontId="122" fillId="21" borderId="39" xfId="0" applyFont="1" applyFill="1" applyBorder="1" applyAlignment="1">
      <alignment horizontal="center"/>
    </xf>
    <xf numFmtId="177" fontId="2" fillId="38" borderId="45" xfId="0" applyNumberFormat="1" applyFont="1" applyFill="1" applyBorder="1" applyAlignment="1">
      <alignment vertical="center" wrapText="1"/>
    </xf>
    <xf numFmtId="0" fontId="2" fillId="19" borderId="156" xfId="0" applyFont="1" applyFill="1" applyBorder="1" applyAlignment="1">
      <alignment vertical="center" wrapText="1"/>
    </xf>
    <xf numFmtId="177" fontId="2" fillId="38" borderId="156" xfId="0" applyNumberFormat="1" applyFont="1" applyFill="1" applyBorder="1" applyAlignment="1">
      <alignment vertical="center" wrapText="1"/>
    </xf>
    <xf numFmtId="177" fontId="2" fillId="38" borderId="81" xfId="0" applyNumberFormat="1" applyFont="1" applyFill="1" applyBorder="1" applyAlignment="1">
      <alignment vertical="center" wrapText="1"/>
    </xf>
    <xf numFmtId="0" fontId="2" fillId="19" borderId="68" xfId="0" applyFont="1" applyFill="1" applyBorder="1" applyAlignment="1">
      <alignment horizontal="center" vertical="center" wrapText="1"/>
    </xf>
    <xf numFmtId="0" fontId="2" fillId="19" borderId="75" xfId="0" applyFont="1" applyFill="1" applyBorder="1" applyAlignment="1">
      <alignment horizontal="center" vertical="center" wrapText="1"/>
    </xf>
    <xf numFmtId="0" fontId="2" fillId="19" borderId="65" xfId="0" applyFont="1" applyFill="1" applyBorder="1" applyAlignment="1">
      <alignment horizontal="center" vertical="center" wrapText="1"/>
    </xf>
    <xf numFmtId="9" fontId="109" fillId="0" borderId="173" xfId="0" applyNumberFormat="1" applyFont="1" applyBorder="1" applyAlignment="1">
      <alignment horizontal="center"/>
    </xf>
    <xf numFmtId="0" fontId="35" fillId="44" borderId="240" xfId="0" applyFont="1" applyFill="1" applyBorder="1" applyAlignment="1">
      <alignment horizontal="center" vertical="center" wrapText="1"/>
    </xf>
    <xf numFmtId="201" fontId="41" fillId="43" borderId="283" xfId="0" applyNumberFormat="1" applyFont="1" applyFill="1" applyBorder="1" applyProtection="1">
      <protection locked="0"/>
    </xf>
    <xf numFmtId="201" fontId="41" fillId="55" borderId="288" xfId="0" applyNumberFormat="1" applyFont="1" applyFill="1" applyBorder="1" applyProtection="1">
      <protection locked="0"/>
    </xf>
    <xf numFmtId="201" fontId="41" fillId="55" borderId="284" xfId="0" applyNumberFormat="1" applyFont="1" applyFill="1" applyBorder="1" applyProtection="1">
      <protection locked="0"/>
    </xf>
    <xf numFmtId="201" fontId="41" fillId="55" borderId="289" xfId="0" applyNumberFormat="1" applyFont="1" applyFill="1" applyBorder="1" applyProtection="1">
      <protection locked="0"/>
    </xf>
    <xf numFmtId="0" fontId="131" fillId="0" borderId="0" xfId="0" applyFont="1"/>
    <xf numFmtId="4" fontId="131" fillId="0" borderId="0" xfId="0" applyNumberFormat="1" applyFont="1"/>
    <xf numFmtId="3" fontId="131" fillId="0" borderId="0" xfId="0" applyNumberFormat="1" applyFont="1"/>
    <xf numFmtId="9" fontId="104" fillId="0" borderId="0" xfId="0" applyNumberFormat="1" applyFont="1" applyAlignment="1">
      <alignment horizontal="center" vertical="center"/>
    </xf>
    <xf numFmtId="0" fontId="104" fillId="0" borderId="0" xfId="0" applyFont="1" applyAlignment="1">
      <alignment horizontal="center"/>
    </xf>
    <xf numFmtId="9" fontId="110" fillId="0" borderId="0" xfId="0" applyNumberFormat="1" applyFont="1" applyAlignment="1">
      <alignment horizontal="center"/>
    </xf>
    <xf numFmtId="0" fontId="110" fillId="0" borderId="0" xfId="0" applyFont="1" applyAlignment="1">
      <alignment horizontal="center"/>
    </xf>
    <xf numFmtId="0" fontId="101" fillId="0" borderId="0" xfId="0" applyFont="1" applyAlignment="1">
      <alignment horizontal="centerContinuous"/>
    </xf>
    <xf numFmtId="3" fontId="104" fillId="0" borderId="0" xfId="0" applyNumberFormat="1" applyFont="1" applyAlignment="1">
      <alignment horizontal="centerContinuous"/>
    </xf>
    <xf numFmtId="0" fontId="132" fillId="0" borderId="364" xfId="0" applyFont="1" applyBorder="1" applyAlignment="1">
      <alignment horizontal="centerContinuous" vertical="center" wrapText="1"/>
    </xf>
    <xf numFmtId="0" fontId="104" fillId="0" borderId="10" xfId="0" applyFont="1" applyBorder="1" applyAlignment="1">
      <alignment horizontal="centerContinuous" vertical="center"/>
    </xf>
    <xf numFmtId="9" fontId="109" fillId="18" borderId="365" xfId="0" applyNumberFormat="1" applyFont="1" applyFill="1" applyBorder="1" applyAlignment="1" applyProtection="1">
      <alignment horizontal="center" vertical="center"/>
      <protection locked="0"/>
    </xf>
    <xf numFmtId="0" fontId="121" fillId="0" borderId="172" xfId="0" applyFont="1" applyBorder="1" applyAlignment="1">
      <alignment horizontal="centerContinuous"/>
    </xf>
    <xf numFmtId="0" fontId="114" fillId="0" borderId="171" xfId="0" applyFont="1" applyBorder="1" applyAlignment="1">
      <alignment horizontal="centerContinuous" vertical="center"/>
    </xf>
    <xf numFmtId="0" fontId="114" fillId="0" borderId="251" xfId="0" applyFont="1" applyBorder="1" applyAlignment="1">
      <alignment horizontal="centerContinuous" vertical="center"/>
    </xf>
    <xf numFmtId="0" fontId="114" fillId="0" borderId="366" xfId="0" applyFont="1" applyBorder="1" applyAlignment="1">
      <alignment horizontal="centerContinuous" vertical="center"/>
    </xf>
    <xf numFmtId="9" fontId="114" fillId="0" borderId="170" xfId="0" applyNumberFormat="1" applyFont="1" applyBorder="1" applyAlignment="1">
      <alignment horizontal="centerContinuous" vertical="center"/>
    </xf>
    <xf numFmtId="0" fontId="41" fillId="38" borderId="177" xfId="0" applyFont="1" applyFill="1" applyBorder="1" applyAlignment="1">
      <alignment horizontal="left" indent="1"/>
    </xf>
    <xf numFmtId="3" fontId="61" fillId="38" borderId="180" xfId="0" applyNumberFormat="1" applyFont="1" applyFill="1" applyBorder="1" applyAlignment="1">
      <alignment horizontal="left" indent="1"/>
    </xf>
    <xf numFmtId="3" fontId="61" fillId="38" borderId="185" xfId="0" applyNumberFormat="1" applyFont="1" applyFill="1" applyBorder="1" applyAlignment="1">
      <alignment horizontal="left" indent="1"/>
    </xf>
    <xf numFmtId="0" fontId="41" fillId="38" borderId="175" xfId="0" applyFont="1" applyFill="1" applyBorder="1" applyAlignment="1">
      <alignment horizontal="left" indent="1"/>
    </xf>
    <xf numFmtId="44" fontId="89" fillId="44" borderId="229" xfId="48" applyFont="1" applyFill="1" applyBorder="1" applyAlignment="1">
      <alignment horizontal="center" vertical="center" wrapText="1"/>
    </xf>
    <xf numFmtId="44" fontId="89" fillId="44" borderId="229" xfId="48" applyFont="1" applyFill="1" applyBorder="1" applyAlignment="1">
      <alignment horizontal="centerContinuous" vertical="center" wrapText="1"/>
    </xf>
    <xf numFmtId="0" fontId="1" fillId="0" borderId="0" xfId="50"/>
    <xf numFmtId="0" fontId="135" fillId="0" borderId="0" xfId="50" applyFont="1"/>
    <xf numFmtId="0" fontId="140" fillId="0" borderId="0" xfId="50" applyFont="1" applyAlignment="1">
      <alignment vertical="center"/>
    </xf>
    <xf numFmtId="0" fontId="133" fillId="0" borderId="0" xfId="50" applyFont="1"/>
    <xf numFmtId="1" fontId="1" fillId="0" borderId="0" xfId="50" applyNumberFormat="1"/>
    <xf numFmtId="1" fontId="134" fillId="0" borderId="0" xfId="50" applyNumberFormat="1" applyFont="1"/>
    <xf numFmtId="0" fontId="137" fillId="0" borderId="367" xfId="50" applyFont="1" applyBorder="1" applyAlignment="1">
      <alignment vertical="center" wrapText="1"/>
    </xf>
    <xf numFmtId="0" fontId="139" fillId="0" borderId="367" xfId="50" applyFont="1" applyBorder="1" applyAlignment="1">
      <alignment vertical="center"/>
    </xf>
    <xf numFmtId="0" fontId="137" fillId="0" borderId="367" xfId="50" applyFont="1" applyBorder="1" applyAlignment="1">
      <alignment vertical="center"/>
    </xf>
    <xf numFmtId="0" fontId="139" fillId="0" borderId="367" xfId="50" applyFont="1" applyBorder="1" applyAlignment="1">
      <alignment horizontal="center" vertical="center"/>
    </xf>
    <xf numFmtId="0" fontId="1" fillId="0" borderId="0" xfId="50" applyAlignment="1">
      <alignment vertical="top"/>
    </xf>
    <xf numFmtId="0" fontId="139" fillId="0" borderId="0" xfId="50" applyFont="1" applyAlignment="1">
      <alignment horizontal="right" vertical="top"/>
    </xf>
    <xf numFmtId="2" fontId="1" fillId="0" borderId="0" xfId="50" applyNumberFormat="1"/>
    <xf numFmtId="234" fontId="137" fillId="0" borderId="0" xfId="33" applyNumberFormat="1" applyFont="1" applyAlignment="1">
      <alignment vertical="center"/>
    </xf>
    <xf numFmtId="234" fontId="137" fillId="0" borderId="0" xfId="33" applyNumberFormat="1" applyFont="1" applyAlignment="1">
      <alignment horizontal="center" vertical="center"/>
    </xf>
    <xf numFmtId="234" fontId="139" fillId="0" borderId="367" xfId="33" applyNumberFormat="1" applyFont="1" applyBorder="1" applyAlignment="1">
      <alignment horizontal="center" vertical="center"/>
    </xf>
    <xf numFmtId="37" fontId="137" fillId="0" borderId="367" xfId="33" applyNumberFormat="1" applyFont="1" applyBorder="1" applyAlignment="1">
      <alignment horizontal="right" vertical="center"/>
    </xf>
    <xf numFmtId="39" fontId="137" fillId="0" borderId="367" xfId="33" applyNumberFormat="1" applyFont="1" applyBorder="1" applyAlignment="1">
      <alignment horizontal="right" vertical="center"/>
    </xf>
    <xf numFmtId="39" fontId="141" fillId="0" borderId="0" xfId="50" applyNumberFormat="1" applyFont="1"/>
    <xf numFmtId="39" fontId="136" fillId="0" borderId="0" xfId="50" applyNumberFormat="1" applyFont="1"/>
    <xf numFmtId="234" fontId="142" fillId="0" borderId="0" xfId="33" applyNumberFormat="1" applyFont="1" applyAlignment="1">
      <alignment vertical="center"/>
    </xf>
    <xf numFmtId="39" fontId="137" fillId="0" borderId="368" xfId="33" applyNumberFormat="1" applyFont="1" applyBorder="1" applyAlignment="1">
      <alignment horizontal="right" vertical="center"/>
    </xf>
    <xf numFmtId="0" fontId="110" fillId="0" borderId="82" xfId="0" applyFont="1" applyBorder="1"/>
    <xf numFmtId="3" fontId="16" fillId="38" borderId="173" xfId="0" applyNumberFormat="1" applyFont="1" applyFill="1" applyBorder="1" applyAlignment="1">
      <alignment horizontal="centerContinuous"/>
    </xf>
    <xf numFmtId="3" fontId="16" fillId="38" borderId="173" xfId="0" applyNumberFormat="1" applyFont="1" applyFill="1" applyBorder="1" applyAlignment="1">
      <alignment horizontal="center" vertical="center"/>
    </xf>
    <xf numFmtId="0" fontId="143" fillId="35" borderId="0" xfId="0" applyFont="1" applyFill="1"/>
    <xf numFmtId="3" fontId="0" fillId="38" borderId="52" xfId="0" applyNumberFormat="1" applyFill="1" applyBorder="1"/>
    <xf numFmtId="10" fontId="0" fillId="0" borderId="47" xfId="39" applyNumberFormat="1" applyFont="1" applyBorder="1"/>
    <xf numFmtId="10" fontId="122" fillId="21" borderId="41" xfId="39" applyNumberFormat="1" applyFont="1" applyFill="1" applyBorder="1"/>
    <xf numFmtId="10" fontId="122" fillId="21" borderId="41" xfId="0" applyNumberFormat="1" applyFont="1" applyFill="1" applyBorder="1"/>
    <xf numFmtId="10" fontId="0" fillId="0" borderId="47" xfId="0" applyNumberFormat="1" applyBorder="1"/>
    <xf numFmtId="177" fontId="2" fillId="38" borderId="156" xfId="0" applyNumberFormat="1" applyFont="1" applyFill="1" applyBorder="1" applyAlignment="1" applyProtection="1">
      <alignment vertical="center" wrapText="1"/>
      <protection locked="0"/>
    </xf>
    <xf numFmtId="177" fontId="2" fillId="38" borderId="49" xfId="0" applyNumberFormat="1" applyFont="1" applyFill="1" applyBorder="1" applyAlignment="1" applyProtection="1">
      <alignment vertical="center" wrapText="1"/>
      <protection locked="0"/>
    </xf>
    <xf numFmtId="177" fontId="2" fillId="38" borderId="25" xfId="0" applyNumberFormat="1" applyFont="1" applyFill="1" applyBorder="1" applyAlignment="1" applyProtection="1">
      <alignment vertical="center" wrapText="1"/>
      <protection locked="0"/>
    </xf>
    <xf numFmtId="0" fontId="2" fillId="38" borderId="49" xfId="0" applyFont="1" applyFill="1" applyBorder="1" applyAlignment="1">
      <alignment vertical="center" wrapText="1"/>
    </xf>
    <xf numFmtId="0" fontId="144" fillId="0" borderId="0" xfId="0" applyFont="1"/>
    <xf numFmtId="2" fontId="41" fillId="0" borderId="0" xfId="0" applyNumberFormat="1" applyFont="1"/>
    <xf numFmtId="0" fontId="145" fillId="0" borderId="0" xfId="0" applyFont="1"/>
    <xf numFmtId="0" fontId="145" fillId="19" borderId="0" xfId="0" applyFont="1" applyFill="1"/>
    <xf numFmtId="0" fontId="146" fillId="19" borderId="0" xfId="0" applyFont="1" applyFill="1"/>
    <xf numFmtId="0" fontId="146" fillId="38" borderId="0" xfId="0" applyFont="1" applyFill="1"/>
    <xf numFmtId="9" fontId="147" fillId="0" borderId="0" xfId="0" applyNumberFormat="1" applyFont="1" applyAlignment="1">
      <alignment horizontal="center" vertical="center"/>
    </xf>
    <xf numFmtId="0" fontId="148" fillId="0" borderId="0" xfId="0" applyFont="1"/>
    <xf numFmtId="0" fontId="148" fillId="19" borderId="0" xfId="0" applyFont="1" applyFill="1"/>
    <xf numFmtId="9" fontId="147" fillId="38" borderId="0" xfId="0" applyNumberFormat="1" applyFont="1" applyFill="1" applyAlignment="1" applyProtection="1">
      <alignment horizontal="center" vertical="center"/>
      <protection locked="0"/>
    </xf>
    <xf numFmtId="0" fontId="146" fillId="0" borderId="0" xfId="0" applyFont="1"/>
    <xf numFmtId="4" fontId="16" fillId="38" borderId="173" xfId="0" applyNumberFormat="1" applyFont="1" applyFill="1" applyBorder="1" applyAlignment="1">
      <alignment horizontal="centerContinuous"/>
    </xf>
    <xf numFmtId="4" fontId="16" fillId="38" borderId="173" xfId="0" applyNumberFormat="1" applyFont="1" applyFill="1" applyBorder="1" applyAlignment="1">
      <alignment horizontal="center" vertical="center"/>
    </xf>
    <xf numFmtId="9" fontId="16" fillId="38" borderId="173" xfId="39" applyFont="1" applyFill="1" applyBorder="1" applyAlignment="1">
      <alignment horizontal="centerContinuous"/>
    </xf>
    <xf numFmtId="165" fontId="41" fillId="0" borderId="0" xfId="33" applyFont="1"/>
    <xf numFmtId="0" fontId="138" fillId="0" borderId="0" xfId="0" applyFont="1" applyAlignment="1">
      <alignment horizontal="center" textRotation="90"/>
    </xf>
    <xf numFmtId="3" fontId="32" fillId="40" borderId="296" xfId="0" applyNumberFormat="1" applyFont="1" applyFill="1" applyBorder="1" applyAlignment="1" applyProtection="1">
      <alignment horizontal="left" indent="2"/>
      <protection locked="0"/>
    </xf>
    <xf numFmtId="3" fontId="32" fillId="40" borderId="282" xfId="0" applyNumberFormat="1" applyFont="1" applyFill="1" applyBorder="1" applyAlignment="1" applyProtection="1">
      <alignment horizontal="left" indent="2"/>
      <protection locked="0"/>
    </xf>
    <xf numFmtId="0" fontId="143" fillId="35" borderId="370" xfId="0" applyFont="1" applyFill="1" applyBorder="1"/>
    <xf numFmtId="0" fontId="149" fillId="56" borderId="161" xfId="0" applyFont="1" applyFill="1" applyBorder="1" applyAlignment="1">
      <alignment horizontal="center"/>
    </xf>
    <xf numFmtId="201" fontId="2" fillId="20" borderId="178" xfId="0" applyNumberFormat="1" applyFont="1" applyFill="1" applyBorder="1" applyProtection="1">
      <protection locked="0"/>
    </xf>
    <xf numFmtId="9" fontId="131" fillId="0" borderId="0" xfId="0" applyNumberFormat="1" applyFont="1" applyAlignment="1">
      <alignment horizontal="center"/>
    </xf>
    <xf numFmtId="166" fontId="131" fillId="0" borderId="0" xfId="0" applyNumberFormat="1" applyFont="1" applyAlignment="1">
      <alignment horizontal="center"/>
    </xf>
    <xf numFmtId="0" fontId="147" fillId="0" borderId="0" xfId="0" applyFont="1"/>
    <xf numFmtId="0" fontId="104" fillId="0" borderId="0" xfId="0" applyFont="1" applyAlignment="1">
      <alignment horizontal="center" vertical="center" wrapText="1"/>
    </xf>
    <xf numFmtId="0" fontId="110" fillId="0" borderId="0" xfId="0" applyFont="1" applyAlignment="1">
      <alignment horizontal="left" indent="2"/>
    </xf>
    <xf numFmtId="9" fontId="104" fillId="0" borderId="0" xfId="0" applyNumberFormat="1" applyFont="1" applyAlignment="1">
      <alignment horizontal="center"/>
    </xf>
    <xf numFmtId="0" fontId="41" fillId="0" borderId="53" xfId="0" applyFont="1" applyBorder="1"/>
    <xf numFmtId="10" fontId="41" fillId="0" borderId="53" xfId="0" applyNumberFormat="1" applyFont="1" applyBorder="1"/>
    <xf numFmtId="0" fontId="89" fillId="34" borderId="0" xfId="0" applyFont="1" applyFill="1" applyAlignment="1">
      <alignment horizontal="center"/>
    </xf>
    <xf numFmtId="0" fontId="111" fillId="0" borderId="162" xfId="0" applyFont="1" applyBorder="1" applyAlignment="1">
      <alignment horizontal="center" vertical="center" wrapText="1"/>
    </xf>
    <xf numFmtId="0" fontId="112" fillId="0" borderId="163" xfId="0" applyFont="1" applyBorder="1" applyAlignment="1">
      <alignment horizontal="center" vertical="center" wrapText="1"/>
    </xf>
    <xf numFmtId="0" fontId="112" fillId="0" borderId="164" xfId="0" applyFont="1" applyBorder="1" applyAlignment="1">
      <alignment horizontal="center" vertical="center" wrapText="1"/>
    </xf>
    <xf numFmtId="3" fontId="17" fillId="20" borderId="171" xfId="0" applyNumberFormat="1" applyFont="1" applyFill="1" applyBorder="1" applyAlignment="1" applyProtection="1">
      <alignment horizontal="center" vertical="center"/>
      <protection locked="0"/>
    </xf>
    <xf numFmtId="3" fontId="17" fillId="20" borderId="172" xfId="0" applyNumberFormat="1" applyFont="1" applyFill="1" applyBorder="1" applyAlignment="1" applyProtection="1">
      <alignment horizontal="center" vertical="center"/>
      <protection locked="0"/>
    </xf>
    <xf numFmtId="3" fontId="17" fillId="20" borderId="170" xfId="0" applyNumberFormat="1" applyFont="1" applyFill="1" applyBorder="1" applyAlignment="1" applyProtection="1">
      <alignment horizontal="center" vertical="center"/>
      <protection locked="0"/>
    </xf>
    <xf numFmtId="15" fontId="37" fillId="20" borderId="161" xfId="0" applyNumberFormat="1" applyFont="1" applyFill="1" applyBorder="1" applyAlignment="1" applyProtection="1">
      <alignment horizontal="center" vertical="center"/>
      <protection locked="0"/>
    </xf>
    <xf numFmtId="0" fontId="38" fillId="20" borderId="160" xfId="0" applyFont="1" applyFill="1" applyBorder="1" applyAlignment="1" applyProtection="1">
      <alignment horizontal="center" vertical="center"/>
      <protection locked="0"/>
    </xf>
    <xf numFmtId="0" fontId="17" fillId="20" borderId="159" xfId="0" applyFont="1" applyFill="1" applyBorder="1" applyAlignment="1" applyProtection="1">
      <alignment horizontal="center" vertical="center"/>
      <protection locked="0"/>
    </xf>
    <xf numFmtId="0" fontId="17" fillId="20" borderId="161" xfId="0" applyFont="1" applyFill="1" applyBorder="1" applyAlignment="1" applyProtection="1">
      <alignment horizontal="center" vertical="center"/>
      <protection locked="0"/>
    </xf>
    <xf numFmtId="0" fontId="17" fillId="20" borderId="161" xfId="0" applyFont="1" applyFill="1" applyBorder="1" applyAlignment="1" applyProtection="1">
      <alignment horizontal="center" vertical="center" wrapText="1"/>
      <protection locked="0"/>
    </xf>
    <xf numFmtId="0" fontId="114" fillId="0" borderId="161" xfId="0" applyFont="1" applyBorder="1" applyAlignment="1">
      <alignment horizontal="center" vertical="center"/>
    </xf>
    <xf numFmtId="0" fontId="48" fillId="44" borderId="247" xfId="0" applyFont="1" applyFill="1" applyBorder="1" applyAlignment="1">
      <alignment horizontal="center"/>
    </xf>
    <xf numFmtId="0" fontId="48" fillId="44" borderId="232" xfId="0" applyFont="1" applyFill="1" applyBorder="1" applyAlignment="1">
      <alignment horizontal="center"/>
    </xf>
    <xf numFmtId="0" fontId="39" fillId="38" borderId="177" xfId="0" applyFont="1" applyFill="1" applyBorder="1" applyAlignment="1">
      <alignment horizontal="left" indent="1"/>
    </xf>
    <xf numFmtId="0" fontId="39" fillId="38" borderId="178" xfId="0" applyFont="1" applyFill="1" applyBorder="1" applyAlignment="1">
      <alignment horizontal="left" indent="1"/>
    </xf>
    <xf numFmtId="0" fontId="39" fillId="38" borderId="175" xfId="0" applyFont="1" applyFill="1" applyBorder="1" applyAlignment="1">
      <alignment horizontal="left" indent="1"/>
    </xf>
    <xf numFmtId="0" fontId="39" fillId="38" borderId="173" xfId="0" applyFont="1" applyFill="1" applyBorder="1" applyAlignment="1">
      <alignment horizontal="left" indent="1"/>
    </xf>
    <xf numFmtId="0" fontId="48" fillId="44" borderId="229" xfId="0" applyFont="1" applyFill="1" applyBorder="1" applyAlignment="1">
      <alignment horizontal="center" vertical="center" wrapText="1"/>
    </xf>
    <xf numFmtId="0" fontId="48" fillId="44" borderId="358" xfId="0" applyFont="1" applyFill="1" applyBorder="1" applyAlignment="1">
      <alignment horizontal="center" vertical="center" wrapText="1"/>
    </xf>
    <xf numFmtId="0" fontId="92" fillId="37" borderId="0" xfId="0" applyFont="1" applyFill="1"/>
    <xf numFmtId="0" fontId="0" fillId="0" borderId="0" xfId="0"/>
    <xf numFmtId="0" fontId="92" fillId="34" borderId="363" xfId="0" applyFont="1" applyFill="1" applyBorder="1" applyAlignment="1">
      <alignment horizontal="left" vertical="center" shrinkToFit="1"/>
    </xf>
    <xf numFmtId="0" fontId="0" fillId="0" borderId="0" xfId="0" applyAlignment="1">
      <alignment vertical="center" shrinkToFit="1"/>
    </xf>
    <xf numFmtId="0" fontId="92" fillId="37" borderId="0" xfId="0" applyFont="1" applyFill="1" applyAlignment="1">
      <alignment vertical="center" wrapText="1"/>
    </xf>
    <xf numFmtId="0" fontId="99" fillId="37" borderId="0" xfId="0" applyFont="1" applyFill="1" applyAlignment="1">
      <alignment vertical="center" wrapText="1"/>
    </xf>
    <xf numFmtId="0" fontId="29" fillId="0" borderId="0" xfId="0" applyFont="1" applyAlignment="1">
      <alignment vertical="center"/>
    </xf>
    <xf numFmtId="0" fontId="37" fillId="18" borderId="359" xfId="0" applyFont="1" applyFill="1" applyBorder="1" applyAlignment="1" applyProtection="1">
      <alignment horizontal="center" vertical="center"/>
      <protection locked="0"/>
    </xf>
    <xf numFmtId="0" fontId="37" fillId="18" borderId="360" xfId="0" applyFont="1" applyFill="1" applyBorder="1" applyAlignment="1" applyProtection="1">
      <alignment horizontal="center" vertical="center"/>
      <protection locked="0"/>
    </xf>
    <xf numFmtId="0" fontId="37" fillId="18" borderId="361" xfId="0" applyFont="1" applyFill="1" applyBorder="1" applyAlignment="1" applyProtection="1">
      <alignment horizontal="center" vertical="center"/>
      <protection locked="0"/>
    </xf>
    <xf numFmtId="0" fontId="32" fillId="0" borderId="359" xfId="0" applyFont="1" applyBorder="1" applyAlignment="1">
      <alignment horizontal="center"/>
    </xf>
    <xf numFmtId="0" fontId="32" fillId="0" borderId="360" xfId="0" applyFont="1" applyBorder="1" applyAlignment="1">
      <alignment horizontal="center"/>
    </xf>
    <xf numFmtId="0" fontId="32" fillId="0" borderId="361" xfId="0" applyFont="1" applyBorder="1" applyAlignment="1">
      <alignment horizontal="center"/>
    </xf>
    <xf numFmtId="0" fontId="94" fillId="37" borderId="0" xfId="0" applyFont="1" applyFill="1"/>
    <xf numFmtId="0" fontId="61" fillId="0" borderId="167" xfId="0" applyFont="1" applyBorder="1" applyAlignment="1">
      <alignment horizontal="center" wrapText="1"/>
    </xf>
    <xf numFmtId="0" fontId="0" fillId="0" borderId="168" xfId="0" applyBorder="1" applyAlignment="1">
      <alignment horizontal="center"/>
    </xf>
    <xf numFmtId="3" fontId="92" fillId="37" borderId="0" xfId="0" applyNumberFormat="1" applyFont="1" applyFill="1"/>
    <xf numFmtId="3" fontId="48" fillId="44" borderId="369" xfId="0" applyNumberFormat="1" applyFont="1" applyFill="1" applyBorder="1" applyAlignment="1">
      <alignment horizontal="center"/>
    </xf>
    <xf numFmtId="0" fontId="0" fillId="0" borderId="294" xfId="0" applyBorder="1"/>
    <xf numFmtId="3" fontId="48" fillId="44" borderId="266" xfId="0" applyNumberFormat="1" applyFont="1" applyFill="1" applyBorder="1" applyAlignment="1">
      <alignment horizontal="center"/>
    </xf>
    <xf numFmtId="0" fontId="155" fillId="44" borderId="266" xfId="0" applyFont="1" applyFill="1" applyBorder="1" applyAlignment="1">
      <alignment horizontal="center"/>
    </xf>
    <xf numFmtId="3" fontId="48" fillId="44" borderId="221" xfId="0" applyNumberFormat="1" applyFont="1" applyFill="1" applyBorder="1" applyAlignment="1">
      <alignment horizontal="center"/>
    </xf>
    <xf numFmtId="0" fontId="155" fillId="44" borderId="221" xfId="0" applyFont="1" applyFill="1" applyBorder="1" applyAlignment="1">
      <alignment horizontal="center"/>
    </xf>
    <xf numFmtId="3" fontId="92" fillId="37" borderId="0" xfId="0" applyNumberFormat="1" applyFont="1" applyFill="1" applyAlignment="1" applyProtection="1">
      <alignment horizontal="left"/>
      <protection locked="0"/>
    </xf>
    <xf numFmtId="0" fontId="155" fillId="37" borderId="0" xfId="0" applyFont="1" applyFill="1"/>
    <xf numFmtId="176" fontId="22" fillId="0" borderId="172" xfId="0" applyNumberFormat="1" applyFont="1" applyBorder="1" applyAlignment="1">
      <alignment horizontal="center"/>
    </xf>
    <xf numFmtId="176" fontId="22" fillId="0" borderId="170" xfId="0" applyNumberFormat="1" applyFont="1" applyBorder="1" applyAlignment="1">
      <alignment horizontal="center"/>
    </xf>
    <xf numFmtId="15" fontId="32" fillId="0" borderId="172" xfId="0" applyNumberFormat="1" applyFont="1" applyBorder="1" applyAlignment="1">
      <alignment horizontal="center"/>
    </xf>
    <xf numFmtId="15" fontId="32" fillId="0" borderId="170" xfId="0" applyNumberFormat="1" applyFont="1" applyBorder="1" applyAlignment="1">
      <alignment horizontal="center"/>
    </xf>
    <xf numFmtId="0" fontId="92" fillId="37" borderId="0" xfId="0" applyFont="1" applyFill="1" applyAlignment="1">
      <alignment horizontal="left"/>
    </xf>
    <xf numFmtId="0" fontId="0" fillId="0" borderId="0" xfId="0" applyAlignment="1">
      <alignment horizontal="left"/>
    </xf>
    <xf numFmtId="0" fontId="22" fillId="0" borderId="12" xfId="36" applyFont="1" applyBorder="1" applyAlignment="1">
      <alignment horizontal="center"/>
    </xf>
    <xf numFmtId="0" fontId="22" fillId="0" borderId="37" xfId="36" applyFont="1" applyBorder="1" applyAlignment="1">
      <alignment horizontal="center"/>
    </xf>
    <xf numFmtId="0" fontId="33" fillId="20" borderId="37" xfId="36" applyFont="1" applyFill="1" applyBorder="1" applyAlignment="1">
      <alignment horizontal="center" vertical="center"/>
    </xf>
    <xf numFmtId="0" fontId="33" fillId="20" borderId="10" xfId="36" applyFont="1" applyFill="1" applyBorder="1" applyAlignment="1">
      <alignment horizontal="center" vertical="center"/>
    </xf>
    <xf numFmtId="0" fontId="33" fillId="20" borderId="12" xfId="36" applyFont="1" applyFill="1" applyBorder="1" applyAlignment="1">
      <alignment horizontal="center" vertical="center"/>
    </xf>
    <xf numFmtId="0" fontId="33" fillId="20" borderId="13" xfId="36" applyFont="1" applyFill="1" applyBorder="1" applyAlignment="1">
      <alignment horizontal="center" vertical="center"/>
    </xf>
    <xf numFmtId="0" fontId="33" fillId="20" borderId="19" xfId="36" applyFont="1" applyFill="1" applyBorder="1" applyAlignment="1">
      <alignment horizontal="center" vertical="center"/>
    </xf>
    <xf numFmtId="0" fontId="33" fillId="20" borderId="21" xfId="36" applyFont="1" applyFill="1" applyBorder="1" applyAlignment="1">
      <alignment horizontal="center" vertical="center"/>
    </xf>
    <xf numFmtId="0" fontId="16" fillId="26" borderId="12" xfId="36" applyFont="1" applyFill="1" applyBorder="1" applyAlignment="1">
      <alignment horizontal="center" vertical="center"/>
    </xf>
    <xf numFmtId="0" fontId="16" fillId="26" borderId="37" xfId="36" applyFont="1" applyFill="1" applyBorder="1" applyAlignment="1">
      <alignment horizontal="center" vertical="center"/>
    </xf>
    <xf numFmtId="0" fontId="0" fillId="0" borderId="30" xfId="0" applyBorder="1" applyAlignment="1">
      <alignment horizontal="center" vertical="center"/>
    </xf>
    <xf numFmtId="0" fontId="16" fillId="26" borderId="13" xfId="36" applyFont="1" applyFill="1" applyBorder="1" applyAlignment="1">
      <alignment horizontal="center" vertical="center"/>
    </xf>
    <xf numFmtId="0" fontId="16" fillId="26" borderId="10" xfId="36" applyFont="1" applyFill="1" applyBorder="1" applyAlignment="1">
      <alignment horizontal="center" vertical="center"/>
    </xf>
    <xf numFmtId="0" fontId="0" fillId="0" borderId="15" xfId="0" applyBorder="1" applyAlignment="1">
      <alignment horizontal="center" vertical="center"/>
    </xf>
    <xf numFmtId="0" fontId="22" fillId="0" borderId="17" xfId="36" applyFont="1" applyBorder="1" applyAlignment="1">
      <alignment horizontal="center"/>
    </xf>
    <xf numFmtId="0" fontId="22" fillId="0" borderId="38" xfId="36" applyFont="1" applyBorder="1" applyAlignment="1">
      <alignment horizontal="center"/>
    </xf>
    <xf numFmtId="0" fontId="22" fillId="0" borderId="29" xfId="36" applyFont="1" applyBorder="1" applyAlignment="1">
      <alignment horizontal="center"/>
    </xf>
    <xf numFmtId="0" fontId="0" fillId="0" borderId="21" xfId="0" applyBorder="1" applyAlignment="1">
      <alignment horizontal="center" vertical="center"/>
    </xf>
    <xf numFmtId="0" fontId="16" fillId="26" borderId="30" xfId="36" applyFont="1" applyFill="1" applyBorder="1" applyAlignment="1">
      <alignment horizontal="center" vertical="center"/>
    </xf>
    <xf numFmtId="0" fontId="16" fillId="26" borderId="15" xfId="36" applyFont="1" applyFill="1" applyBorder="1" applyAlignment="1">
      <alignment horizontal="center" vertical="center"/>
    </xf>
    <xf numFmtId="0" fontId="22" fillId="38" borderId="0" xfId="36" applyFont="1" applyFill="1" applyAlignment="1">
      <alignment horizontal="center"/>
    </xf>
    <xf numFmtId="0" fontId="122" fillId="21" borderId="76" xfId="0" applyFont="1" applyFill="1" applyBorder="1" applyAlignment="1">
      <alignment horizontal="center"/>
    </xf>
    <xf numFmtId="0" fontId="122" fillId="21" borderId="45" xfId="0" applyFont="1" applyFill="1" applyBorder="1" applyAlignment="1">
      <alignment horizontal="center"/>
    </xf>
    <xf numFmtId="0" fontId="122" fillId="21" borderId="25" xfId="0" applyFont="1" applyFill="1" applyBorder="1" applyAlignment="1">
      <alignment horizontal="center"/>
    </xf>
    <xf numFmtId="2" fontId="122" fillId="21" borderId="76" xfId="0" applyNumberFormat="1" applyFont="1" applyFill="1" applyBorder="1" applyAlignment="1">
      <alignment horizontal="center"/>
    </xf>
    <xf numFmtId="2" fontId="122" fillId="21" borderId="45" xfId="0" applyNumberFormat="1" applyFont="1" applyFill="1" applyBorder="1" applyAlignment="1">
      <alignment horizontal="center"/>
    </xf>
    <xf numFmtId="2" fontId="122" fillId="21" borderId="25" xfId="0" applyNumberFormat="1" applyFont="1" applyFill="1" applyBorder="1" applyAlignment="1">
      <alignment horizontal="center"/>
    </xf>
    <xf numFmtId="0" fontId="124" fillId="0" borderId="23" xfId="0" applyFont="1" applyBorder="1" applyAlignment="1">
      <alignment horizontal="left" vertical="center" wrapText="1"/>
    </xf>
    <xf numFmtId="0" fontId="124" fillId="0" borderId="45" xfId="0" applyFont="1" applyBorder="1" applyAlignment="1">
      <alignment horizontal="left" vertical="center" wrapText="1"/>
    </xf>
    <xf numFmtId="0" fontId="124" fillId="0" borderId="25" xfId="0" applyFont="1" applyBorder="1" applyAlignment="1">
      <alignment horizontal="left" vertical="center" wrapText="1"/>
    </xf>
    <xf numFmtId="0" fontId="122" fillId="21" borderId="31" xfId="0" applyFont="1" applyFill="1" applyBorder="1" applyAlignment="1">
      <alignment horizontal="center"/>
    </xf>
    <xf numFmtId="0" fontId="0" fillId="0" borderId="33" xfId="0" applyBorder="1" applyAlignment="1">
      <alignment horizontal="center"/>
    </xf>
    <xf numFmtId="0" fontId="0" fillId="0" borderId="32" xfId="0" applyBorder="1" applyAlignment="1">
      <alignment horizontal="center"/>
    </xf>
    <xf numFmtId="0" fontId="158" fillId="54" borderId="76" xfId="0" applyFont="1" applyFill="1" applyBorder="1" applyAlignment="1">
      <alignment horizontal="center"/>
    </xf>
    <xf numFmtId="0" fontId="0" fillId="0" borderId="45" xfId="0" applyBorder="1" applyAlignment="1">
      <alignment horizontal="center"/>
    </xf>
    <xf numFmtId="0" fontId="0" fillId="0" borderId="25" xfId="0" applyBorder="1" applyAlignment="1">
      <alignment horizontal="center"/>
    </xf>
    <xf numFmtId="0" fontId="124" fillId="0" borderId="45" xfId="0" applyFont="1" applyBorder="1" applyAlignment="1">
      <alignment horizontal="center" vertical="center" wrapText="1"/>
    </xf>
    <xf numFmtId="0" fontId="124" fillId="0" borderId="25" xfId="0" applyFont="1" applyBorder="1" applyAlignment="1">
      <alignment horizontal="center" vertical="center" wrapText="1"/>
    </xf>
    <xf numFmtId="0" fontId="2" fillId="19" borderId="80" xfId="0" applyFont="1" applyFill="1" applyBorder="1" applyAlignment="1">
      <alignment horizontal="center" vertical="center" wrapText="1"/>
    </xf>
    <xf numFmtId="0" fontId="2" fillId="19" borderId="82" xfId="0" applyFont="1" applyFill="1" applyBorder="1" applyAlignment="1">
      <alignment horizontal="center" vertical="center" wrapText="1"/>
    </xf>
    <xf numFmtId="0" fontId="2" fillId="19" borderId="156" xfId="0" applyFont="1" applyFill="1" applyBorder="1" applyAlignment="1">
      <alignment horizontal="center" vertical="center" wrapText="1"/>
    </xf>
    <xf numFmtId="0" fontId="2" fillId="19" borderId="158" xfId="0" applyFont="1" applyFill="1" applyBorder="1" applyAlignment="1">
      <alignment horizontal="center" vertical="center" wrapText="1"/>
    </xf>
    <xf numFmtId="0" fontId="2" fillId="19" borderId="0" xfId="0" applyFont="1" applyFill="1" applyAlignment="1">
      <alignment horizontal="center" vertical="center" wrapText="1"/>
    </xf>
    <xf numFmtId="0" fontId="2" fillId="19" borderId="84" xfId="0" applyFont="1" applyFill="1" applyBorder="1" applyAlignment="1">
      <alignment horizontal="center" vertical="center" wrapText="1"/>
    </xf>
    <xf numFmtId="0" fontId="124" fillId="0" borderId="34" xfId="0" applyFont="1" applyBorder="1" applyAlignment="1">
      <alignment horizontal="center" vertical="center" wrapText="1"/>
    </xf>
    <xf numFmtId="0" fontId="124" fillId="0" borderId="75" xfId="0" applyFont="1" applyBorder="1" applyAlignment="1">
      <alignment horizontal="center" vertical="center" wrapText="1"/>
    </xf>
    <xf numFmtId="0" fontId="124" fillId="0" borderId="35" xfId="0" applyFont="1" applyBorder="1" applyAlignment="1">
      <alignment horizontal="center" vertical="center" wrapText="1"/>
    </xf>
    <xf numFmtId="0" fontId="158" fillId="54" borderId="45" xfId="0" applyFont="1" applyFill="1" applyBorder="1" applyAlignment="1">
      <alignment horizontal="center"/>
    </xf>
    <xf numFmtId="0" fontId="158" fillId="54" borderId="25" xfId="0" applyFont="1" applyFill="1" applyBorder="1" applyAlignment="1">
      <alignment horizontal="center"/>
    </xf>
    <xf numFmtId="0" fontId="122" fillId="21" borderId="40" xfId="0" applyFont="1" applyFill="1" applyBorder="1" applyAlignment="1">
      <alignment horizontal="center"/>
    </xf>
    <xf numFmtId="0" fontId="122" fillId="21" borderId="51" xfId="0" applyFont="1" applyFill="1" applyBorder="1" applyAlignment="1">
      <alignment horizontal="center"/>
    </xf>
    <xf numFmtId="0" fontId="122" fillId="21" borderId="39" xfId="0" applyFont="1" applyFill="1" applyBorder="1" applyAlignment="1">
      <alignment horizontal="center"/>
    </xf>
    <xf numFmtId="0" fontId="122" fillId="21" borderId="12" xfId="0" applyFont="1" applyFill="1" applyBorder="1" applyAlignment="1">
      <alignment horizontal="center"/>
    </xf>
    <xf numFmtId="0" fontId="122" fillId="21" borderId="37" xfId="0" applyFont="1" applyFill="1" applyBorder="1" applyAlignment="1">
      <alignment horizontal="center"/>
    </xf>
    <xf numFmtId="0" fontId="122" fillId="21" borderId="30" xfId="0" applyFont="1" applyFill="1" applyBorder="1" applyAlignment="1">
      <alignment horizontal="center"/>
    </xf>
    <xf numFmtId="0" fontId="159" fillId="54" borderId="12" xfId="0" applyFont="1" applyFill="1" applyBorder="1" applyAlignment="1">
      <alignment horizontal="center"/>
    </xf>
    <xf numFmtId="0" fontId="159" fillId="54" borderId="37" xfId="0" applyFont="1" applyFill="1" applyBorder="1" applyAlignment="1">
      <alignment horizontal="center"/>
    </xf>
    <xf numFmtId="0" fontId="159" fillId="54" borderId="33" xfId="0" applyFont="1" applyFill="1" applyBorder="1" applyAlignment="1">
      <alignment horizontal="center"/>
    </xf>
    <xf numFmtId="0" fontId="159" fillId="54" borderId="32" xfId="0" applyFont="1" applyFill="1" applyBorder="1" applyAlignment="1">
      <alignment horizontal="center"/>
    </xf>
    <xf numFmtId="0" fontId="124" fillId="0" borderId="23" xfId="0" applyFont="1" applyBorder="1" applyAlignment="1">
      <alignment horizontal="center" vertical="center" wrapText="1"/>
    </xf>
    <xf numFmtId="0" fontId="137" fillId="0" borderId="0" xfId="50" applyFont="1" applyAlignment="1">
      <alignment horizontal="left" vertical="center"/>
    </xf>
    <xf numFmtId="0" fontId="138" fillId="0" borderId="0" xfId="0" applyFont="1" applyAlignment="1">
      <alignment horizontal="center" textRotation="90"/>
    </xf>
    <xf numFmtId="0" fontId="134" fillId="0" borderId="79" xfId="50" applyFont="1" applyBorder="1" applyAlignment="1">
      <alignment horizontal="center" vertical="center"/>
    </xf>
    <xf numFmtId="0" fontId="134" fillId="0" borderId="78" xfId="50" applyFont="1" applyBorder="1" applyAlignment="1">
      <alignment horizontal="center" vertical="center"/>
    </xf>
    <xf numFmtId="0" fontId="134" fillId="0" borderId="66" xfId="50" applyFont="1" applyBorder="1" applyAlignment="1">
      <alignment horizontal="center" vertical="center"/>
    </xf>
  </cellXfs>
  <cellStyles count="5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4"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31" builtinId="8"/>
    <cellStyle name="Incorrecto" xfId="32" builtinId="27" customBuiltin="1"/>
    <cellStyle name="Millares" xfId="33" builtinId="3"/>
    <cellStyle name="Millares [0]" xfId="34" builtinId="6"/>
    <cellStyle name="Moneda" xfId="48" builtinId="4"/>
    <cellStyle name="Neutral" xfId="35" builtinId="28" customBuiltin="1"/>
    <cellStyle name="Normal" xfId="0" builtinId="0"/>
    <cellStyle name="Normal 2" xfId="49" xr:uid="{00000000-0005-0000-0000-000026000000}"/>
    <cellStyle name="Normal 5" xfId="50" xr:uid="{00000000-0005-0000-0000-000027000000}"/>
    <cellStyle name="Normal_cuentas(1)oberto" xfId="36" xr:uid="{00000000-0005-0000-0000-000028000000}"/>
    <cellStyle name="Normal_PF 6_5r22_8_1_06" xfId="37" xr:uid="{00000000-0005-0000-0000-000029000000}"/>
    <cellStyle name="Notas" xfId="38" builtinId="10" customBuiltin="1"/>
    <cellStyle name="Porcentaje" xfId="39" builtinId="5"/>
    <cellStyle name="Salida" xfId="40" builtinId="21" customBuiltin="1"/>
    <cellStyle name="Texto de advertencia" xfId="41" builtinId="11" customBuiltin="1"/>
    <cellStyle name="Texto explicativo" xfId="42" builtinId="53" customBuiltin="1"/>
    <cellStyle name="Título" xfId="43" builtinId="15" customBuiltin="1"/>
    <cellStyle name="Título 2" xfId="45" builtinId="17" customBuiltin="1"/>
    <cellStyle name="Título 3" xfId="46" builtinId="18" customBuiltin="1"/>
    <cellStyle name="Total" xfId="47" builtinId="25" customBuiltin="1"/>
  </cellStyles>
  <dxfs count="47">
    <dxf>
      <font>
        <condense val="0"/>
        <extend val="0"/>
        <color indexed="9"/>
      </font>
    </dxf>
    <dxf>
      <font>
        <condense val="0"/>
        <extend val="0"/>
        <color indexed="22"/>
      </font>
    </dxf>
    <dxf>
      <font>
        <condense val="0"/>
        <extend val="0"/>
        <color indexed="22"/>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10"/>
      </font>
    </dxf>
    <dxf>
      <font>
        <condense val="0"/>
        <extend val="0"/>
        <color indexed="10"/>
      </font>
    </dxf>
    <dxf>
      <font>
        <condense val="0"/>
        <extend val="0"/>
        <color indexed="9"/>
      </font>
      <border>
        <left/>
        <right/>
        <top/>
        <bottom/>
      </border>
    </dxf>
    <dxf>
      <font>
        <b/>
        <i val="0"/>
        <condense val="0"/>
        <extend val="0"/>
        <color auto="1"/>
      </font>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ont>
        <condense val="0"/>
        <extend val="0"/>
        <color indexed="9"/>
      </font>
    </dxf>
    <dxf>
      <fill>
        <patternFill patternType="gray125"/>
      </fill>
    </dxf>
    <dxf>
      <fill>
        <patternFill patternType="gray125"/>
      </fill>
    </dxf>
    <dxf>
      <fill>
        <patternFill patternType="gray125"/>
      </fill>
    </dxf>
    <dxf>
      <fill>
        <patternFill patternType="gray125"/>
      </fill>
    </dxf>
    <dxf>
      <font>
        <condense val="0"/>
        <extend val="0"/>
        <color indexed="9"/>
      </font>
    </dxf>
    <dxf>
      <fill>
        <patternFill patternType="gray125"/>
      </fill>
    </dxf>
    <dxf>
      <fill>
        <patternFill patternType="lightGray"/>
      </fill>
    </dxf>
    <dxf>
      <fill>
        <patternFill patternType="gray125"/>
      </fill>
    </dxf>
    <dxf>
      <fill>
        <patternFill patternType="gray125"/>
      </fill>
    </dxf>
    <dxf>
      <font>
        <condense val="0"/>
        <extend val="0"/>
        <color indexed="9"/>
      </font>
      <fill>
        <patternFill>
          <bgColor indexed="9"/>
        </patternFill>
      </fill>
      <border>
        <left/>
        <right/>
        <top/>
        <bottom/>
      </border>
    </dxf>
    <dxf>
      <font>
        <condense val="0"/>
        <extend val="0"/>
        <color indexed="9"/>
      </font>
      <fill>
        <patternFill patternType="solid">
          <bgColor indexed="9"/>
        </patternFill>
      </fill>
      <border>
        <left/>
        <right/>
        <top/>
        <bottom/>
      </border>
    </dxf>
    <dxf>
      <font>
        <condense val="0"/>
        <extend val="0"/>
        <color indexed="9"/>
      </font>
      <border>
        <left/>
        <right/>
        <top/>
        <bottom/>
      </border>
    </dxf>
    <dxf>
      <font>
        <condense val="0"/>
        <extend val="0"/>
        <color indexed="9"/>
      </font>
      <border>
        <left/>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FFFCC"/>
      <color rgb="FFCCFFCC"/>
      <color rgb="FFC8989D"/>
      <color rgb="FFD2C0C2"/>
      <color rgb="FF705053"/>
      <color rgb="FF9933FF"/>
      <color rgb="FF008000"/>
      <color rgb="FFFFFFFF"/>
      <color rgb="FF92CF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2.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1.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A6A73"/>
                </a:solidFill>
                <a:latin typeface="Arial"/>
                <a:ea typeface="Arial"/>
                <a:cs typeface="Arial"/>
              </a:defRPr>
            </a:pPr>
            <a:r>
              <a:rPr lang="es-ES">
                <a:solidFill>
                  <a:srgbClr val="0A6A73"/>
                </a:solidFill>
              </a:rPr>
              <a:t>DESVIACIONES ACTIVO</a:t>
            </a:r>
          </a:p>
        </c:rich>
      </c:tx>
      <c:layout>
        <c:manualLayout>
          <c:xMode val="edge"/>
          <c:yMode val="edge"/>
          <c:x val="0.37645536869341117"/>
          <c:y val="3.1818230959116414E-2"/>
        </c:manualLayout>
      </c:layout>
      <c:overlay val="0"/>
      <c:spPr>
        <a:noFill/>
        <a:ln w="25400">
          <a:noFill/>
        </a:ln>
      </c:spPr>
    </c:title>
    <c:autoTitleDeleted val="0"/>
    <c:plotArea>
      <c:layout>
        <c:manualLayout>
          <c:layoutTarget val="inner"/>
          <c:xMode val="edge"/>
          <c:yMode val="edge"/>
          <c:x val="0.10219922380336352"/>
          <c:y val="0.15560732686891529"/>
          <c:w val="0.86064961781591576"/>
          <c:h val="0.677344612645709"/>
        </c:manualLayout>
      </c:layout>
      <c:lineChart>
        <c:grouping val="stacked"/>
        <c:varyColors val="0"/>
        <c:ser>
          <c:idx val="0"/>
          <c:order val="0"/>
          <c:tx>
            <c:strRef>
              <c:f>'DATOS GRAF. COMP. BALANCES'!$A$1</c:f>
              <c:strCache>
                <c:ptCount val="1"/>
                <c:pt idx="0">
                  <c:v>ACTIVOS NO CORRIENTES</c:v>
                </c:pt>
              </c:strCache>
            </c:strRef>
          </c:tx>
          <c:spPr>
            <a:ln w="38100">
              <a:solidFill>
                <a:srgbClr val="0F2E52"/>
              </a:solidFill>
              <a:prstDash val="solid"/>
            </a:ln>
          </c:spPr>
          <c:marker>
            <c:symbol val="diamond"/>
            <c:size val="7"/>
            <c:spPr>
              <a:solidFill>
                <a:srgbClr val="0F2E52"/>
              </a:solidFill>
              <a:ln>
                <a:solidFill>
                  <a:srgbClr val="0F2E52"/>
                </a:solidFill>
                <a:prstDash val="solid"/>
              </a:ln>
            </c:spPr>
          </c:marker>
          <c:cat>
            <c:strRef>
              <c:f>'DATOS GRAF. COMP. BALANCES'!$A$2:$A$7</c:f>
              <c:strCache>
                <c:ptCount val="6"/>
                <c:pt idx="0">
                  <c:v>enero de 2026</c:v>
                </c:pt>
                <c:pt idx="1">
                  <c:v>diciembre 2026</c:v>
                </c:pt>
                <c:pt idx="2">
                  <c:v>diciembre 2027</c:v>
                </c:pt>
                <c:pt idx="3">
                  <c:v>diciembre 2028</c:v>
                </c:pt>
                <c:pt idx="4">
                  <c:v>diciembre 2029</c:v>
                </c:pt>
                <c:pt idx="5">
                  <c:v>diciembre 2030</c:v>
                </c:pt>
              </c:strCache>
            </c:strRef>
          </c:cat>
          <c:val>
            <c:numRef>
              <c:f>'DATOS GRAF. COMP. BALANCES'!$B$2:$B$7</c:f>
              <c:numCache>
                <c:formatCode>0.00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0-1180-4253-9304-F1CDD34D68C7}"/>
            </c:ext>
          </c:extLst>
        </c:ser>
        <c:ser>
          <c:idx val="1"/>
          <c:order val="1"/>
          <c:tx>
            <c:strRef>
              <c:f>'DATOS GRAF. COMP. BALANCES'!$D$1</c:f>
              <c:strCache>
                <c:ptCount val="1"/>
                <c:pt idx="0">
                  <c:v>ACTIVOS CORRIENTES</c:v>
                </c:pt>
              </c:strCache>
            </c:strRef>
          </c:tx>
          <c:spPr>
            <a:ln w="38100">
              <a:solidFill>
                <a:srgbClr val="D92D20"/>
              </a:solidFill>
              <a:prstDash val="solid"/>
            </a:ln>
          </c:spPr>
          <c:marker>
            <c:symbol val="square"/>
            <c:size val="7"/>
            <c:spPr>
              <a:solidFill>
                <a:srgbClr val="D92D20"/>
              </a:solidFill>
              <a:ln>
                <a:solidFill>
                  <a:srgbClr val="FF6B57"/>
                </a:solidFill>
                <a:prstDash val="solid"/>
              </a:ln>
            </c:spPr>
          </c:marker>
          <c:val>
            <c:numRef>
              <c:f>'DATOS GRAF. COMP. BALANCES'!$E$2:$E$7</c:f>
              <c:numCache>
                <c:formatCode>0.00</c:formatCode>
                <c:ptCount val="6"/>
                <c:pt idx="0" formatCode="General">
                  <c:v>0</c:v>
                </c:pt>
                <c:pt idx="1">
                  <c:v>2000</c:v>
                </c:pt>
                <c:pt idx="2">
                  <c:v>2000</c:v>
                </c:pt>
                <c:pt idx="3">
                  <c:v>2000</c:v>
                </c:pt>
                <c:pt idx="4">
                  <c:v>2000</c:v>
                </c:pt>
                <c:pt idx="5">
                  <c:v>2000</c:v>
                </c:pt>
              </c:numCache>
            </c:numRef>
          </c:val>
          <c:smooth val="0"/>
          <c:extLst>
            <c:ext xmlns:c16="http://schemas.microsoft.com/office/drawing/2014/chart" uri="{C3380CC4-5D6E-409C-BE32-E72D297353CC}">
              <c16:uniqueId val="{00000001-1180-4253-9304-F1CDD34D68C7}"/>
            </c:ext>
          </c:extLst>
        </c:ser>
        <c:dLbls>
          <c:showLegendKey val="0"/>
          <c:showVal val="0"/>
          <c:showCatName val="0"/>
          <c:showSerName val="0"/>
          <c:showPercent val="0"/>
          <c:showBubbleSize val="0"/>
        </c:dLbls>
        <c:marker val="1"/>
        <c:smooth val="0"/>
        <c:axId val="78125312"/>
        <c:axId val="78139776"/>
      </c:lineChart>
      <c:catAx>
        <c:axId val="7812531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s-ES"/>
          </a:p>
        </c:txPr>
        <c:crossAx val="78139776"/>
        <c:crosses val="autoZero"/>
        <c:auto val="1"/>
        <c:lblAlgn val="ctr"/>
        <c:lblOffset val="100"/>
        <c:tickLblSkip val="1"/>
        <c:tickMarkSkip val="1"/>
        <c:noMultiLvlLbl val="0"/>
      </c:catAx>
      <c:valAx>
        <c:axId val="78139776"/>
        <c:scaling>
          <c:orientation val="minMax"/>
        </c:scaling>
        <c:delete val="0"/>
        <c:axPos val="l"/>
        <c:numFmt formatCode="0.00"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es-ES"/>
          </a:p>
        </c:txPr>
        <c:crossAx val="78125312"/>
        <c:crosses val="autoZero"/>
        <c:crossBetween val="between"/>
      </c:valAx>
      <c:spPr>
        <a:gradFill flip="none" rotWithShape="1">
          <a:gsLst>
            <a:gs pos="0">
              <a:srgbClr val="009900">
                <a:tint val="66000"/>
                <a:satMod val="160000"/>
              </a:srgbClr>
            </a:gs>
            <a:gs pos="50000">
              <a:srgbClr val="009900">
                <a:tint val="44500"/>
                <a:satMod val="160000"/>
              </a:srgbClr>
            </a:gs>
            <a:gs pos="100000">
              <a:srgbClr val="009900">
                <a:tint val="23500"/>
                <a:satMod val="160000"/>
              </a:srgbClr>
            </a:gs>
          </a:gsLst>
          <a:lin ang="5400000" scaled="1"/>
          <a:tileRect/>
        </a:gradFill>
        <a:ln w="12700">
          <a:solidFill>
            <a:srgbClr val="8795A5"/>
          </a:solidFill>
          <a:prstDash val="solid"/>
        </a:ln>
      </c:spPr>
    </c:plotArea>
    <c:legend>
      <c:legendPos val="b"/>
      <c:layout>
        <c:manualLayout>
          <c:xMode val="edge"/>
          <c:yMode val="edge"/>
          <c:x val="0.16688227684346701"/>
          <c:y val="0.92906178489700608"/>
          <c:w val="0.47089262613195337"/>
          <c:h val="5.2631578947368474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s-ES"/>
        </a:p>
      </c:txPr>
    </c:legend>
    <c:plotVisOnly val="1"/>
    <c:dispBlanksAs val="zero"/>
    <c:showDLblsOverMax val="0"/>
  </c:chart>
  <c:spPr>
    <a:solidFill>
      <a:srgbClr val="FFFFFF"/>
    </a:solidFill>
    <a:ln w="3175">
      <a:noFill/>
      <a:prstDash val="solid"/>
    </a:ln>
  </c:spPr>
  <c:txPr>
    <a:bodyPr/>
    <a:lstStyle/>
    <a:p>
      <a:pPr>
        <a:defRPr sz="1000" b="0" i="0" u="none" strike="noStrike" baseline="0">
          <a:solidFill>
            <a:srgbClr val="000000"/>
          </a:solidFill>
          <a:latin typeface="Arial"/>
          <a:ea typeface="Arial"/>
          <a:cs typeface="Arial"/>
        </a:defRPr>
      </a:pPr>
      <a:endParaRPr lang="es-ES"/>
    </a:p>
  </c:txPr>
  <c:printSettings>
    <c:headerFooter alignWithMargins="0"/>
    <c:pageMargins b="1" l="0.75000000000001465" r="0.75000000000001465" t="1" header="0" footer="0"/>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0" i="0" u="none" strike="noStrike" baseline="0">
                <a:solidFill>
                  <a:srgbClr val="000000"/>
                </a:solidFill>
                <a:latin typeface="Arial"/>
                <a:ea typeface="Arial"/>
                <a:cs typeface="Arial"/>
              </a:defRPr>
            </a:pPr>
            <a:r>
              <a:rPr lang="es-ES" sz="1075" b="1" i="0" strike="noStrike">
                <a:solidFill>
                  <a:srgbClr val="0A6A73"/>
                </a:solidFill>
                <a:latin typeface="Arial"/>
                <a:cs typeface="Arial"/>
              </a:rPr>
              <a:t> </a:t>
            </a:r>
            <a:r>
              <a:rPr lang="es-ES" sz="1200" b="1" i="0" strike="noStrike">
                <a:solidFill>
                  <a:srgbClr val="0A6A73"/>
                </a:solidFill>
                <a:latin typeface="Arial"/>
                <a:cs typeface="Arial"/>
              </a:rPr>
              <a:t>DESVIACIONES PATRIMONIO NETO Y PASIVO</a:t>
            </a:r>
          </a:p>
        </c:rich>
      </c:tx>
      <c:layout>
        <c:manualLayout>
          <c:xMode val="edge"/>
          <c:yMode val="edge"/>
          <c:x val="0.27019129226493749"/>
          <c:y val="3.1674208144796392E-2"/>
        </c:manualLayout>
      </c:layout>
      <c:overlay val="0"/>
      <c:spPr>
        <a:noFill/>
        <a:ln w="25400">
          <a:noFill/>
        </a:ln>
      </c:spPr>
    </c:title>
    <c:autoTitleDeleted val="0"/>
    <c:plotArea>
      <c:layout>
        <c:manualLayout>
          <c:layoutTarget val="inner"/>
          <c:xMode val="edge"/>
          <c:yMode val="edge"/>
          <c:x val="0.10719547224738875"/>
          <c:y val="0.15302146262866029"/>
          <c:w val="0.81057384959768719"/>
          <c:h val="0.73755737587201242"/>
        </c:manualLayout>
      </c:layout>
      <c:lineChart>
        <c:grouping val="stacked"/>
        <c:varyColors val="0"/>
        <c:ser>
          <c:idx val="0"/>
          <c:order val="0"/>
          <c:tx>
            <c:strRef>
              <c:f>'DATOS GRAF. COMP. BALANCES'!$G$1</c:f>
              <c:strCache>
                <c:ptCount val="1"/>
                <c:pt idx="0">
                  <c:v>PATRIMONIO NETO</c:v>
                </c:pt>
              </c:strCache>
            </c:strRef>
          </c:tx>
          <c:spPr>
            <a:ln w="38100">
              <a:solidFill>
                <a:srgbClr val="0F2E52"/>
              </a:solidFill>
              <a:prstDash val="solid"/>
            </a:ln>
          </c:spPr>
          <c:marker>
            <c:symbol val="diamond"/>
            <c:size val="7"/>
            <c:spPr>
              <a:solidFill>
                <a:srgbClr val="0F2E52"/>
              </a:solidFill>
              <a:ln>
                <a:solidFill>
                  <a:srgbClr val="0F2E52"/>
                </a:solidFill>
                <a:prstDash val="solid"/>
              </a:ln>
            </c:spPr>
          </c:marker>
          <c:cat>
            <c:strRef>
              <c:f>'DATOS GRAF. COMP. BALANCES'!$A$2:$A$7</c:f>
              <c:strCache>
                <c:ptCount val="6"/>
                <c:pt idx="0">
                  <c:v>enero de 2026</c:v>
                </c:pt>
                <c:pt idx="1">
                  <c:v>diciembre 2026</c:v>
                </c:pt>
                <c:pt idx="2">
                  <c:v>diciembre 2027</c:v>
                </c:pt>
                <c:pt idx="3">
                  <c:v>diciembre 2028</c:v>
                </c:pt>
                <c:pt idx="4">
                  <c:v>diciembre 2029</c:v>
                </c:pt>
                <c:pt idx="5">
                  <c:v>diciembre 2030</c:v>
                </c:pt>
              </c:strCache>
            </c:strRef>
          </c:cat>
          <c:val>
            <c:numRef>
              <c:f>'DATOS GRAF. COMP. BALANCES'!$H$2:$H$7</c:f>
              <c:numCache>
                <c:formatCode>0</c:formatCode>
                <c:ptCount val="6"/>
                <c:pt idx="0">
                  <c:v>0</c:v>
                </c:pt>
                <c:pt idx="1">
                  <c:v>-16362.959468393694</c:v>
                </c:pt>
                <c:pt idx="2">
                  <c:v>-34526.489964217515</c:v>
                </c:pt>
                <c:pt idx="3">
                  <c:v>-56084.442860921292</c:v>
                </c:pt>
                <c:pt idx="4">
                  <c:v>-79855.464496597298</c:v>
                </c:pt>
                <c:pt idx="5">
                  <c:v>-106025.72349256523</c:v>
                </c:pt>
              </c:numCache>
            </c:numRef>
          </c:val>
          <c:smooth val="0"/>
          <c:extLst>
            <c:ext xmlns:c16="http://schemas.microsoft.com/office/drawing/2014/chart" uri="{C3380CC4-5D6E-409C-BE32-E72D297353CC}">
              <c16:uniqueId val="{00000000-3B81-48E1-B5E7-C90AFD477B42}"/>
            </c:ext>
          </c:extLst>
        </c:ser>
        <c:ser>
          <c:idx val="1"/>
          <c:order val="1"/>
          <c:tx>
            <c:strRef>
              <c:f>'DATOS GRAF. COMP. BALANCES'!$A$10</c:f>
              <c:strCache>
                <c:ptCount val="1"/>
                <c:pt idx="0">
                  <c:v>PASIVOS EXIGIBLES A LARGO PLAZO</c:v>
                </c:pt>
              </c:strCache>
            </c:strRef>
          </c:tx>
          <c:spPr>
            <a:ln w="38100">
              <a:solidFill>
                <a:srgbClr val="D92D20"/>
              </a:solidFill>
              <a:prstDash val="solid"/>
            </a:ln>
          </c:spPr>
          <c:marker>
            <c:symbol val="square"/>
            <c:size val="7"/>
            <c:spPr>
              <a:solidFill>
                <a:srgbClr val="D92D20"/>
              </a:solidFill>
              <a:ln>
                <a:solidFill>
                  <a:srgbClr val="FF6B57"/>
                </a:solidFill>
                <a:prstDash val="solid"/>
              </a:ln>
            </c:spPr>
          </c:marker>
          <c:cat>
            <c:strRef>
              <c:f>'DATOS GRAF. COMP. BALANCES'!$A$2:$A$7</c:f>
              <c:strCache>
                <c:ptCount val="6"/>
                <c:pt idx="0">
                  <c:v>enero de 2026</c:v>
                </c:pt>
                <c:pt idx="1">
                  <c:v>diciembre 2026</c:v>
                </c:pt>
                <c:pt idx="2">
                  <c:v>diciembre 2027</c:v>
                </c:pt>
                <c:pt idx="3">
                  <c:v>diciembre 2028</c:v>
                </c:pt>
                <c:pt idx="4">
                  <c:v>diciembre 2029</c:v>
                </c:pt>
                <c:pt idx="5">
                  <c:v>diciembre 2030</c:v>
                </c:pt>
              </c:strCache>
            </c:strRef>
          </c:cat>
          <c:val>
            <c:numRef>
              <c:f>'DATOS GRAF. COMP. BALANCES'!$B$11:$B$16</c:f>
              <c:numCache>
                <c:formatCode>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1-3B81-48E1-B5E7-C90AFD477B42}"/>
            </c:ext>
          </c:extLst>
        </c:ser>
        <c:ser>
          <c:idx val="2"/>
          <c:order val="2"/>
          <c:tx>
            <c:strRef>
              <c:f>'DATOS GRAF. COMP. BALANCES'!$D$10</c:f>
              <c:strCache>
                <c:ptCount val="1"/>
                <c:pt idx="0">
                  <c:v>PASIVOS EXIGIBLES A CORTO PLAZO</c:v>
                </c:pt>
              </c:strCache>
            </c:strRef>
          </c:tx>
          <c:spPr>
            <a:ln w="38100">
              <a:solidFill>
                <a:srgbClr val="FFB81F"/>
              </a:solidFill>
              <a:prstDash val="solid"/>
            </a:ln>
          </c:spPr>
          <c:marker>
            <c:symbol val="triangle"/>
            <c:size val="7"/>
            <c:spPr>
              <a:solidFill>
                <a:srgbClr val="FFB81F"/>
              </a:solidFill>
              <a:ln>
                <a:solidFill>
                  <a:srgbClr val="FFB81F"/>
                </a:solidFill>
                <a:prstDash val="solid"/>
              </a:ln>
            </c:spPr>
          </c:marker>
          <c:cat>
            <c:strRef>
              <c:f>'DATOS GRAF. COMP. BALANCES'!$A$2:$A$7</c:f>
              <c:strCache>
                <c:ptCount val="6"/>
                <c:pt idx="0">
                  <c:v>enero de 2026</c:v>
                </c:pt>
                <c:pt idx="1">
                  <c:v>diciembre 2026</c:v>
                </c:pt>
                <c:pt idx="2">
                  <c:v>diciembre 2027</c:v>
                </c:pt>
                <c:pt idx="3">
                  <c:v>diciembre 2028</c:v>
                </c:pt>
                <c:pt idx="4">
                  <c:v>diciembre 2029</c:v>
                </c:pt>
                <c:pt idx="5">
                  <c:v>diciembre 2030</c:v>
                </c:pt>
              </c:strCache>
            </c:strRef>
          </c:cat>
          <c:val>
            <c:numRef>
              <c:f>'DATOS GRAF. COMP. BALANCES'!$E$11:$E$16</c:f>
              <c:numCache>
                <c:formatCode>0</c:formatCode>
                <c:ptCount val="6"/>
                <c:pt idx="0">
                  <c:v>0</c:v>
                </c:pt>
                <c:pt idx="1">
                  <c:v>18362.959468393696</c:v>
                </c:pt>
                <c:pt idx="2">
                  <c:v>36526.489964217515</c:v>
                </c:pt>
                <c:pt idx="3">
                  <c:v>58084.442860921285</c:v>
                </c:pt>
                <c:pt idx="4">
                  <c:v>81855.464496597284</c:v>
                </c:pt>
                <c:pt idx="5">
                  <c:v>108025.72349256522</c:v>
                </c:pt>
              </c:numCache>
            </c:numRef>
          </c:val>
          <c:smooth val="0"/>
          <c:extLst>
            <c:ext xmlns:c16="http://schemas.microsoft.com/office/drawing/2014/chart" uri="{C3380CC4-5D6E-409C-BE32-E72D297353CC}">
              <c16:uniqueId val="{00000002-3B81-48E1-B5E7-C90AFD477B42}"/>
            </c:ext>
          </c:extLst>
        </c:ser>
        <c:dLbls>
          <c:showLegendKey val="0"/>
          <c:showVal val="0"/>
          <c:showCatName val="0"/>
          <c:showSerName val="0"/>
          <c:showPercent val="0"/>
          <c:showBubbleSize val="0"/>
        </c:dLbls>
        <c:marker val="1"/>
        <c:smooth val="0"/>
        <c:axId val="76678272"/>
        <c:axId val="76680192"/>
      </c:lineChart>
      <c:catAx>
        <c:axId val="7667827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s-ES"/>
          </a:p>
        </c:txPr>
        <c:crossAx val="76680192"/>
        <c:crosses val="autoZero"/>
        <c:auto val="1"/>
        <c:lblAlgn val="ctr"/>
        <c:lblOffset val="100"/>
        <c:tickLblSkip val="1"/>
        <c:tickMarkSkip val="1"/>
        <c:noMultiLvlLbl val="0"/>
      </c:catAx>
      <c:valAx>
        <c:axId val="76680192"/>
        <c:scaling>
          <c:orientation val="minMax"/>
        </c:scaling>
        <c:delete val="0"/>
        <c:axPos val="l"/>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s-ES"/>
          </a:p>
        </c:txPr>
        <c:crossAx val="76678272"/>
        <c:crosses val="autoZero"/>
        <c:crossBetween val="between"/>
      </c:valAx>
      <c:spPr>
        <a:gradFill flip="none" rotWithShape="1">
          <a:gsLst>
            <a:gs pos="0">
              <a:srgbClr val="0A6A73">
                <a:tint val="66000"/>
                <a:satMod val="160000"/>
              </a:srgbClr>
            </a:gs>
            <a:gs pos="50000">
              <a:srgbClr val="0A6A73">
                <a:tint val="44500"/>
                <a:satMod val="160000"/>
              </a:srgbClr>
            </a:gs>
            <a:gs pos="100000">
              <a:srgbClr val="0A6A73">
                <a:tint val="23500"/>
                <a:satMod val="160000"/>
              </a:srgbClr>
            </a:gs>
          </a:gsLst>
          <a:lin ang="5400000" scaled="1"/>
          <a:tileRect/>
        </a:gradFill>
        <a:ln w="12700">
          <a:solidFill>
            <a:srgbClr val="6B7B8C"/>
          </a:solidFill>
          <a:prstDash val="solid"/>
        </a:ln>
      </c:spPr>
    </c:plotArea>
    <c:legend>
      <c:legendPos val="b"/>
      <c:layout>
        <c:manualLayout>
          <c:xMode val="edge"/>
          <c:yMode val="edge"/>
          <c:x val="7.4890072564458843E-2"/>
          <c:y val="0.93212764694006001"/>
          <c:w val="0.85022155318822268"/>
          <c:h val="4.9773755656108823E-2"/>
        </c:manualLayout>
      </c:layout>
      <c:overlay val="0"/>
      <c:spPr>
        <a:solidFill>
          <a:srgbClr val="FFFFFF"/>
        </a:solidFill>
        <a:ln w="3175">
          <a:solidFill>
            <a:srgbClr val="000000"/>
          </a:solidFill>
          <a:prstDash val="solid"/>
        </a:ln>
      </c:spPr>
      <c:txPr>
        <a:bodyPr/>
        <a:lstStyle/>
        <a:p>
          <a:pPr>
            <a:defRPr sz="805" b="0" i="0" u="none" strike="noStrike" baseline="0">
              <a:solidFill>
                <a:srgbClr val="000000"/>
              </a:solidFill>
              <a:latin typeface="Arial"/>
              <a:ea typeface="Arial"/>
              <a:cs typeface="Arial"/>
            </a:defRPr>
          </a:pPr>
          <a:endParaRPr lang="es-ES"/>
        </a:p>
      </c:txPr>
    </c:legend>
    <c:plotVisOnly val="1"/>
    <c:dispBlanksAs val="zero"/>
    <c:showDLblsOverMax val="0"/>
  </c:chart>
  <c:spPr>
    <a:solidFill>
      <a:srgbClr val="FFFFFF"/>
    </a:solidFill>
    <a:ln w="3175">
      <a:noFill/>
      <a:prstDash val="solid"/>
    </a:ln>
  </c:spPr>
  <c:txPr>
    <a:bodyPr/>
    <a:lstStyle/>
    <a:p>
      <a:pPr>
        <a:defRPr sz="875" b="0" i="0" u="none" strike="noStrike" baseline="0">
          <a:solidFill>
            <a:srgbClr val="000000"/>
          </a:solidFill>
          <a:latin typeface="Arial"/>
          <a:ea typeface="Arial"/>
          <a:cs typeface="Arial"/>
        </a:defRPr>
      </a:pPr>
      <a:endParaRPr lang="es-ES"/>
    </a:p>
  </c:txPr>
  <c:printSettings>
    <c:headerFooter alignWithMargins="0"/>
    <c:pageMargins b="1" l="0.75000000000001465" r="0.75000000000001465" t="1" header="0" footer="0"/>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584214808787824E-2"/>
          <c:y val="7.5362532162964693E-2"/>
          <c:w val="0.93002441008953063"/>
          <c:h val="0.79420514664049369"/>
        </c:manualLayout>
      </c:layout>
      <c:lineChart>
        <c:grouping val="standard"/>
        <c:varyColors val="0"/>
        <c:ser>
          <c:idx val="0"/>
          <c:order val="0"/>
          <c:spPr>
            <a:ln w="38100">
              <a:solidFill>
                <a:srgbClr val="0F2E52"/>
              </a:solidFill>
              <a:prstDash val="solid"/>
            </a:ln>
          </c:spPr>
          <c:marker>
            <c:symbol val="diamond"/>
            <c:size val="9"/>
            <c:spPr>
              <a:solidFill>
                <a:srgbClr val="0F2E52"/>
              </a:solidFill>
              <a:ln>
                <a:solidFill>
                  <a:srgbClr val="0F2E52"/>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1A0C-424E-A21A-37144F918858}"/>
            </c:ext>
          </c:extLst>
        </c:ser>
        <c:ser>
          <c:idx val="1"/>
          <c:order val="1"/>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0'!$B$17:$M$17</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1A0C-424E-A21A-37144F918858}"/>
            </c:ext>
          </c:extLst>
        </c:ser>
        <c:ser>
          <c:idx val="2"/>
          <c:order val="2"/>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0'!$B$18:$M$18</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1A0C-424E-A21A-37144F918858}"/>
            </c:ext>
          </c:extLst>
        </c:ser>
        <c:ser>
          <c:idx val="3"/>
          <c:order val="3"/>
          <c:spPr>
            <a:ln w="12700">
              <a:solidFill>
                <a:srgbClr val="14A3A8"/>
              </a:solidFill>
              <a:prstDash val="solid"/>
            </a:ln>
          </c:spPr>
          <c:marker>
            <c:symbol val="x"/>
            <c:size val="5"/>
            <c:spPr>
              <a:noFill/>
              <a:ln>
                <a:solidFill>
                  <a:srgbClr val="14A3A8"/>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0'!$B$19:$M$19</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1A0C-424E-A21A-37144F918858}"/>
            </c:ext>
          </c:extLst>
        </c:ser>
        <c:ser>
          <c:idx val="4"/>
          <c:order val="4"/>
          <c:spPr>
            <a:ln w="12700">
              <a:solidFill>
                <a:srgbClr val="7E6BC4"/>
              </a:solidFill>
              <a:prstDash val="solid"/>
            </a:ln>
          </c:spPr>
          <c:marker>
            <c:symbol val="star"/>
            <c:size val="5"/>
            <c:spPr>
              <a:noFill/>
              <a:ln>
                <a:solidFill>
                  <a:srgbClr val="7E6BC4"/>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0'!$B$20:$M$20</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1A0C-424E-A21A-37144F918858}"/>
            </c:ext>
          </c:extLst>
        </c:ser>
        <c:ser>
          <c:idx val="5"/>
          <c:order val="5"/>
          <c:spPr>
            <a:ln w="12700">
              <a:solidFill>
                <a:srgbClr val="C0443A"/>
              </a:solidFill>
              <a:prstDash val="solid"/>
            </a:ln>
          </c:spPr>
          <c:marker>
            <c:symbol val="circle"/>
            <c:size val="5"/>
            <c:spPr>
              <a:solidFill>
                <a:srgbClr val="C0443A"/>
              </a:solidFill>
              <a:ln>
                <a:solidFill>
                  <a:srgbClr val="C0443A"/>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0'!$B$21:$M$21</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5-1A0C-424E-A21A-37144F918858}"/>
            </c:ext>
          </c:extLst>
        </c:ser>
        <c:ser>
          <c:idx val="6"/>
          <c:order val="6"/>
          <c:spPr>
            <a:ln w="12700">
              <a:solidFill>
                <a:srgbClr val="008080"/>
              </a:solidFill>
              <a:prstDash val="solid"/>
            </a:ln>
          </c:spPr>
          <c:marker>
            <c:symbol val="plus"/>
            <c:size val="5"/>
            <c:spPr>
              <a:noFill/>
              <a:ln>
                <a:solidFill>
                  <a:srgbClr val="008080"/>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0'!$B$22:$M$22</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6-1A0C-424E-A21A-37144F918858}"/>
            </c:ext>
          </c:extLst>
        </c:ser>
        <c:ser>
          <c:idx val="7"/>
          <c:order val="7"/>
          <c:spPr>
            <a:ln w="12700">
              <a:solidFill>
                <a:srgbClr val="1F4FBF"/>
              </a:solidFill>
              <a:prstDash val="solid"/>
            </a:ln>
          </c:spPr>
          <c:marker>
            <c:symbol val="dot"/>
            <c:size val="5"/>
            <c:spPr>
              <a:noFill/>
              <a:ln>
                <a:solidFill>
                  <a:srgbClr val="1F4FBF"/>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0'!$B$23:$M$23</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7-1A0C-424E-A21A-37144F918858}"/>
            </c:ext>
          </c:extLst>
        </c:ser>
        <c:ser>
          <c:idx val="8"/>
          <c:order val="8"/>
          <c:spPr>
            <a:ln w="12700">
              <a:solidFill>
                <a:srgbClr val="5BB8E8"/>
              </a:solidFill>
              <a:prstDash val="solid"/>
            </a:ln>
          </c:spPr>
          <c:marker>
            <c:symbol val="dash"/>
            <c:size val="5"/>
            <c:spPr>
              <a:noFill/>
              <a:ln>
                <a:solidFill>
                  <a:srgbClr val="5BB8E8"/>
                </a:solidFill>
                <a:prstDash val="solid"/>
              </a:ln>
            </c:spPr>
          </c:marker>
          <c:cat>
            <c:strRef>
              <c:f>'Prev.Ventas 0'!$B$50:$M$50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0'!$B$24:$M$24</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8-1A0C-424E-A21A-37144F918858}"/>
            </c:ext>
          </c:extLst>
        </c:ser>
        <c:dLbls>
          <c:showLegendKey val="0"/>
          <c:showVal val="0"/>
          <c:showCatName val="0"/>
          <c:showSerName val="0"/>
          <c:showPercent val="0"/>
          <c:showBubbleSize val="0"/>
        </c:dLbls>
        <c:marker val="1"/>
        <c:smooth val="0"/>
        <c:axId val="78708736"/>
        <c:axId val="78710272"/>
      </c:lineChart>
      <c:catAx>
        <c:axId val="78708736"/>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8710272"/>
        <c:crosses val="autoZero"/>
        <c:auto val="1"/>
        <c:lblAlgn val="ctr"/>
        <c:lblOffset val="100"/>
        <c:tickLblSkip val="1"/>
        <c:tickMarkSkip val="1"/>
        <c:noMultiLvlLbl val="0"/>
      </c:catAx>
      <c:valAx>
        <c:axId val="78710272"/>
        <c:scaling>
          <c:orientation val="minMax"/>
        </c:scaling>
        <c:delete val="0"/>
        <c:axPos val="l"/>
        <c:majorGridlines>
          <c:spPr>
            <a:ln w="3175">
              <a:solidFill>
                <a:srgbClr val="000000"/>
              </a:solidFill>
              <a:prstDash val="solid"/>
            </a:ln>
          </c:spPr>
        </c:majorGridlines>
        <c:title>
          <c:tx>
            <c:rich>
              <a:bodyPr/>
              <a:lstStyle/>
              <a:p>
                <a:pPr>
                  <a:defRPr sz="1250" b="1" i="0" u="none" strike="noStrike" baseline="0">
                    <a:solidFill>
                      <a:srgbClr val="000000"/>
                    </a:solidFill>
                    <a:latin typeface="Times New Roman"/>
                    <a:ea typeface="Times New Roman"/>
                    <a:cs typeface="Times New Roman"/>
                  </a:defRPr>
                </a:pPr>
                <a:r>
                  <a:rPr lang="es-ES"/>
                  <a:t>Ventas</a:t>
                </a:r>
              </a:p>
            </c:rich>
          </c:tx>
          <c:layout>
            <c:manualLayout>
              <c:xMode val="edge"/>
              <c:yMode val="edge"/>
              <c:x val="1.3018714401952807E-2"/>
              <c:y val="0.39420411578989156"/>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8708736"/>
        <c:crosses val="autoZero"/>
        <c:crossBetween val="between"/>
      </c:valAx>
      <c:spPr>
        <a:solidFill>
          <a:srgbClr val="D2D9E1"/>
        </a:solidFill>
        <a:ln w="25400">
          <a:solidFill>
            <a:srgbClr val="6B7B8C"/>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00"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111425947894112E-2"/>
          <c:y val="7.5362532162964693E-2"/>
          <c:w val="0.93058991830445281"/>
          <c:h val="0.79420514664049369"/>
        </c:manualLayout>
      </c:layout>
      <c:lineChart>
        <c:grouping val="standard"/>
        <c:varyColors val="0"/>
        <c:ser>
          <c:idx val="0"/>
          <c:order val="0"/>
          <c:spPr>
            <a:ln w="38100">
              <a:solidFill>
                <a:srgbClr val="0F2E52"/>
              </a:solidFill>
              <a:prstDash val="solid"/>
            </a:ln>
          </c:spPr>
          <c:marker>
            <c:symbol val="diamond"/>
            <c:size val="9"/>
            <c:spPr>
              <a:solidFill>
                <a:srgbClr val="0F2E52"/>
              </a:solidFill>
              <a:ln>
                <a:solidFill>
                  <a:srgbClr val="0F2E52"/>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EAB7-4F91-A176-A3258A61F84A}"/>
            </c:ext>
          </c:extLst>
        </c:ser>
        <c:ser>
          <c:idx val="1"/>
          <c:order val="1"/>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1'!$B$17:$M$17</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EAB7-4F91-A176-A3258A61F84A}"/>
            </c:ext>
          </c:extLst>
        </c:ser>
        <c:ser>
          <c:idx val="2"/>
          <c:order val="2"/>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1'!$B$18:$M$18</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EAB7-4F91-A176-A3258A61F84A}"/>
            </c:ext>
          </c:extLst>
        </c:ser>
        <c:ser>
          <c:idx val="3"/>
          <c:order val="3"/>
          <c:spPr>
            <a:ln w="12700">
              <a:solidFill>
                <a:srgbClr val="14A3A8"/>
              </a:solidFill>
              <a:prstDash val="solid"/>
            </a:ln>
          </c:spPr>
          <c:marker>
            <c:symbol val="x"/>
            <c:size val="5"/>
            <c:spPr>
              <a:noFill/>
              <a:ln>
                <a:solidFill>
                  <a:srgbClr val="14A3A8"/>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1'!$B$19:$M$19</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EAB7-4F91-A176-A3258A61F84A}"/>
            </c:ext>
          </c:extLst>
        </c:ser>
        <c:ser>
          <c:idx val="4"/>
          <c:order val="4"/>
          <c:spPr>
            <a:ln w="12700">
              <a:solidFill>
                <a:srgbClr val="7E6BC4"/>
              </a:solidFill>
              <a:prstDash val="solid"/>
            </a:ln>
          </c:spPr>
          <c:marker>
            <c:symbol val="star"/>
            <c:size val="5"/>
            <c:spPr>
              <a:noFill/>
              <a:ln>
                <a:solidFill>
                  <a:srgbClr val="7E6BC4"/>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1'!$B$20:$M$20</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EAB7-4F91-A176-A3258A61F84A}"/>
            </c:ext>
          </c:extLst>
        </c:ser>
        <c:ser>
          <c:idx val="5"/>
          <c:order val="5"/>
          <c:spPr>
            <a:ln w="12700">
              <a:solidFill>
                <a:srgbClr val="C0443A"/>
              </a:solidFill>
              <a:prstDash val="solid"/>
            </a:ln>
          </c:spPr>
          <c:marker>
            <c:symbol val="circle"/>
            <c:size val="5"/>
            <c:spPr>
              <a:solidFill>
                <a:srgbClr val="C0443A"/>
              </a:solidFill>
              <a:ln>
                <a:solidFill>
                  <a:srgbClr val="C0443A"/>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1'!$B$21:$M$21</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5-EAB7-4F91-A176-A3258A61F84A}"/>
            </c:ext>
          </c:extLst>
        </c:ser>
        <c:ser>
          <c:idx val="6"/>
          <c:order val="6"/>
          <c:spPr>
            <a:ln w="12700">
              <a:solidFill>
                <a:srgbClr val="008080"/>
              </a:solidFill>
              <a:prstDash val="solid"/>
            </a:ln>
          </c:spPr>
          <c:marker>
            <c:symbol val="plus"/>
            <c:size val="5"/>
            <c:spPr>
              <a:noFill/>
              <a:ln>
                <a:solidFill>
                  <a:srgbClr val="008080"/>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1'!$B$22:$M$22</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6-EAB7-4F91-A176-A3258A61F84A}"/>
            </c:ext>
          </c:extLst>
        </c:ser>
        <c:ser>
          <c:idx val="7"/>
          <c:order val="7"/>
          <c:spPr>
            <a:ln w="12700">
              <a:solidFill>
                <a:srgbClr val="1F4FBF"/>
              </a:solidFill>
              <a:prstDash val="solid"/>
            </a:ln>
          </c:spPr>
          <c:marker>
            <c:symbol val="dot"/>
            <c:size val="5"/>
            <c:spPr>
              <a:noFill/>
              <a:ln>
                <a:solidFill>
                  <a:srgbClr val="1F4FBF"/>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1'!$B$23:$M$23</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7-EAB7-4F91-A176-A3258A61F84A}"/>
            </c:ext>
          </c:extLst>
        </c:ser>
        <c:ser>
          <c:idx val="8"/>
          <c:order val="8"/>
          <c:spPr>
            <a:ln w="12700">
              <a:solidFill>
                <a:srgbClr val="5BB8E8"/>
              </a:solidFill>
              <a:prstDash val="solid"/>
            </a:ln>
          </c:spPr>
          <c:marker>
            <c:symbol val="dash"/>
            <c:size val="5"/>
            <c:spPr>
              <a:noFill/>
              <a:ln>
                <a:solidFill>
                  <a:srgbClr val="5BB8E8"/>
                </a:solidFill>
                <a:prstDash val="solid"/>
              </a:ln>
            </c:spPr>
          </c:marker>
          <c:cat>
            <c:strRef>
              <c:f>'Prev.Ventas 1'!$B$50:$M$50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1'!$B$24:$M$24</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8-EAB7-4F91-A176-A3258A61F84A}"/>
            </c:ext>
          </c:extLst>
        </c:ser>
        <c:dLbls>
          <c:showLegendKey val="0"/>
          <c:showVal val="0"/>
          <c:showCatName val="0"/>
          <c:showSerName val="0"/>
          <c:showPercent val="0"/>
          <c:showBubbleSize val="0"/>
        </c:dLbls>
        <c:marker val="1"/>
        <c:smooth val="0"/>
        <c:axId val="79116928"/>
        <c:axId val="79139584"/>
      </c:lineChart>
      <c:catAx>
        <c:axId val="79116928"/>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139584"/>
        <c:crosses val="autoZero"/>
        <c:auto val="1"/>
        <c:lblAlgn val="ctr"/>
        <c:lblOffset val="100"/>
        <c:tickLblSkip val="1"/>
        <c:tickMarkSkip val="1"/>
        <c:noMultiLvlLbl val="0"/>
      </c:catAx>
      <c:valAx>
        <c:axId val="79139584"/>
        <c:scaling>
          <c:orientation val="minMax"/>
        </c:scaling>
        <c:delete val="0"/>
        <c:axPos val="l"/>
        <c:majorGridlines>
          <c:spPr>
            <a:ln w="3175">
              <a:solidFill>
                <a:srgbClr val="000000"/>
              </a:solidFill>
              <a:prstDash val="solid"/>
            </a:ln>
          </c:spPr>
        </c:majorGridlines>
        <c:title>
          <c:tx>
            <c:rich>
              <a:bodyPr/>
              <a:lstStyle/>
              <a:p>
                <a:pPr>
                  <a:defRPr sz="1250" b="1" i="0" u="none" strike="noStrike" baseline="0">
                    <a:solidFill>
                      <a:srgbClr val="000000"/>
                    </a:solidFill>
                    <a:latin typeface="Times New Roman"/>
                    <a:ea typeface="Times New Roman"/>
                    <a:cs typeface="Times New Roman"/>
                  </a:defRPr>
                </a:pPr>
                <a:r>
                  <a:rPr lang="es-ES"/>
                  <a:t>Ventas</a:t>
                </a:r>
              </a:p>
            </c:rich>
          </c:tx>
          <c:layout>
            <c:manualLayout>
              <c:xMode val="edge"/>
              <c:yMode val="edge"/>
              <c:x val="1.2913640032284098E-2"/>
              <c:y val="0.39420411578989156"/>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116928"/>
        <c:crosses val="autoZero"/>
        <c:crossBetween val="between"/>
      </c:valAx>
      <c:spPr>
        <a:solidFill>
          <a:srgbClr val="D2D9E1"/>
        </a:solidFill>
        <a:ln w="25400">
          <a:solidFill>
            <a:srgbClr val="6B7B8C"/>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00"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94206833410817E-2"/>
          <c:y val="7.5362532162964693E-2"/>
          <c:w val="0.93025215608221457"/>
          <c:h val="0.79420514664049369"/>
        </c:manualLayout>
      </c:layout>
      <c:lineChart>
        <c:grouping val="standard"/>
        <c:varyColors val="0"/>
        <c:ser>
          <c:idx val="0"/>
          <c:order val="0"/>
          <c:spPr>
            <a:ln w="38100">
              <a:solidFill>
                <a:srgbClr val="0F2E52"/>
              </a:solidFill>
              <a:prstDash val="solid"/>
            </a:ln>
          </c:spPr>
          <c:marker>
            <c:symbol val="diamond"/>
            <c:size val="9"/>
            <c:spPr>
              <a:solidFill>
                <a:srgbClr val="0F2E52"/>
              </a:solidFill>
              <a:ln>
                <a:solidFill>
                  <a:srgbClr val="0F2E52"/>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FF1-4690-B6C3-B5654CA1E999}"/>
            </c:ext>
          </c:extLst>
        </c:ser>
        <c:ser>
          <c:idx val="1"/>
          <c:order val="1"/>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2'!$B$17:$M$17</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9FF1-4690-B6C3-B5654CA1E999}"/>
            </c:ext>
          </c:extLst>
        </c:ser>
        <c:ser>
          <c:idx val="2"/>
          <c:order val="2"/>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2'!$B$18:$M$18</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9FF1-4690-B6C3-B5654CA1E999}"/>
            </c:ext>
          </c:extLst>
        </c:ser>
        <c:ser>
          <c:idx val="3"/>
          <c:order val="3"/>
          <c:spPr>
            <a:ln w="12700">
              <a:solidFill>
                <a:srgbClr val="14A3A8"/>
              </a:solidFill>
              <a:prstDash val="solid"/>
            </a:ln>
          </c:spPr>
          <c:marker>
            <c:symbol val="x"/>
            <c:size val="5"/>
            <c:spPr>
              <a:noFill/>
              <a:ln>
                <a:solidFill>
                  <a:srgbClr val="14A3A8"/>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2'!$B$19:$M$19</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9FF1-4690-B6C3-B5654CA1E999}"/>
            </c:ext>
          </c:extLst>
        </c:ser>
        <c:ser>
          <c:idx val="4"/>
          <c:order val="4"/>
          <c:spPr>
            <a:ln w="12700">
              <a:solidFill>
                <a:srgbClr val="7E6BC4"/>
              </a:solidFill>
              <a:prstDash val="solid"/>
            </a:ln>
          </c:spPr>
          <c:marker>
            <c:symbol val="star"/>
            <c:size val="5"/>
            <c:spPr>
              <a:noFill/>
              <a:ln>
                <a:solidFill>
                  <a:srgbClr val="7E6BC4"/>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2'!$B$20:$M$20</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9FF1-4690-B6C3-B5654CA1E999}"/>
            </c:ext>
          </c:extLst>
        </c:ser>
        <c:ser>
          <c:idx val="5"/>
          <c:order val="5"/>
          <c:spPr>
            <a:ln w="12700">
              <a:solidFill>
                <a:srgbClr val="C0443A"/>
              </a:solidFill>
              <a:prstDash val="solid"/>
            </a:ln>
          </c:spPr>
          <c:marker>
            <c:symbol val="circle"/>
            <c:size val="5"/>
            <c:spPr>
              <a:solidFill>
                <a:srgbClr val="C0443A"/>
              </a:solidFill>
              <a:ln>
                <a:solidFill>
                  <a:srgbClr val="C0443A"/>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2'!$B$21:$M$21</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5-9FF1-4690-B6C3-B5654CA1E999}"/>
            </c:ext>
          </c:extLst>
        </c:ser>
        <c:ser>
          <c:idx val="6"/>
          <c:order val="6"/>
          <c:spPr>
            <a:ln w="12700">
              <a:solidFill>
                <a:srgbClr val="008080"/>
              </a:solidFill>
              <a:prstDash val="solid"/>
            </a:ln>
          </c:spPr>
          <c:marker>
            <c:symbol val="plus"/>
            <c:size val="5"/>
            <c:spPr>
              <a:noFill/>
              <a:ln>
                <a:solidFill>
                  <a:srgbClr val="008080"/>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2'!$B$22:$M$22</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6-9FF1-4690-B6C3-B5654CA1E999}"/>
            </c:ext>
          </c:extLst>
        </c:ser>
        <c:ser>
          <c:idx val="7"/>
          <c:order val="7"/>
          <c:spPr>
            <a:ln w="12700">
              <a:solidFill>
                <a:srgbClr val="1F4FBF"/>
              </a:solidFill>
              <a:prstDash val="solid"/>
            </a:ln>
          </c:spPr>
          <c:marker>
            <c:symbol val="dot"/>
            <c:size val="5"/>
            <c:spPr>
              <a:noFill/>
              <a:ln>
                <a:solidFill>
                  <a:srgbClr val="1F4FBF"/>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2'!$B$23:$M$23</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7-9FF1-4690-B6C3-B5654CA1E999}"/>
            </c:ext>
          </c:extLst>
        </c:ser>
        <c:ser>
          <c:idx val="8"/>
          <c:order val="8"/>
          <c:spPr>
            <a:ln w="12700">
              <a:solidFill>
                <a:srgbClr val="5BB8E8"/>
              </a:solidFill>
              <a:prstDash val="solid"/>
            </a:ln>
          </c:spPr>
          <c:marker>
            <c:symbol val="dash"/>
            <c:size val="5"/>
            <c:spPr>
              <a:noFill/>
              <a:ln>
                <a:solidFill>
                  <a:srgbClr val="5BB8E8"/>
                </a:solidFill>
                <a:prstDash val="solid"/>
              </a:ln>
            </c:spPr>
          </c:marker>
          <c:cat>
            <c:strRef>
              <c:f>'Prev.Ventas 2'!$B$50:$M$50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2'!$B$24:$M$24</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8-9FF1-4690-B6C3-B5654CA1E999}"/>
            </c:ext>
          </c:extLst>
        </c:ser>
        <c:dLbls>
          <c:showLegendKey val="0"/>
          <c:showVal val="0"/>
          <c:showCatName val="0"/>
          <c:showSerName val="0"/>
          <c:showPercent val="0"/>
          <c:showBubbleSize val="0"/>
        </c:dLbls>
        <c:marker val="1"/>
        <c:smooth val="0"/>
        <c:axId val="79177984"/>
        <c:axId val="79196544"/>
      </c:lineChart>
      <c:catAx>
        <c:axId val="79177984"/>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196544"/>
        <c:crosses val="autoZero"/>
        <c:auto val="1"/>
        <c:lblAlgn val="ctr"/>
        <c:lblOffset val="100"/>
        <c:tickLblSkip val="1"/>
        <c:tickMarkSkip val="1"/>
        <c:noMultiLvlLbl val="0"/>
      </c:catAx>
      <c:valAx>
        <c:axId val="79196544"/>
        <c:scaling>
          <c:orientation val="minMax"/>
        </c:scaling>
        <c:delete val="0"/>
        <c:axPos val="l"/>
        <c:majorGridlines>
          <c:spPr>
            <a:ln w="3175">
              <a:solidFill>
                <a:srgbClr val="000000"/>
              </a:solidFill>
              <a:prstDash val="solid"/>
            </a:ln>
          </c:spPr>
        </c:majorGridlines>
        <c:title>
          <c:tx>
            <c:rich>
              <a:bodyPr/>
              <a:lstStyle/>
              <a:p>
                <a:pPr>
                  <a:defRPr sz="1250" b="1" i="0" u="none" strike="noStrike" baseline="0">
                    <a:solidFill>
                      <a:srgbClr val="000000"/>
                    </a:solidFill>
                    <a:latin typeface="Times New Roman"/>
                    <a:ea typeface="Times New Roman"/>
                    <a:cs typeface="Times New Roman"/>
                  </a:defRPr>
                </a:pPr>
                <a:r>
                  <a:rPr lang="es-ES"/>
                  <a:t>% de Ventas</a:t>
                </a:r>
              </a:p>
            </c:rich>
          </c:tx>
          <c:layout>
            <c:manualLayout>
              <c:xMode val="edge"/>
              <c:yMode val="edge"/>
              <c:x val="1.2976480129764802E-2"/>
              <c:y val="0.33333424626270686"/>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177984"/>
        <c:crosses val="autoZero"/>
        <c:crossBetween val="between"/>
      </c:valAx>
      <c:spPr>
        <a:solidFill>
          <a:srgbClr val="D2D9E1"/>
        </a:solidFill>
        <a:ln w="25400">
          <a:solidFill>
            <a:srgbClr val="6B7B8C"/>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00"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94206833410817E-2"/>
          <c:y val="7.5362532162964693E-2"/>
          <c:w val="0.93025215608221457"/>
          <c:h val="0.79420514664049369"/>
        </c:manualLayout>
      </c:layout>
      <c:lineChart>
        <c:grouping val="standard"/>
        <c:varyColors val="0"/>
        <c:ser>
          <c:idx val="0"/>
          <c:order val="0"/>
          <c:spPr>
            <a:ln w="38100">
              <a:solidFill>
                <a:srgbClr val="0F2E52"/>
              </a:solidFill>
              <a:prstDash val="solid"/>
            </a:ln>
          </c:spPr>
          <c:marker>
            <c:symbol val="diamond"/>
            <c:size val="9"/>
            <c:spPr>
              <a:solidFill>
                <a:srgbClr val="0F2E52"/>
              </a:solidFill>
              <a:ln>
                <a:solidFill>
                  <a:srgbClr val="0F2E52"/>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CD24-4800-A7FC-0509C4BF7B49}"/>
            </c:ext>
          </c:extLst>
        </c:ser>
        <c:ser>
          <c:idx val="1"/>
          <c:order val="1"/>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3'!$B$17:$M$17</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CD24-4800-A7FC-0509C4BF7B49}"/>
            </c:ext>
          </c:extLst>
        </c:ser>
        <c:ser>
          <c:idx val="2"/>
          <c:order val="2"/>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3'!$B$18:$M$18</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CD24-4800-A7FC-0509C4BF7B49}"/>
            </c:ext>
          </c:extLst>
        </c:ser>
        <c:ser>
          <c:idx val="3"/>
          <c:order val="3"/>
          <c:spPr>
            <a:ln w="12700">
              <a:solidFill>
                <a:srgbClr val="14A3A8"/>
              </a:solidFill>
              <a:prstDash val="solid"/>
            </a:ln>
          </c:spPr>
          <c:marker>
            <c:symbol val="x"/>
            <c:size val="5"/>
            <c:spPr>
              <a:noFill/>
              <a:ln>
                <a:solidFill>
                  <a:srgbClr val="14A3A8"/>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3'!$B$19:$M$19</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CD24-4800-A7FC-0509C4BF7B49}"/>
            </c:ext>
          </c:extLst>
        </c:ser>
        <c:ser>
          <c:idx val="4"/>
          <c:order val="4"/>
          <c:spPr>
            <a:ln w="12700">
              <a:solidFill>
                <a:srgbClr val="7E6BC4"/>
              </a:solidFill>
              <a:prstDash val="solid"/>
            </a:ln>
          </c:spPr>
          <c:marker>
            <c:symbol val="star"/>
            <c:size val="5"/>
            <c:spPr>
              <a:noFill/>
              <a:ln>
                <a:solidFill>
                  <a:srgbClr val="7E6BC4"/>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3'!$B$20:$M$20</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CD24-4800-A7FC-0509C4BF7B49}"/>
            </c:ext>
          </c:extLst>
        </c:ser>
        <c:ser>
          <c:idx val="5"/>
          <c:order val="5"/>
          <c:spPr>
            <a:ln w="12700">
              <a:solidFill>
                <a:srgbClr val="C0443A"/>
              </a:solidFill>
              <a:prstDash val="solid"/>
            </a:ln>
          </c:spPr>
          <c:marker>
            <c:symbol val="circle"/>
            <c:size val="5"/>
            <c:spPr>
              <a:solidFill>
                <a:srgbClr val="C0443A"/>
              </a:solidFill>
              <a:ln>
                <a:solidFill>
                  <a:srgbClr val="C0443A"/>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3'!$B$21:$M$21</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5-CD24-4800-A7FC-0509C4BF7B49}"/>
            </c:ext>
          </c:extLst>
        </c:ser>
        <c:ser>
          <c:idx val="6"/>
          <c:order val="6"/>
          <c:spPr>
            <a:ln w="12700">
              <a:solidFill>
                <a:srgbClr val="008080"/>
              </a:solidFill>
              <a:prstDash val="solid"/>
            </a:ln>
          </c:spPr>
          <c:marker>
            <c:symbol val="plus"/>
            <c:size val="5"/>
            <c:spPr>
              <a:noFill/>
              <a:ln>
                <a:solidFill>
                  <a:srgbClr val="008080"/>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3'!$B$22:$M$22</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6-CD24-4800-A7FC-0509C4BF7B49}"/>
            </c:ext>
          </c:extLst>
        </c:ser>
        <c:ser>
          <c:idx val="7"/>
          <c:order val="7"/>
          <c:spPr>
            <a:ln w="12700">
              <a:solidFill>
                <a:srgbClr val="1F4FBF"/>
              </a:solidFill>
              <a:prstDash val="solid"/>
            </a:ln>
          </c:spPr>
          <c:marker>
            <c:symbol val="dot"/>
            <c:size val="5"/>
            <c:spPr>
              <a:noFill/>
              <a:ln>
                <a:solidFill>
                  <a:srgbClr val="1F4FBF"/>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3'!$B$23:$M$23</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7-CD24-4800-A7FC-0509C4BF7B49}"/>
            </c:ext>
          </c:extLst>
        </c:ser>
        <c:ser>
          <c:idx val="8"/>
          <c:order val="8"/>
          <c:spPr>
            <a:ln w="12700">
              <a:solidFill>
                <a:srgbClr val="5BB8E8"/>
              </a:solidFill>
              <a:prstDash val="solid"/>
            </a:ln>
          </c:spPr>
          <c:marker>
            <c:symbol val="dash"/>
            <c:size val="5"/>
            <c:spPr>
              <a:noFill/>
              <a:ln>
                <a:solidFill>
                  <a:srgbClr val="5BB8E8"/>
                </a:solidFill>
                <a:prstDash val="solid"/>
              </a:ln>
            </c:spPr>
          </c:marker>
          <c:cat>
            <c:strRef>
              <c:f>'Prev.Ventas 3'!$B$50:$M$50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3'!$B$24:$M$24</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8-CD24-4800-A7FC-0509C4BF7B49}"/>
            </c:ext>
          </c:extLst>
        </c:ser>
        <c:dLbls>
          <c:showLegendKey val="0"/>
          <c:showVal val="0"/>
          <c:showCatName val="0"/>
          <c:showSerName val="0"/>
          <c:showPercent val="0"/>
          <c:showBubbleSize val="0"/>
        </c:dLbls>
        <c:marker val="1"/>
        <c:smooth val="0"/>
        <c:axId val="79263616"/>
        <c:axId val="79273984"/>
      </c:lineChart>
      <c:catAx>
        <c:axId val="79263616"/>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273984"/>
        <c:crosses val="autoZero"/>
        <c:auto val="1"/>
        <c:lblAlgn val="ctr"/>
        <c:lblOffset val="100"/>
        <c:tickLblSkip val="1"/>
        <c:tickMarkSkip val="1"/>
        <c:noMultiLvlLbl val="0"/>
      </c:catAx>
      <c:valAx>
        <c:axId val="79273984"/>
        <c:scaling>
          <c:orientation val="minMax"/>
        </c:scaling>
        <c:delete val="0"/>
        <c:axPos val="l"/>
        <c:majorGridlines>
          <c:spPr>
            <a:ln w="3175">
              <a:solidFill>
                <a:srgbClr val="000000"/>
              </a:solidFill>
              <a:prstDash val="solid"/>
            </a:ln>
          </c:spPr>
        </c:majorGridlines>
        <c:title>
          <c:tx>
            <c:rich>
              <a:bodyPr/>
              <a:lstStyle/>
              <a:p>
                <a:pPr>
                  <a:defRPr sz="1250" b="1" i="0" u="none" strike="noStrike" baseline="0">
                    <a:solidFill>
                      <a:srgbClr val="000000"/>
                    </a:solidFill>
                    <a:latin typeface="Times New Roman"/>
                    <a:ea typeface="Times New Roman"/>
                    <a:cs typeface="Times New Roman"/>
                  </a:defRPr>
                </a:pPr>
                <a:r>
                  <a:rPr lang="es-ES"/>
                  <a:t>% de Ventas</a:t>
                </a:r>
              </a:p>
            </c:rich>
          </c:tx>
          <c:layout>
            <c:manualLayout>
              <c:xMode val="edge"/>
              <c:yMode val="edge"/>
              <c:x val="1.2976480129764802E-2"/>
              <c:y val="0.33333424626270686"/>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9263616"/>
        <c:crosses val="autoZero"/>
        <c:crossBetween val="between"/>
      </c:valAx>
      <c:spPr>
        <a:solidFill>
          <a:srgbClr val="D2D9E1"/>
        </a:solidFill>
        <a:ln w="25400">
          <a:solidFill>
            <a:srgbClr val="6B7B8C"/>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00"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94206833410817E-2"/>
          <c:y val="7.5362532162964693E-2"/>
          <c:w val="0.93025215608221457"/>
          <c:h val="0.79420514664049369"/>
        </c:manualLayout>
      </c:layout>
      <c:lineChart>
        <c:grouping val="standard"/>
        <c:varyColors val="0"/>
        <c:ser>
          <c:idx val="0"/>
          <c:order val="0"/>
          <c:spPr>
            <a:ln w="38100">
              <a:solidFill>
                <a:srgbClr val="0F2E52"/>
              </a:solidFill>
              <a:prstDash val="solid"/>
            </a:ln>
          </c:spPr>
          <c:marker>
            <c:symbol val="diamond"/>
            <c:size val="9"/>
            <c:spPr>
              <a:solidFill>
                <a:srgbClr val="0F2E52"/>
              </a:solidFill>
              <a:ln>
                <a:solidFill>
                  <a:srgbClr val="0F2E52"/>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F65E-44AD-AA1B-86E45BEAF8DE}"/>
            </c:ext>
          </c:extLst>
        </c:ser>
        <c:ser>
          <c:idx val="1"/>
          <c:order val="1"/>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4'!$B$17:$M$17</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F65E-44AD-AA1B-86E45BEAF8DE}"/>
            </c:ext>
          </c:extLst>
        </c:ser>
        <c:ser>
          <c:idx val="2"/>
          <c:order val="2"/>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4'!$B$18:$M$18</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F65E-44AD-AA1B-86E45BEAF8DE}"/>
            </c:ext>
          </c:extLst>
        </c:ser>
        <c:ser>
          <c:idx val="3"/>
          <c:order val="3"/>
          <c:spPr>
            <a:ln w="12700">
              <a:solidFill>
                <a:srgbClr val="14A3A8"/>
              </a:solidFill>
              <a:prstDash val="solid"/>
            </a:ln>
          </c:spPr>
          <c:marker>
            <c:symbol val="x"/>
            <c:size val="5"/>
            <c:spPr>
              <a:noFill/>
              <a:ln>
                <a:solidFill>
                  <a:srgbClr val="14A3A8"/>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4'!$B$19:$M$19</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F65E-44AD-AA1B-86E45BEAF8DE}"/>
            </c:ext>
          </c:extLst>
        </c:ser>
        <c:ser>
          <c:idx val="4"/>
          <c:order val="4"/>
          <c:spPr>
            <a:ln w="12700">
              <a:solidFill>
                <a:srgbClr val="7E6BC4"/>
              </a:solidFill>
              <a:prstDash val="solid"/>
            </a:ln>
          </c:spPr>
          <c:marker>
            <c:symbol val="star"/>
            <c:size val="5"/>
            <c:spPr>
              <a:noFill/>
              <a:ln>
                <a:solidFill>
                  <a:srgbClr val="7E6BC4"/>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4'!$B$20:$M$20</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F65E-44AD-AA1B-86E45BEAF8DE}"/>
            </c:ext>
          </c:extLst>
        </c:ser>
        <c:ser>
          <c:idx val="5"/>
          <c:order val="5"/>
          <c:spPr>
            <a:ln w="12700">
              <a:solidFill>
                <a:srgbClr val="C0443A"/>
              </a:solidFill>
              <a:prstDash val="solid"/>
            </a:ln>
          </c:spPr>
          <c:marker>
            <c:symbol val="circle"/>
            <c:size val="5"/>
            <c:spPr>
              <a:solidFill>
                <a:srgbClr val="C0443A"/>
              </a:solidFill>
              <a:ln>
                <a:solidFill>
                  <a:srgbClr val="C0443A"/>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4'!$B$21:$M$21</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5-F65E-44AD-AA1B-86E45BEAF8DE}"/>
            </c:ext>
          </c:extLst>
        </c:ser>
        <c:ser>
          <c:idx val="6"/>
          <c:order val="6"/>
          <c:spPr>
            <a:ln w="12700">
              <a:solidFill>
                <a:srgbClr val="008080"/>
              </a:solidFill>
              <a:prstDash val="solid"/>
            </a:ln>
          </c:spPr>
          <c:marker>
            <c:symbol val="plus"/>
            <c:size val="5"/>
            <c:spPr>
              <a:noFill/>
              <a:ln>
                <a:solidFill>
                  <a:srgbClr val="008080"/>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4'!$B$22:$M$22</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6-F65E-44AD-AA1B-86E45BEAF8DE}"/>
            </c:ext>
          </c:extLst>
        </c:ser>
        <c:ser>
          <c:idx val="7"/>
          <c:order val="7"/>
          <c:spPr>
            <a:ln w="12700">
              <a:solidFill>
                <a:srgbClr val="1F4FBF"/>
              </a:solidFill>
              <a:prstDash val="solid"/>
            </a:ln>
          </c:spPr>
          <c:marker>
            <c:symbol val="dot"/>
            <c:size val="5"/>
            <c:spPr>
              <a:noFill/>
              <a:ln>
                <a:solidFill>
                  <a:srgbClr val="1F4FBF"/>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4'!$B$23:$M$23</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7-F65E-44AD-AA1B-86E45BEAF8DE}"/>
            </c:ext>
          </c:extLst>
        </c:ser>
        <c:ser>
          <c:idx val="8"/>
          <c:order val="8"/>
          <c:spPr>
            <a:ln w="12700">
              <a:solidFill>
                <a:srgbClr val="5BB8E8"/>
              </a:solidFill>
              <a:prstDash val="solid"/>
            </a:ln>
          </c:spPr>
          <c:marker>
            <c:symbol val="dash"/>
            <c:size val="5"/>
            <c:spPr>
              <a:noFill/>
              <a:ln>
                <a:solidFill>
                  <a:srgbClr val="5BB8E8"/>
                </a:solidFill>
                <a:prstDash val="solid"/>
              </a:ln>
            </c:spPr>
          </c:marker>
          <c:cat>
            <c:strRef>
              <c:f>'Prev.Ventas 4'!$B$50:$M$50</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4'!$B$24:$M$24</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8-F65E-44AD-AA1B-86E45BEAF8DE}"/>
            </c:ext>
          </c:extLst>
        </c:ser>
        <c:dLbls>
          <c:showLegendKey val="0"/>
          <c:showVal val="0"/>
          <c:showCatName val="0"/>
          <c:showSerName val="0"/>
          <c:showPercent val="0"/>
          <c:showBubbleSize val="0"/>
        </c:dLbls>
        <c:marker val="1"/>
        <c:smooth val="0"/>
        <c:axId val="78640640"/>
        <c:axId val="78642560"/>
      </c:lineChart>
      <c:catAx>
        <c:axId val="78640640"/>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8642560"/>
        <c:crosses val="autoZero"/>
        <c:auto val="1"/>
        <c:lblAlgn val="ctr"/>
        <c:lblOffset val="100"/>
        <c:tickLblSkip val="1"/>
        <c:tickMarkSkip val="1"/>
        <c:noMultiLvlLbl val="0"/>
      </c:catAx>
      <c:valAx>
        <c:axId val="78642560"/>
        <c:scaling>
          <c:orientation val="minMax"/>
        </c:scaling>
        <c:delete val="0"/>
        <c:axPos val="l"/>
        <c:majorGridlines>
          <c:spPr>
            <a:ln w="3175">
              <a:solidFill>
                <a:srgbClr val="000000"/>
              </a:solidFill>
              <a:prstDash val="solid"/>
            </a:ln>
          </c:spPr>
        </c:majorGridlines>
        <c:title>
          <c:tx>
            <c:rich>
              <a:bodyPr/>
              <a:lstStyle/>
              <a:p>
                <a:pPr>
                  <a:defRPr sz="1250" b="1" i="0" u="none" strike="noStrike" baseline="0">
                    <a:solidFill>
                      <a:srgbClr val="000000"/>
                    </a:solidFill>
                    <a:latin typeface="Times New Roman"/>
                    <a:ea typeface="Times New Roman"/>
                    <a:cs typeface="Times New Roman"/>
                  </a:defRPr>
                </a:pPr>
                <a:r>
                  <a:rPr lang="es-ES"/>
                  <a:t>% de Ventas</a:t>
                </a:r>
              </a:p>
            </c:rich>
          </c:tx>
          <c:layout>
            <c:manualLayout>
              <c:xMode val="edge"/>
              <c:yMode val="edge"/>
              <c:x val="1.2976480129764802E-2"/>
              <c:y val="0.33333424626270686"/>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975" b="1" i="0" u="none" strike="noStrike" baseline="0">
                <a:solidFill>
                  <a:srgbClr val="000000"/>
                </a:solidFill>
                <a:latin typeface="Times New Roman"/>
                <a:ea typeface="Times New Roman"/>
                <a:cs typeface="Times New Roman"/>
              </a:defRPr>
            </a:pPr>
            <a:endParaRPr lang="es-ES"/>
          </a:p>
        </c:txPr>
        <c:crossAx val="78640640"/>
        <c:crosses val="autoZero"/>
        <c:crossBetween val="between"/>
      </c:valAx>
      <c:spPr>
        <a:solidFill>
          <a:srgbClr val="D2D9E1"/>
        </a:solidFill>
        <a:ln w="25400">
          <a:solidFill>
            <a:srgbClr val="6B7B8C"/>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00"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5714374291475298E-2"/>
          <c:y val="5.4736898372634034E-2"/>
          <c:w val="0.89629722252939181"/>
          <c:h val="0.77684290382699861"/>
        </c:manualLayout>
      </c:layout>
      <c:lineChart>
        <c:grouping val="standard"/>
        <c:varyColors val="0"/>
        <c:ser>
          <c:idx val="1"/>
          <c:order val="0"/>
          <c:tx>
            <c:strRef>
              <c:f>'Datos Básicos'!$D$16</c:f>
              <c:strCache>
                <c:ptCount val="1"/>
                <c:pt idx="0">
                  <c:v>Año  2</c:v>
                </c:pt>
              </c:strCache>
            </c:strRef>
          </c:tx>
          <c:spPr>
            <a:ln w="12700">
              <a:solidFill>
                <a:srgbClr val="FF6B57"/>
              </a:solidFill>
              <a:prstDash val="solid"/>
            </a:ln>
          </c:spPr>
          <c:marker>
            <c:symbol val="square"/>
            <c:size val="5"/>
            <c:spPr>
              <a:solidFill>
                <a:srgbClr val="FF6B57"/>
              </a:solidFill>
              <a:ln>
                <a:solidFill>
                  <a:srgbClr val="FF6B57"/>
                </a:solidFill>
                <a:prstDash val="solid"/>
              </a:ln>
            </c:spPr>
          </c:marker>
          <c:cat>
            <c:strRef>
              <c:f>'Prev.Ventas 0'!$B$4:$M$4</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2'!$B$25:$M$25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44C-4BFB-83F7-DC0787A4196F}"/>
            </c:ext>
          </c:extLst>
        </c:ser>
        <c:ser>
          <c:idx val="0"/>
          <c:order val="1"/>
          <c:tx>
            <c:strRef>
              <c:f>'Datos Básicos'!$B$16</c:f>
              <c:strCache>
                <c:ptCount val="1"/>
                <c:pt idx="0">
                  <c:v>Año 0</c:v>
                </c:pt>
              </c:strCache>
            </c:strRef>
          </c:tx>
          <c:spPr>
            <a:ln w="12700">
              <a:solidFill>
                <a:srgbClr val="0F2E52"/>
              </a:solidFill>
              <a:prstDash val="solid"/>
            </a:ln>
          </c:spPr>
          <c:marker>
            <c:symbol val="diamond"/>
            <c:size val="5"/>
            <c:spPr>
              <a:solidFill>
                <a:srgbClr val="0F2E52"/>
              </a:solidFill>
              <a:ln>
                <a:solidFill>
                  <a:srgbClr val="0F2E52"/>
                </a:solidFill>
                <a:prstDash val="solid"/>
              </a:ln>
            </c:spPr>
          </c:marker>
          <c:cat>
            <c:strRef>
              <c:f>'Prev.Ventas 0'!$B$4:$M$4</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0'!$B$25:$M$25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A44C-4BFB-83F7-DC0787A4196F}"/>
            </c:ext>
          </c:extLst>
        </c:ser>
        <c:ser>
          <c:idx val="2"/>
          <c:order val="2"/>
          <c:tx>
            <c:strRef>
              <c:f>'Datos Básicos'!$C$16</c:f>
              <c:strCache>
                <c:ptCount val="1"/>
                <c:pt idx="0">
                  <c:v>Año  1</c:v>
                </c:pt>
              </c:strCache>
            </c:strRef>
          </c:tx>
          <c:spPr>
            <a:ln w="12700">
              <a:solidFill>
                <a:srgbClr val="FFB81F"/>
              </a:solidFill>
              <a:prstDash val="solid"/>
            </a:ln>
          </c:spPr>
          <c:marker>
            <c:symbol val="triangle"/>
            <c:size val="5"/>
            <c:spPr>
              <a:solidFill>
                <a:srgbClr val="FFB81F"/>
              </a:solidFill>
              <a:ln>
                <a:solidFill>
                  <a:srgbClr val="FFB81F"/>
                </a:solidFill>
                <a:prstDash val="solid"/>
              </a:ln>
            </c:spPr>
          </c:marker>
          <c:cat>
            <c:strRef>
              <c:f>'Prev.Ventas 0'!$B$4:$M$4</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1'!$B$25:$M$25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A44C-4BFB-83F7-DC0787A4196F}"/>
            </c:ext>
          </c:extLst>
        </c:ser>
        <c:ser>
          <c:idx val="3"/>
          <c:order val="3"/>
          <c:tx>
            <c:strRef>
              <c:f>'Datos Básicos'!$E$16</c:f>
              <c:strCache>
                <c:ptCount val="1"/>
                <c:pt idx="0">
                  <c:v>Año  3</c:v>
                </c:pt>
              </c:strCache>
            </c:strRef>
          </c:tx>
          <c:spPr>
            <a:ln w="12700">
              <a:solidFill>
                <a:srgbClr val="14A3A8"/>
              </a:solidFill>
              <a:prstDash val="solid"/>
            </a:ln>
          </c:spPr>
          <c:marker>
            <c:symbol val="x"/>
            <c:size val="5"/>
            <c:spPr>
              <a:noFill/>
              <a:ln>
                <a:solidFill>
                  <a:srgbClr val="14A3A8"/>
                </a:solidFill>
                <a:prstDash val="solid"/>
              </a:ln>
            </c:spPr>
          </c:marker>
          <c:cat>
            <c:strRef>
              <c:f>'Prev.Ventas 0'!$B$4:$M$4</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3'!$B$25:$M$25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3-A44C-4BFB-83F7-DC0787A4196F}"/>
            </c:ext>
          </c:extLst>
        </c:ser>
        <c:ser>
          <c:idx val="4"/>
          <c:order val="4"/>
          <c:tx>
            <c:strRef>
              <c:f>'Datos Básicos'!$F$16</c:f>
              <c:strCache>
                <c:ptCount val="1"/>
                <c:pt idx="0">
                  <c:v>Año  4</c:v>
                </c:pt>
              </c:strCache>
            </c:strRef>
          </c:tx>
          <c:spPr>
            <a:ln w="12700">
              <a:solidFill>
                <a:srgbClr val="7E6BC4"/>
              </a:solidFill>
              <a:prstDash val="solid"/>
            </a:ln>
          </c:spPr>
          <c:marker>
            <c:symbol val="star"/>
            <c:size val="5"/>
            <c:spPr>
              <a:noFill/>
              <a:ln>
                <a:solidFill>
                  <a:srgbClr val="7E6BC4"/>
                </a:solidFill>
                <a:prstDash val="solid"/>
              </a:ln>
            </c:spPr>
          </c:marker>
          <c:cat>
            <c:strRef>
              <c:f>'Prev.Ventas 0'!$B$4:$M$4</c:f>
              <c:strCache>
                <c:ptCount val="12"/>
                <c:pt idx="0">
                  <c:v>enero</c:v>
                </c:pt>
                <c:pt idx="1">
                  <c:v>febrero</c:v>
                </c:pt>
                <c:pt idx="2">
                  <c:v>marzo</c:v>
                </c:pt>
                <c:pt idx="3">
                  <c:v>abril</c:v>
                </c:pt>
                <c:pt idx="4">
                  <c:v>mayo</c:v>
                </c:pt>
                <c:pt idx="5">
                  <c:v>junio</c:v>
                </c:pt>
                <c:pt idx="6">
                  <c:v>julio</c:v>
                </c:pt>
                <c:pt idx="7">
                  <c:v>agosto</c:v>
                </c:pt>
                <c:pt idx="8">
                  <c:v>septiembre</c:v>
                </c:pt>
                <c:pt idx="9">
                  <c:v>octubre</c:v>
                </c:pt>
                <c:pt idx="10">
                  <c:v>noviembre</c:v>
                </c:pt>
                <c:pt idx="11">
                  <c:v>diciembre</c:v>
                </c:pt>
              </c:strCache>
            </c:strRef>
          </c:cat>
          <c:val>
            <c:numRef>
              <c:f>'Prev.Ventas 4'!$B$25:$M$25</c:f>
              <c:numCache>
                <c:formatCode>#,##0_*;;\-\ 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4-A44C-4BFB-83F7-DC0787A4196F}"/>
            </c:ext>
          </c:extLst>
        </c:ser>
        <c:dLbls>
          <c:showLegendKey val="0"/>
          <c:showVal val="0"/>
          <c:showCatName val="0"/>
          <c:showSerName val="0"/>
          <c:showPercent val="0"/>
          <c:showBubbleSize val="0"/>
        </c:dLbls>
        <c:marker val="1"/>
        <c:smooth val="0"/>
        <c:axId val="79849344"/>
        <c:axId val="79859712"/>
      </c:lineChart>
      <c:catAx>
        <c:axId val="79849344"/>
        <c:scaling>
          <c:orientation val="minMax"/>
        </c:scaling>
        <c:delete val="0"/>
        <c:axPos val="b"/>
        <c:numFmt formatCode="General" sourceLinked="1"/>
        <c:majorTickMark val="out"/>
        <c:minorTickMark val="none"/>
        <c:tickLblPos val="nextTo"/>
        <c:spPr>
          <a:ln w="38100">
            <a:solidFill>
              <a:srgbClr val="000000"/>
            </a:solidFill>
            <a:prstDash val="solid"/>
          </a:ln>
        </c:spPr>
        <c:txPr>
          <a:bodyPr rot="0" vert="horz"/>
          <a:lstStyle/>
          <a:p>
            <a:pPr>
              <a:defRPr sz="950" b="0" i="0" u="none" strike="noStrike" baseline="0">
                <a:solidFill>
                  <a:srgbClr val="000000"/>
                </a:solidFill>
                <a:latin typeface="Times New Roman"/>
                <a:ea typeface="Times New Roman"/>
                <a:cs typeface="Times New Roman"/>
              </a:defRPr>
            </a:pPr>
            <a:endParaRPr lang="es-ES"/>
          </a:p>
        </c:txPr>
        <c:crossAx val="79859712"/>
        <c:crosses val="autoZero"/>
        <c:auto val="1"/>
        <c:lblAlgn val="ctr"/>
        <c:lblOffset val="100"/>
        <c:tickLblSkip val="1"/>
        <c:tickMarkSkip val="1"/>
        <c:noMultiLvlLbl val="0"/>
      </c:catAx>
      <c:valAx>
        <c:axId val="79859712"/>
        <c:scaling>
          <c:orientation val="minMax"/>
        </c:scaling>
        <c:delete val="0"/>
        <c:axPos val="l"/>
        <c:title>
          <c:tx>
            <c:rich>
              <a:bodyPr/>
              <a:lstStyle/>
              <a:p>
                <a:pPr>
                  <a:defRPr sz="1625" b="1" i="0" u="none" strike="noStrike" baseline="0">
                    <a:solidFill>
                      <a:srgbClr val="000000"/>
                    </a:solidFill>
                    <a:latin typeface="Times New Roman"/>
                    <a:ea typeface="Times New Roman"/>
                    <a:cs typeface="Times New Roman"/>
                  </a:defRPr>
                </a:pPr>
                <a:r>
                  <a:rPr lang="es-ES"/>
                  <a:t>% de Ventas</a:t>
                </a:r>
              </a:p>
            </c:rich>
          </c:tx>
          <c:layout>
            <c:manualLayout>
              <c:xMode val="edge"/>
              <c:yMode val="edge"/>
              <c:x val="1.5873015873015879E-2"/>
              <c:y val="0.30947390523554208"/>
            </c:manualLayout>
          </c:layout>
          <c:overlay val="0"/>
          <c:spPr>
            <a:noFill/>
            <a:ln w="25400">
              <a:noFill/>
            </a:ln>
          </c:spPr>
        </c:title>
        <c:numFmt formatCode="#,##0_*;;\-\ _*" sourceLinked="1"/>
        <c:majorTickMark val="out"/>
        <c:minorTickMark val="none"/>
        <c:tickLblPos val="nextTo"/>
        <c:spPr>
          <a:ln w="38100">
            <a:solidFill>
              <a:srgbClr val="000000"/>
            </a:solidFill>
            <a:prstDash val="solid"/>
          </a:ln>
        </c:spPr>
        <c:txPr>
          <a:bodyPr rot="0" vert="horz"/>
          <a:lstStyle/>
          <a:p>
            <a:pPr>
              <a:defRPr sz="1075" b="0" i="0" u="none" strike="noStrike" baseline="0">
                <a:solidFill>
                  <a:srgbClr val="000000"/>
                </a:solidFill>
                <a:latin typeface="Times New Roman"/>
                <a:ea typeface="Times New Roman"/>
                <a:cs typeface="Times New Roman"/>
              </a:defRPr>
            </a:pPr>
            <a:endParaRPr lang="es-ES"/>
          </a:p>
        </c:txPr>
        <c:crossAx val="79849344"/>
        <c:crosses val="autoZero"/>
        <c:crossBetween val="between"/>
      </c:valAx>
      <c:spPr>
        <a:gradFill flip="none" rotWithShape="1">
          <a:gsLst>
            <a:gs pos="0">
              <a:srgbClr val="0A6A73">
                <a:tint val="66000"/>
                <a:satMod val="160000"/>
              </a:srgbClr>
            </a:gs>
            <a:gs pos="50000">
              <a:srgbClr val="0A6A73">
                <a:tint val="44500"/>
                <a:satMod val="160000"/>
              </a:srgbClr>
            </a:gs>
            <a:gs pos="100000">
              <a:srgbClr val="0A6A73">
                <a:tint val="23500"/>
                <a:satMod val="160000"/>
              </a:srgbClr>
            </a:gs>
          </a:gsLst>
          <a:lin ang="5400000" scaled="1"/>
          <a:tileRect/>
        </a:gradFill>
        <a:ln w="25400">
          <a:solidFill>
            <a:srgbClr val="6B7B8C"/>
          </a:solidFill>
          <a:prstDash val="solid"/>
        </a:ln>
      </c:spPr>
    </c:plotArea>
    <c:legend>
      <c:legendPos val="r"/>
      <c:layout>
        <c:manualLayout>
          <c:xMode val="edge"/>
          <c:yMode val="edge"/>
          <c:x val="0.20634942854365426"/>
          <c:y val="0.92210614725789997"/>
          <c:w val="0.59365146023413762"/>
          <c:h val="6.3157894736842093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Times New Roman"/>
              <a:ea typeface="Times New Roman"/>
              <a:cs typeface="Times New Roman"/>
            </a:defRPr>
          </a:pPr>
          <a:endParaRPr lang="es-ES"/>
        </a:p>
      </c:txPr>
    </c:legend>
    <c:plotVisOnly val="1"/>
    <c:dispBlanksAs val="gap"/>
    <c:showDLblsOverMax val="0"/>
  </c:chart>
  <c:spPr>
    <a:solidFill>
      <a:srgbClr val="FFFFFF"/>
    </a:solidFill>
    <a:ln w="3175">
      <a:noFill/>
      <a:prstDash val="solid"/>
    </a:ln>
  </c:spPr>
  <c:txPr>
    <a:bodyPr/>
    <a:lstStyle/>
    <a:p>
      <a:pPr>
        <a:defRPr sz="2925" b="0" i="0" u="none" strike="noStrike" baseline="0">
          <a:solidFill>
            <a:srgbClr val="000000"/>
          </a:solidFill>
          <a:latin typeface="Times New Roman"/>
          <a:ea typeface="Times New Roman"/>
          <a:cs typeface="Times New Roman"/>
        </a:defRPr>
      </a:pPr>
      <a:endParaRPr lang="es-ES"/>
    </a:p>
  </c:txPr>
  <c:printSettings>
    <c:headerFooter alignWithMargins="0"/>
    <c:pageMargins b="0.78740157480314954" l="0.78740157480314954" r="0.78740157480314954" t="0.78740157480314954" header="0" footer="0.39370078740157488"/>
    <c:pageSetup paperSize="9" orientation="landscape" horizontalDpi="300" verticalDpi="30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sz="1200">
                <a:solidFill>
                  <a:srgbClr val="0A6A73"/>
                </a:solidFill>
                <a:latin typeface="Arial" pitchFamily="34" charset="0"/>
                <a:cs typeface="Arial" pitchFamily="34" charset="0"/>
              </a:rPr>
              <a:t>DESVIACIONES PÉRDIDAS Y GANANCIAS</a:t>
            </a:r>
          </a:p>
        </c:rich>
      </c:tx>
      <c:overlay val="0"/>
    </c:title>
    <c:autoTitleDeleted val="0"/>
    <c:plotArea>
      <c:layout/>
      <c:barChart>
        <c:barDir val="col"/>
        <c:grouping val="clustered"/>
        <c:varyColors val="0"/>
        <c:ser>
          <c:idx val="0"/>
          <c:order val="0"/>
          <c:tx>
            <c:strRef>
              <c:f>'DATOS GRAF. COMP. PYG'!$A$1</c:f>
              <c:strCache>
                <c:ptCount val="1"/>
                <c:pt idx="0">
                  <c:v>Ingresos</c:v>
                </c:pt>
              </c:strCache>
            </c:strRef>
          </c:tx>
          <c:spPr>
            <a:ln w="38100"/>
          </c:spPr>
          <c:invertIfNegative val="0"/>
          <c:cat>
            <c:numRef>
              <c:f>'DATOS GRAF. COMP. PYG'!$A$2:$A$6</c:f>
              <c:numCache>
                <c:formatCode>0</c:formatCode>
                <c:ptCount val="5"/>
                <c:pt idx="0">
                  <c:v>2026</c:v>
                </c:pt>
                <c:pt idx="1">
                  <c:v>2027</c:v>
                </c:pt>
                <c:pt idx="2">
                  <c:v>2028</c:v>
                </c:pt>
                <c:pt idx="3">
                  <c:v>2029</c:v>
                </c:pt>
                <c:pt idx="4">
                  <c:v>2030</c:v>
                </c:pt>
              </c:numCache>
            </c:numRef>
          </c:cat>
          <c:val>
            <c:numRef>
              <c:f>'DATOS GRAF. COMP. PYG'!$B$2:$B$6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8467-4463-B488-3FA55D46B852}"/>
            </c:ext>
          </c:extLst>
        </c:ser>
        <c:ser>
          <c:idx val="2"/>
          <c:order val="1"/>
          <c:tx>
            <c:strRef>
              <c:f>'DATOS GRAF. COMP. PYG'!$G$1</c:f>
              <c:strCache>
                <c:ptCount val="1"/>
                <c:pt idx="0">
                  <c:v>Total Gastos Explotación</c:v>
                </c:pt>
              </c:strCache>
            </c:strRef>
          </c:tx>
          <c:spPr>
            <a:ln w="38100"/>
          </c:spPr>
          <c:invertIfNegative val="0"/>
          <c:val>
            <c:numRef>
              <c:f>'DATOS GRAF. COMP. PYG'!$H$2:$H$6</c:f>
              <c:numCache>
                <c:formatCode>0.0</c:formatCode>
                <c:ptCount val="5"/>
                <c:pt idx="0">
                  <c:v>15716.64</c:v>
                </c:pt>
                <c:pt idx="1">
                  <c:v>16302.720000000001</c:v>
                </c:pt>
                <c:pt idx="2">
                  <c:v>18318.163200000006</c:v>
                </c:pt>
                <c:pt idx="3">
                  <c:v>18952.067328000001</c:v>
                </c:pt>
                <c:pt idx="4">
                  <c:v>19611.327621120003</c:v>
                </c:pt>
              </c:numCache>
            </c:numRef>
          </c:val>
          <c:extLst>
            <c:ext xmlns:c16="http://schemas.microsoft.com/office/drawing/2014/chart" uri="{C3380CC4-5D6E-409C-BE32-E72D297353CC}">
              <c16:uniqueId val="{00000001-8467-4463-B488-3FA55D46B852}"/>
            </c:ext>
          </c:extLst>
        </c:ser>
        <c:ser>
          <c:idx val="1"/>
          <c:order val="2"/>
          <c:tx>
            <c:strRef>
              <c:f>'DATOS GRAF. COMP. PYG'!$D$1</c:f>
              <c:strCache>
                <c:ptCount val="1"/>
                <c:pt idx="0">
                  <c:v>Margen Bruto s/Ventas</c:v>
                </c:pt>
              </c:strCache>
            </c:strRef>
          </c:tx>
          <c:spPr>
            <a:ln w="38100"/>
          </c:spPr>
          <c:invertIfNegative val="0"/>
          <c:cat>
            <c:numRef>
              <c:f>'DATOS GRAF. COMP. PYG'!$A$2:$A$6</c:f>
              <c:numCache>
                <c:formatCode>0</c:formatCode>
                <c:ptCount val="5"/>
                <c:pt idx="0">
                  <c:v>2026</c:v>
                </c:pt>
                <c:pt idx="1">
                  <c:v>2027</c:v>
                </c:pt>
                <c:pt idx="2">
                  <c:v>2028</c:v>
                </c:pt>
                <c:pt idx="3">
                  <c:v>2029</c:v>
                </c:pt>
                <c:pt idx="4">
                  <c:v>2030</c:v>
                </c:pt>
              </c:numCache>
            </c:numRef>
          </c:cat>
          <c:val>
            <c:numRef>
              <c:f>'DATOS GRAF. COMP. PYG'!$E$2:$E$6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2-8467-4463-B488-3FA55D46B852}"/>
            </c:ext>
          </c:extLst>
        </c:ser>
        <c:dLbls>
          <c:showLegendKey val="0"/>
          <c:showVal val="0"/>
          <c:showCatName val="0"/>
          <c:showSerName val="0"/>
          <c:showPercent val="0"/>
          <c:showBubbleSize val="0"/>
        </c:dLbls>
        <c:gapWidth val="150"/>
        <c:axId val="78514048"/>
        <c:axId val="78515584"/>
      </c:barChart>
      <c:catAx>
        <c:axId val="78514048"/>
        <c:scaling>
          <c:orientation val="minMax"/>
        </c:scaling>
        <c:delete val="0"/>
        <c:axPos val="b"/>
        <c:numFmt formatCode="0" sourceLinked="1"/>
        <c:majorTickMark val="none"/>
        <c:minorTickMark val="none"/>
        <c:tickLblPos val="low"/>
        <c:txPr>
          <a:bodyPr rot="0" vert="horz"/>
          <a:lstStyle/>
          <a:p>
            <a:pPr>
              <a:defRPr/>
            </a:pPr>
            <a:endParaRPr lang="es-ES"/>
          </a:p>
        </c:txPr>
        <c:crossAx val="78515584"/>
        <c:crosses val="autoZero"/>
        <c:auto val="1"/>
        <c:lblAlgn val="ctr"/>
        <c:lblOffset val="100"/>
        <c:tickLblSkip val="1"/>
        <c:tickMarkSkip val="1"/>
        <c:noMultiLvlLbl val="0"/>
      </c:catAx>
      <c:valAx>
        <c:axId val="78515584"/>
        <c:scaling>
          <c:orientation val="minMax"/>
        </c:scaling>
        <c:delete val="0"/>
        <c:axPos val="l"/>
        <c:numFmt formatCode="0.0" sourceLinked="1"/>
        <c:majorTickMark val="none"/>
        <c:minorTickMark val="none"/>
        <c:tickLblPos val="nextTo"/>
        <c:spPr>
          <a:noFill/>
          <a:ln w="9525">
            <a:noFill/>
          </a:ln>
        </c:spPr>
        <c:txPr>
          <a:bodyPr rot="0" vert="horz"/>
          <a:lstStyle/>
          <a:p>
            <a:pPr>
              <a:defRPr/>
            </a:pPr>
            <a:endParaRPr lang="es-ES"/>
          </a:p>
        </c:txPr>
        <c:crossAx val="78514048"/>
        <c:crosses val="autoZero"/>
        <c:crossBetween val="between"/>
      </c:valAx>
      <c:spPr>
        <a:gradFill>
          <a:gsLst>
            <a:gs pos="0">
              <a:srgbClr val="009900">
                <a:tint val="66000"/>
                <a:satMod val="160000"/>
              </a:srgbClr>
            </a:gs>
            <a:gs pos="50000">
              <a:srgbClr val="009900">
                <a:tint val="44500"/>
                <a:satMod val="160000"/>
              </a:srgbClr>
            </a:gs>
            <a:gs pos="100000">
              <a:srgbClr val="009900">
                <a:tint val="23500"/>
                <a:satMod val="160000"/>
              </a:srgbClr>
            </a:gs>
          </a:gsLst>
          <a:lin ang="5400000" scaled="1"/>
        </a:gradFill>
        <a:ln w="0">
          <a:solidFill>
            <a:sysClr val="windowText" lastClr="000000"/>
          </a:solidFill>
        </a:ln>
      </c:spPr>
    </c:plotArea>
    <c:legend>
      <c:legendPos val="b"/>
      <c:overlay val="0"/>
      <c:spPr>
        <a:ln>
          <a:solidFill>
            <a:sysClr val="windowText" lastClr="000000"/>
          </a:solidFill>
        </a:ln>
      </c:spPr>
      <c:txPr>
        <a:bodyPr/>
        <a:lstStyle/>
        <a:p>
          <a:pPr>
            <a:defRPr sz="1100"/>
          </a:pPr>
          <a:endParaRPr lang="es-ES"/>
        </a:p>
      </c:txPr>
    </c:legend>
    <c:plotVisOnly val="1"/>
    <c:dispBlanksAs val="gap"/>
    <c:showDLblsOverMax val="0"/>
  </c:chart>
  <c:spPr>
    <a:ln>
      <a:noFill/>
    </a:ln>
  </c:spPr>
  <c:printSettings>
    <c:headerFooter alignWithMargins="0"/>
    <c:pageMargins b="1" l="0.75000000000001465" r="0.7500000000000146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25" b="1" i="0" u="none" strike="noStrike" baseline="0">
                <a:solidFill>
                  <a:srgbClr val="000000"/>
                </a:solidFill>
                <a:latin typeface="Arial"/>
                <a:ea typeface="Arial"/>
                <a:cs typeface="Arial"/>
              </a:defRPr>
            </a:pPr>
            <a:r>
              <a:rPr lang="es-ES"/>
              <a:t>Tesorerías mensuales</a:t>
            </a:r>
          </a:p>
        </c:rich>
      </c:tx>
      <c:layout>
        <c:manualLayout>
          <c:xMode val="edge"/>
          <c:yMode val="edge"/>
          <c:x val="0.3624681362130599"/>
          <c:y val="2.8985507246376812E-2"/>
        </c:manualLayout>
      </c:layout>
      <c:overlay val="0"/>
      <c:spPr>
        <a:noFill/>
        <a:ln w="25400">
          <a:noFill/>
        </a:ln>
      </c:spPr>
    </c:title>
    <c:autoTitleDeleted val="0"/>
    <c:plotArea>
      <c:layout>
        <c:manualLayout>
          <c:layoutTarget val="inner"/>
          <c:xMode val="edge"/>
          <c:yMode val="edge"/>
          <c:x val="0.11825200223680662"/>
          <c:y val="0.13768148418979786"/>
          <c:w val="0.84190284201204635"/>
          <c:h val="0.73430124901223059"/>
        </c:manualLayout>
      </c:layout>
      <c:lineChart>
        <c:grouping val="standard"/>
        <c:varyColors val="0"/>
        <c:ser>
          <c:idx val="0"/>
          <c:order val="0"/>
          <c:tx>
            <c:strRef>
              <c:f>'Resumen Tesorerias'!$A$40</c:f>
              <c:strCache>
                <c:ptCount val="1"/>
                <c:pt idx="0">
                  <c:v>Año 0</c:v>
                </c:pt>
              </c:strCache>
            </c:strRef>
          </c:tx>
          <c:spPr>
            <a:ln w="12700">
              <a:solidFill>
                <a:srgbClr val="0F2E52"/>
              </a:solidFill>
              <a:prstDash val="solid"/>
            </a:ln>
          </c:spPr>
          <c:marker>
            <c:symbol val="diamond"/>
            <c:size val="5"/>
            <c:spPr>
              <a:solidFill>
                <a:srgbClr val="0F2E52"/>
              </a:solidFill>
              <a:ln>
                <a:solidFill>
                  <a:srgbClr val="0F2E52"/>
                </a:solidFill>
                <a:prstDash val="solid"/>
              </a:ln>
            </c:spPr>
          </c:marker>
          <c:cat>
            <c:numLit>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Lit>
          </c:cat>
          <c:val>
            <c:numRef>
              <c:f>'Resumen Tesorerias'!$B$40:$M$40</c:f>
              <c:numCache>
                <c:formatCode>#,##0\ _*;\(\ #,##0\ \)_*</c:formatCode>
                <c:ptCount val="12"/>
                <c:pt idx="0">
                  <c:v>-1309.72</c:v>
                </c:pt>
                <c:pt idx="1">
                  <c:v>-2638.7467000000006</c:v>
                </c:pt>
                <c:pt idx="2">
                  <c:v>-3975.5260557500005</c:v>
                </c:pt>
                <c:pt idx="3">
                  <c:v>-5320.1032910752092</c:v>
                </c:pt>
                <c:pt idx="4">
                  <c:v>-6672.5238936064816</c:v>
                </c:pt>
                <c:pt idx="5">
                  <c:v>-8032.8336163191852</c:v>
                </c:pt>
                <c:pt idx="6">
                  <c:v>-9401.0784790810467</c:v>
                </c:pt>
                <c:pt idx="7">
                  <c:v>-10777.304770209019</c:v>
                </c:pt>
                <c:pt idx="8">
                  <c:v>-12161.559048035238</c:v>
                </c:pt>
                <c:pt idx="9">
                  <c:v>-13553.88814248211</c:v>
                </c:pt>
                <c:pt idx="10">
                  <c:v>-14954.339156646589</c:v>
                </c:pt>
                <c:pt idx="11">
                  <c:v>-16362.959468393696</c:v>
                </c:pt>
              </c:numCache>
            </c:numRef>
          </c:val>
          <c:smooth val="0"/>
          <c:extLst>
            <c:ext xmlns:c16="http://schemas.microsoft.com/office/drawing/2014/chart" uri="{C3380CC4-5D6E-409C-BE32-E72D297353CC}">
              <c16:uniqueId val="{00000000-F6C5-4D94-9657-458906C6711D}"/>
            </c:ext>
          </c:extLst>
        </c:ser>
        <c:ser>
          <c:idx val="1"/>
          <c:order val="1"/>
          <c:tx>
            <c:strRef>
              <c:f>'Resumen Tesorerias'!$A$41</c:f>
              <c:strCache>
                <c:ptCount val="1"/>
                <c:pt idx="0">
                  <c:v>Año 1</c:v>
                </c:pt>
              </c:strCache>
            </c:strRef>
          </c:tx>
          <c:spPr>
            <a:ln w="12700">
              <a:solidFill>
                <a:srgbClr val="FF6B57"/>
              </a:solidFill>
              <a:prstDash val="solid"/>
            </a:ln>
          </c:spPr>
          <c:marker>
            <c:symbol val="square"/>
            <c:size val="5"/>
            <c:spPr>
              <a:solidFill>
                <a:srgbClr val="FF6B57"/>
              </a:solidFill>
              <a:ln>
                <a:solidFill>
                  <a:srgbClr val="FF6B57"/>
                </a:solidFill>
                <a:prstDash val="solid"/>
              </a:ln>
            </c:spPr>
          </c:marker>
          <c:cat>
            <c:numLit>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Lit>
          </c:cat>
          <c:val>
            <c:numRef>
              <c:f>'Resumen Tesorerias'!$B$41:$M$41</c:f>
              <c:numCache>
                <c:formatCode>#,##0\ _*;\(\ #,##0\ \)_*</c:formatCode>
                <c:ptCount val="12"/>
                <c:pt idx="0">
                  <c:v>-17828.636731959326</c:v>
                </c:pt>
                <c:pt idx="1">
                  <c:v>-19302.863779562424</c:v>
                </c:pt>
                <c:pt idx="2">
                  <c:v>-20785.690484943203</c:v>
                </c:pt>
                <c:pt idx="3">
                  <c:v>-22277.167012772039</c:v>
                </c:pt>
                <c:pt idx="4">
                  <c:v>-23777.343820346541</c:v>
                </c:pt>
                <c:pt idx="5">
                  <c:v>-25286.271659298563</c:v>
                </c:pt>
                <c:pt idx="6">
                  <c:v>-26804.001577311137</c:v>
                </c:pt>
                <c:pt idx="7">
                  <c:v>-28330.584919845453</c:v>
                </c:pt>
                <c:pt idx="8">
                  <c:v>-29866.073331877884</c:v>
                </c:pt>
                <c:pt idx="9">
                  <c:v>-31410.51875964717</c:v>
                </c:pt>
                <c:pt idx="10">
                  <c:v>-32963.973452411781</c:v>
                </c:pt>
                <c:pt idx="11">
                  <c:v>-34526.489964217515</c:v>
                </c:pt>
              </c:numCache>
            </c:numRef>
          </c:val>
          <c:smooth val="0"/>
          <c:extLst>
            <c:ext xmlns:c16="http://schemas.microsoft.com/office/drawing/2014/chart" uri="{C3380CC4-5D6E-409C-BE32-E72D297353CC}">
              <c16:uniqueId val="{00000001-F6C5-4D94-9657-458906C6711D}"/>
            </c:ext>
          </c:extLst>
        </c:ser>
        <c:ser>
          <c:idx val="2"/>
          <c:order val="2"/>
          <c:tx>
            <c:strRef>
              <c:f>'Resumen Tesorerias'!$A$42</c:f>
              <c:strCache>
                <c:ptCount val="1"/>
                <c:pt idx="0">
                  <c:v>Año 2</c:v>
                </c:pt>
              </c:strCache>
            </c:strRef>
          </c:tx>
          <c:spPr>
            <a:ln w="12700">
              <a:solidFill>
                <a:srgbClr val="FFB81F"/>
              </a:solidFill>
              <a:prstDash val="solid"/>
            </a:ln>
          </c:spPr>
          <c:marker>
            <c:symbol val="triangle"/>
            <c:size val="5"/>
            <c:spPr>
              <a:solidFill>
                <a:srgbClr val="FFB81F"/>
              </a:solidFill>
              <a:ln>
                <a:solidFill>
                  <a:srgbClr val="FFB81F"/>
                </a:solidFill>
                <a:prstDash val="solid"/>
              </a:ln>
            </c:spPr>
          </c:marker>
          <c:cat>
            <c:numLit>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Lit>
          </c:cat>
          <c:val>
            <c:numRef>
              <c:f>'Resumen Tesorerias'!$B$42:$M$42</c:f>
              <c:numCache>
                <c:formatCode>#,##0\ _*;\(\ #,##0\ \)_*</c:formatCode>
                <c:ptCount val="12"/>
                <c:pt idx="0">
                  <c:v>-36266.07475567545</c:v>
                </c:pt>
                <c:pt idx="1">
                  <c:v>-38015.807125083556</c:v>
                </c:pt>
                <c:pt idx="2">
                  <c:v>-39775.746266646544</c:v>
                </c:pt>
                <c:pt idx="3">
                  <c:v>-41545.951719868652</c:v>
                </c:pt>
                <c:pt idx="4">
                  <c:v>-43326.483371567883</c:v>
                </c:pt>
                <c:pt idx="5">
                  <c:v>-45117.40145790203</c:v>
                </c:pt>
                <c:pt idx="6">
                  <c:v>-46918.766566406455</c:v>
                </c:pt>
                <c:pt idx="7">
                  <c:v>-48730.639638043824</c:v>
                </c:pt>
                <c:pt idx="8">
                  <c:v>-50553.081969265746</c:v>
                </c:pt>
                <c:pt idx="9">
                  <c:v>-52386.155214086466</c:v>
                </c:pt>
                <c:pt idx="10">
                  <c:v>-54229.921386168637</c:v>
                </c:pt>
                <c:pt idx="11">
                  <c:v>-56084.442860921285</c:v>
                </c:pt>
              </c:numCache>
            </c:numRef>
          </c:val>
          <c:smooth val="0"/>
          <c:extLst>
            <c:ext xmlns:c16="http://schemas.microsoft.com/office/drawing/2014/chart" uri="{C3380CC4-5D6E-409C-BE32-E72D297353CC}">
              <c16:uniqueId val="{00000002-F6C5-4D94-9657-458906C6711D}"/>
            </c:ext>
          </c:extLst>
        </c:ser>
        <c:ser>
          <c:idx val="3"/>
          <c:order val="3"/>
          <c:tx>
            <c:strRef>
              <c:f>'Resumen Tesorerias'!$A$43</c:f>
              <c:strCache>
                <c:ptCount val="1"/>
                <c:pt idx="0">
                  <c:v>Año 3</c:v>
                </c:pt>
              </c:strCache>
            </c:strRef>
          </c:tx>
          <c:spPr>
            <a:ln w="12700">
              <a:solidFill>
                <a:srgbClr val="14A3A8"/>
              </a:solidFill>
              <a:prstDash val="solid"/>
            </a:ln>
          </c:spPr>
          <c:marker>
            <c:symbol val="x"/>
            <c:size val="5"/>
            <c:spPr>
              <a:noFill/>
              <a:ln>
                <a:solidFill>
                  <a:srgbClr val="14A3A8"/>
                </a:solidFill>
                <a:prstDash val="solid"/>
              </a:ln>
            </c:spPr>
          </c:marker>
          <c:cat>
            <c:numLit>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Lit>
          </c:cat>
          <c:val>
            <c:numRef>
              <c:f>'Resumen Tesorerias'!$B$43:$M$43</c:f>
              <c:numCache>
                <c:formatCode>#,##0\ _*;\(\ #,##0\ \)_*</c:formatCode>
                <c:ptCount val="12"/>
                <c:pt idx="0">
                  <c:v>-58002.607721609995</c:v>
                </c:pt>
                <c:pt idx="1">
                  <c:v>-59931.961877319387</c:v>
                </c:pt>
                <c:pt idx="2">
                  <c:v>-61872.570598937084</c:v>
                </c:pt>
                <c:pt idx="3">
                  <c:v>-63824.499538097552</c:v>
                </c:pt>
                <c:pt idx="4">
                  <c:v>-65787.814729403122</c:v>
                </c:pt>
                <c:pt idx="5">
                  <c:v>-67762.582592657971</c:v>
                </c:pt>
                <c:pt idx="6">
                  <c:v>-69748.869935115144</c:v>
                </c:pt>
                <c:pt idx="7">
                  <c:v>-71746.743953736644</c:v>
                </c:pt>
                <c:pt idx="8">
                  <c:v>-73756.272237466779</c:v>
                </c:pt>
                <c:pt idx="9">
                  <c:v>-75777.522769518662</c:v>
                </c:pt>
                <c:pt idx="10">
                  <c:v>-77810.563929674187</c:v>
                </c:pt>
                <c:pt idx="11">
                  <c:v>-79855.464496597284</c:v>
                </c:pt>
              </c:numCache>
            </c:numRef>
          </c:val>
          <c:smooth val="0"/>
          <c:extLst>
            <c:ext xmlns:c16="http://schemas.microsoft.com/office/drawing/2014/chart" uri="{C3380CC4-5D6E-409C-BE32-E72D297353CC}">
              <c16:uniqueId val="{00000003-F6C5-4D94-9657-458906C6711D}"/>
            </c:ext>
          </c:extLst>
        </c:ser>
        <c:ser>
          <c:idx val="4"/>
          <c:order val="4"/>
          <c:tx>
            <c:strRef>
              <c:f>'Resumen Tesorerias'!$A$44</c:f>
              <c:strCache>
                <c:ptCount val="1"/>
                <c:pt idx="0">
                  <c:v>Año 4</c:v>
                </c:pt>
              </c:strCache>
            </c:strRef>
          </c:tx>
          <c:spPr>
            <a:ln w="12700">
              <a:solidFill>
                <a:srgbClr val="7E6BC4"/>
              </a:solidFill>
              <a:prstDash val="solid"/>
            </a:ln>
          </c:spPr>
          <c:marker>
            <c:symbol val="star"/>
            <c:size val="5"/>
            <c:spPr>
              <a:noFill/>
              <a:ln>
                <a:solidFill>
                  <a:srgbClr val="7E6BC4"/>
                </a:solidFill>
                <a:prstDash val="solid"/>
              </a:ln>
            </c:spPr>
          </c:marker>
          <c:cat>
            <c:numLit>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Lit>
          </c:cat>
          <c:val>
            <c:numRef>
              <c:f>'Resumen Tesorerias'!$B$44:$M$44</c:f>
              <c:numCache>
                <c:formatCode>#,##0\ _*;\(\ #,##0\ \)_*</c:formatCode>
                <c:ptCount val="12"/>
                <c:pt idx="0">
                  <c:v>-81967.232007920771</c:v>
                </c:pt>
                <c:pt idx="1">
                  <c:v>-84091.318163060307</c:v>
                </c:pt>
                <c:pt idx="2">
                  <c:v>-86227.794820771494</c:v>
                </c:pt>
                <c:pt idx="3">
                  <c:v>-88376.734258985991</c:v>
                </c:pt>
                <c:pt idx="4">
                  <c:v>-90538.209177256736</c:v>
                </c:pt>
                <c:pt idx="5">
                  <c:v>-92712.292699217403</c:v>
                </c:pt>
                <c:pt idx="6">
                  <c:v>-94899.058375056178</c:v>
                </c:pt>
                <c:pt idx="7">
                  <c:v>-97098.580184004008</c:v>
                </c:pt>
                <c:pt idx="8">
                  <c:v>-99310.932536837368</c:v>
                </c:pt>
                <c:pt idx="9">
                  <c:v>-101536.19027839559</c:v>
                </c:pt>
                <c:pt idx="10">
                  <c:v>-103774.42869011289</c:v>
                </c:pt>
                <c:pt idx="11">
                  <c:v>-106025.72349256522</c:v>
                </c:pt>
              </c:numCache>
            </c:numRef>
          </c:val>
          <c:smooth val="0"/>
          <c:extLst>
            <c:ext xmlns:c16="http://schemas.microsoft.com/office/drawing/2014/chart" uri="{C3380CC4-5D6E-409C-BE32-E72D297353CC}">
              <c16:uniqueId val="{00000004-F6C5-4D94-9657-458906C6711D}"/>
            </c:ext>
          </c:extLst>
        </c:ser>
        <c:dLbls>
          <c:showLegendKey val="0"/>
          <c:showVal val="0"/>
          <c:showCatName val="0"/>
          <c:showSerName val="0"/>
          <c:showPercent val="0"/>
          <c:showBubbleSize val="0"/>
        </c:dLbls>
        <c:marker val="1"/>
        <c:smooth val="0"/>
        <c:axId val="81702272"/>
        <c:axId val="81708544"/>
      </c:lineChart>
      <c:catAx>
        <c:axId val="8170227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Arial"/>
                <a:ea typeface="Arial"/>
                <a:cs typeface="Arial"/>
              </a:defRPr>
            </a:pPr>
            <a:endParaRPr lang="es-ES"/>
          </a:p>
        </c:txPr>
        <c:crossAx val="81708544"/>
        <c:crosses val="autoZero"/>
        <c:auto val="1"/>
        <c:lblAlgn val="ctr"/>
        <c:lblOffset val="100"/>
        <c:tickLblSkip val="1"/>
        <c:tickMarkSkip val="1"/>
        <c:noMultiLvlLbl val="0"/>
      </c:catAx>
      <c:valAx>
        <c:axId val="81708544"/>
        <c:scaling>
          <c:orientation val="minMax"/>
        </c:scaling>
        <c:delete val="0"/>
        <c:axPos val="l"/>
        <c:majorGridlines>
          <c:spPr>
            <a:ln w="3175">
              <a:solidFill>
                <a:srgbClr val="000000"/>
              </a:solidFill>
              <a:prstDash val="solid"/>
            </a:ln>
          </c:spPr>
        </c:majorGridlines>
        <c:numFmt formatCode="#,##0\ _*;[Red]\(\ #,##0\ \)_*"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s-ES"/>
          </a:p>
        </c:txPr>
        <c:crossAx val="81702272"/>
        <c:crosses val="autoZero"/>
        <c:crossBetween val="between"/>
      </c:valAx>
      <c:spPr>
        <a:solidFill>
          <a:srgbClr val="D2D9E1"/>
        </a:solidFill>
        <a:ln w="12700">
          <a:solidFill>
            <a:srgbClr val="6B7B8C"/>
          </a:solidFill>
          <a:prstDash val="solid"/>
        </a:ln>
      </c:spPr>
    </c:plotArea>
    <c:legend>
      <c:legendPos val="r"/>
      <c:layout>
        <c:manualLayout>
          <c:xMode val="edge"/>
          <c:yMode val="edge"/>
          <c:x val="0.13753226862066406"/>
          <c:y val="0.90821458911838859"/>
          <c:w val="0.7133680140882136"/>
          <c:h val="7.2464021707432533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Arial"/>
              <a:ea typeface="Arial"/>
              <a:cs typeface="Arial"/>
            </a:defRPr>
          </a:pPr>
          <a:endParaRPr lang="es-ES"/>
        </a:p>
      </c:txPr>
    </c:legend>
    <c:plotVisOnly val="1"/>
    <c:dispBlanksAs val="gap"/>
    <c:showDLblsOverMax val="0"/>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s-ES"/>
    </a:p>
  </c:txPr>
  <c:printSettings>
    <c:headerFooter alignWithMargins="0"/>
    <c:pageMargins b="1" l="0.75000000000001465" r="0.75000000000001465" t="1" header="0" footer="0"/>
    <c:pageSetup paperSize="9" orientation="landscape"/>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INICIO ACTIVIDAD'!A1"/><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hyperlink" Target="#RESULTADOS!A1"/><Relationship Id="rId1" Type="http://schemas.openxmlformats.org/officeDocument/2006/relationships/image" Target="../media/image1.png"/><Relationship Id="rId6" Type="http://schemas.openxmlformats.org/officeDocument/2006/relationships/hyperlink" Target="#'PREVISI&#211;N GASTOS'!A1"/><Relationship Id="rId5" Type="http://schemas.openxmlformats.org/officeDocument/2006/relationships/image" Target="../media/image3.png"/><Relationship Id="rId10" Type="http://schemas.openxmlformats.org/officeDocument/2006/relationships/image" Target="../media/image6.png"/><Relationship Id="rId4" Type="http://schemas.openxmlformats.org/officeDocument/2006/relationships/hyperlink" Target="#'PREVISI&#211;N INGRESOS'!A1"/><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8" Type="http://schemas.openxmlformats.org/officeDocument/2006/relationships/hyperlink" Target="#'P. Equilibrio'!A1"/><Relationship Id="rId13" Type="http://schemas.openxmlformats.org/officeDocument/2006/relationships/hyperlink" Target="#'Datos Evaluaci&#243;n'!A1"/><Relationship Id="rId3" Type="http://schemas.openxmlformats.org/officeDocument/2006/relationships/hyperlink" Target="#'Resumen Ventas 5 a&#241;os'!A1"/><Relationship Id="rId7" Type="http://schemas.openxmlformats.org/officeDocument/2006/relationships/hyperlink" Target="#Plantilla!A1"/><Relationship Id="rId12" Type="http://schemas.openxmlformats.org/officeDocument/2006/relationships/hyperlink" Target="#Pr&#233;stamos!A1"/><Relationship Id="rId1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hyperlink" Target="#Renting!A1"/><Relationship Id="rId1" Type="http://schemas.openxmlformats.org/officeDocument/2006/relationships/hyperlink" Target="#'MEN&#218; PRINCIPAL'!A1"/><Relationship Id="rId6" Type="http://schemas.openxmlformats.org/officeDocument/2006/relationships/hyperlink" Target="#'PyG anuales'!A1"/><Relationship Id="rId11" Type="http://schemas.openxmlformats.org/officeDocument/2006/relationships/hyperlink" Target="#Leasing!A1"/><Relationship Id="rId5" Type="http://schemas.openxmlformats.org/officeDocument/2006/relationships/hyperlink" Target="#'Balances anuales'!A1"/><Relationship Id="rId15" Type="http://schemas.openxmlformats.org/officeDocument/2006/relationships/hyperlink" Target="#'Gastos Financieros'!A1"/><Relationship Id="rId10" Type="http://schemas.openxmlformats.org/officeDocument/2006/relationships/hyperlink" Target="#'Resumen Gastos Fijos'!A1"/><Relationship Id="rId4" Type="http://schemas.openxmlformats.org/officeDocument/2006/relationships/hyperlink" Target="#'Resumen Tesorerias'!A1"/><Relationship Id="rId9" Type="http://schemas.openxmlformats.org/officeDocument/2006/relationships/hyperlink" Target="#'Ratios B&#225;sicos'!A1"/><Relationship Id="rId14" Type="http://schemas.openxmlformats.org/officeDocument/2006/relationships/hyperlink" Target="#Amortizaciones!A1"/></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3.png"/><Relationship Id="rId1" Type="http://schemas.openxmlformats.org/officeDocument/2006/relationships/hyperlink" Target="#'MEN&#218; PRINCIPAL'!A1"/></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4.png"/><Relationship Id="rId1" Type="http://schemas.openxmlformats.org/officeDocument/2006/relationships/hyperlink" Target="#'MEN&#218; PRINCIPAL'!A1"/></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5.png"/><Relationship Id="rId1" Type="http://schemas.openxmlformats.org/officeDocument/2006/relationships/hyperlink" Target="#'MEN&#218; PRINCIPAL'!A1"/></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INICIO ACTIVIDAD'!A1"/></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INICIO ACTIVIDAD'!A1"/></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INICIO ACTIVIDAD'!A1"/></Relationships>
</file>

<file path=xl/drawings/_rels/drawing1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INICIO ACTIVIDAD'!A1"/></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INICIO ACTIVIDAD'!A1"/></Relationships>
</file>

<file path=xl/drawings/_rels/drawing1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INGRESOS'!A1"/></Relationships>
</file>

<file path=xl/drawings/_rels/drawing1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1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1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GASTOS'!A1"/></Relationships>
</file>

<file path=xl/drawings/_rels/drawing1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1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GASTOS'!A1"/></Relationships>
</file>

<file path=xl/drawings/_rels/drawing1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INGRESOS'!A1"/></Relationships>
</file>

<file path=xl/drawings/_rels/drawing2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GASTOS'!A1"/></Relationships>
</file>

<file path=xl/drawings/_rels/drawing2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PREVISI&#211;N INGRESOS'!A1"/></Relationships>
</file>

<file path=xl/drawings/_rels/drawing22.xml.rels><?xml version="1.0" encoding="UTF-8" standalone="yes"?>
<Relationships xmlns="http://schemas.openxmlformats.org/package/2006/relationships"><Relationship Id="rId3" Type="http://schemas.openxmlformats.org/officeDocument/2006/relationships/hyperlink" Target="#RESULTADOS!A1"/><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8.png"/></Relationships>
</file>

<file path=xl/drawings/_rels/drawing2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2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2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30.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hyperlink" Target="#RESULTADOS!A1"/><Relationship Id="rId1" Type="http://schemas.openxmlformats.org/officeDocument/2006/relationships/chart" Target="../charts/chart8.xml"/></Relationships>
</file>

<file path=xl/drawings/_rels/drawing31.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hyperlink" Target="#RESULTADOS!A1"/><Relationship Id="rId1" Type="http://schemas.openxmlformats.org/officeDocument/2006/relationships/chart" Target="../charts/chart9.xml"/></Relationships>
</file>

<file path=xl/drawings/_rels/drawing3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hyperlink" Target="#RESULTADOS!A1"/><Relationship Id="rId1" Type="http://schemas.openxmlformats.org/officeDocument/2006/relationships/chart" Target="../charts/chart10.xml"/></Relationships>
</file>

<file path=xl/drawings/_rels/drawing3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3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_rels/drawing4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hyperlink" Target="#RESULTADOS!A1"/></Relationships>
</file>

<file path=xl/drawings/drawing1.xml><?xml version="1.0" encoding="utf-8"?>
<xdr:wsDr xmlns:xdr="http://schemas.openxmlformats.org/drawingml/2006/spreadsheetDrawing" xmlns:a="http://schemas.openxmlformats.org/drawingml/2006/main">
  <xdr:oneCellAnchor>
    <xdr:from>
      <xdr:col>3</xdr:col>
      <xdr:colOff>390523</xdr:colOff>
      <xdr:row>12</xdr:row>
      <xdr:rowOff>200025</xdr:rowOff>
    </xdr:from>
    <xdr:ext cx="3459155" cy="2305050"/>
    <xdr:pic>
      <xdr:nvPicPr>
        <xdr:cNvPr id="97327" name="Picture 4" descr="MC900297169[1]">
          <a:extLst>
            <a:ext uri="{FF2B5EF4-FFF2-40B4-BE49-F238E27FC236}">
              <a16:creationId xmlns:a16="http://schemas.microsoft.com/office/drawing/2014/main" id="{00000000-0008-0000-0000-00002F7C0100}"/>
            </a:ext>
          </a:extLst>
        </xdr:cNvPr>
        <xdr:cNvPicPr>
          <a:picLocks noChangeAspect="1" noChangeArrowheads="1"/>
        </xdr:cNvPicPr>
      </xdr:nvPicPr>
      <xdr:blipFill rotWithShape="1">
        <a:blip xmlns:r="http://schemas.openxmlformats.org/officeDocument/2006/relationships" r:embed="rId1" cstate="print"/>
        <a:srcRect l="4586" t="60578" r="4044"/>
        <a:stretch/>
      </xdr:blipFill>
      <xdr:spPr bwMode="auto">
        <a:xfrm>
          <a:off x="8420098" y="3419475"/>
          <a:ext cx="3459155" cy="230505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oneCellAnchor>
  <xdr:oneCellAnchor>
    <xdr:from>
      <xdr:col>3</xdr:col>
      <xdr:colOff>1629411</xdr:colOff>
      <xdr:row>5</xdr:row>
      <xdr:rowOff>172085</xdr:rowOff>
    </xdr:from>
    <xdr:ext cx="643890" cy="930064"/>
    <xdr:pic>
      <xdr:nvPicPr>
        <xdr:cNvPr id="97341" name="Picture 8" descr="MC900287310[1]">
          <a:hlinkClick xmlns:r="http://schemas.openxmlformats.org/officeDocument/2006/relationships" r:id="rId2"/>
          <a:extLst>
            <a:ext uri="{FF2B5EF4-FFF2-40B4-BE49-F238E27FC236}">
              <a16:creationId xmlns:a16="http://schemas.microsoft.com/office/drawing/2014/main" id="{00000000-0008-0000-0000-00003D7C01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58986" y="1696085"/>
          <a:ext cx="643890" cy="930064"/>
        </a:xfrm>
        <a:prstGeom prst="rect">
          <a:avLst/>
        </a:prstGeom>
        <a:noFill/>
        <a:ln w="9525">
          <a:noFill/>
          <a:miter lim="800000"/>
          <a:headEnd/>
          <a:tailEnd/>
        </a:ln>
        <a:effectLst>
          <a:outerShdw dist="107763" dir="2700000" algn="ctr" rotWithShape="0">
            <a:srgbClr val="808080">
              <a:alpha val="50000"/>
            </a:srgbClr>
          </a:outerShdw>
        </a:effectLst>
      </xdr:spPr>
    </xdr:pic>
    <xdr:clientData/>
  </xdr:oneCellAnchor>
  <xdr:oneCellAnchor>
    <xdr:from>
      <xdr:col>2</xdr:col>
      <xdr:colOff>1346730</xdr:colOff>
      <xdr:row>9</xdr:row>
      <xdr:rowOff>8997</xdr:rowOff>
    </xdr:from>
    <xdr:ext cx="681038" cy="619125"/>
    <xdr:pic>
      <xdr:nvPicPr>
        <xdr:cNvPr id="97338" name="Picture 5" descr="MC900279118[1]">
          <a:hlinkClick xmlns:r="http://schemas.openxmlformats.org/officeDocument/2006/relationships" r:id="rId4"/>
          <a:extLst>
            <a:ext uri="{FF2B5EF4-FFF2-40B4-BE49-F238E27FC236}">
              <a16:creationId xmlns:a16="http://schemas.microsoft.com/office/drawing/2014/main" id="{00000000-0008-0000-0000-00003A7C01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7128405" y="2399772"/>
          <a:ext cx="681038" cy="619125"/>
        </a:xfrm>
        <a:prstGeom prst="rect">
          <a:avLst/>
        </a:prstGeom>
        <a:noFill/>
        <a:ln w="9525">
          <a:noFill/>
          <a:miter lim="800000"/>
          <a:headEnd/>
          <a:tailEnd/>
        </a:ln>
        <a:effectLst>
          <a:outerShdw dist="107763" dir="2700000" algn="ctr" rotWithShape="0">
            <a:srgbClr val="808080">
              <a:alpha val="50000"/>
            </a:srgbClr>
          </a:outerShdw>
        </a:effectLst>
      </xdr:spPr>
    </xdr:pic>
    <xdr:clientData/>
  </xdr:oneCellAnchor>
  <xdr:oneCellAnchor>
    <xdr:from>
      <xdr:col>1</xdr:col>
      <xdr:colOff>777663</xdr:colOff>
      <xdr:row>10</xdr:row>
      <xdr:rowOff>152135</xdr:rowOff>
    </xdr:from>
    <xdr:ext cx="817245" cy="681038"/>
    <xdr:pic>
      <xdr:nvPicPr>
        <xdr:cNvPr id="97339" name="Picture 6" descr="MC900280328[1]">
          <a:hlinkClick xmlns:r="http://schemas.openxmlformats.org/officeDocument/2006/relationships" r:id="rId6"/>
          <a:extLst>
            <a:ext uri="{FF2B5EF4-FFF2-40B4-BE49-F238E27FC236}">
              <a16:creationId xmlns:a16="http://schemas.microsoft.com/office/drawing/2014/main" id="{00000000-0008-0000-0000-00003B7C0100}"/>
            </a:ext>
          </a:extLst>
        </xdr:cNvPr>
        <xdr:cNvPicPr>
          <a:picLocks noChangeAspect="1" noChangeArrowheads="1"/>
        </xdr:cNvPicPr>
      </xdr:nvPicPr>
      <xdr:blipFill>
        <a:blip xmlns:r="http://schemas.openxmlformats.org/officeDocument/2006/relationships" r:embed="rId7" cstate="print"/>
        <a:srcRect/>
        <a:stretch>
          <a:fillRect/>
        </a:stretch>
      </xdr:blipFill>
      <xdr:spPr bwMode="auto">
        <a:xfrm>
          <a:off x="4835313" y="2781035"/>
          <a:ext cx="817245" cy="681038"/>
        </a:xfrm>
        <a:prstGeom prst="rect">
          <a:avLst/>
        </a:prstGeom>
        <a:noFill/>
        <a:ln w="9525">
          <a:noFill/>
          <a:miter lim="800000"/>
          <a:headEnd/>
          <a:tailEnd/>
        </a:ln>
        <a:effectLst>
          <a:outerShdw dist="107763" dir="2700000" algn="ctr" rotWithShape="0">
            <a:srgbClr val="808080">
              <a:alpha val="50000"/>
            </a:srgbClr>
          </a:outerShdw>
        </a:effectLst>
      </xdr:spPr>
    </xdr:pic>
    <xdr:clientData/>
  </xdr:oneCellAnchor>
  <xdr:oneCellAnchor>
    <xdr:from>
      <xdr:col>0</xdr:col>
      <xdr:colOff>3277974</xdr:colOff>
      <xdr:row>12</xdr:row>
      <xdr:rowOff>188172</xdr:rowOff>
    </xdr:from>
    <xdr:ext cx="631508" cy="643890"/>
    <xdr:pic>
      <xdr:nvPicPr>
        <xdr:cNvPr id="97340" name="Picture 7" descr="MC900432552[1]">
          <a:hlinkClick xmlns:r="http://schemas.openxmlformats.org/officeDocument/2006/relationships" r:id="rId8"/>
          <a:extLst>
            <a:ext uri="{FF2B5EF4-FFF2-40B4-BE49-F238E27FC236}">
              <a16:creationId xmlns:a16="http://schemas.microsoft.com/office/drawing/2014/main" id="{00000000-0008-0000-0000-00003C7C0100}"/>
            </a:ext>
          </a:extLst>
        </xdr:cNvPr>
        <xdr:cNvPicPr>
          <a:picLocks noChangeAspect="1" noChangeArrowheads="1"/>
        </xdr:cNvPicPr>
      </xdr:nvPicPr>
      <xdr:blipFill>
        <a:blip xmlns:r="http://schemas.openxmlformats.org/officeDocument/2006/relationships" r:embed="rId9" cstate="print"/>
        <a:srcRect/>
        <a:stretch>
          <a:fillRect/>
        </a:stretch>
      </xdr:blipFill>
      <xdr:spPr bwMode="auto">
        <a:xfrm>
          <a:off x="3277974" y="3283797"/>
          <a:ext cx="631508" cy="643890"/>
        </a:xfrm>
        <a:prstGeom prst="rect">
          <a:avLst/>
        </a:prstGeom>
        <a:noFill/>
        <a:ln w="9525">
          <a:noFill/>
          <a:miter lim="800000"/>
          <a:headEnd/>
          <a:tailEnd/>
        </a:ln>
        <a:effectLst>
          <a:outerShdw dist="107763" dir="2700000" algn="ctr" rotWithShape="0">
            <a:srgbClr val="808080">
              <a:alpha val="50000"/>
            </a:srgbClr>
          </a:outerShdw>
        </a:effectLst>
      </xdr:spPr>
    </xdr:pic>
    <xdr:clientData/>
  </xdr:oneCellAnchor>
  <xdr:twoCellAnchor editAs="oneCell">
    <xdr:from>
      <xdr:col>0</xdr:col>
      <xdr:colOff>219074</xdr:colOff>
      <xdr:row>2</xdr:row>
      <xdr:rowOff>171449</xdr:rowOff>
    </xdr:from>
    <xdr:to>
      <xdr:col>0</xdr:col>
      <xdr:colOff>3600450</xdr:colOff>
      <xdr:row>12</xdr:row>
      <xdr:rowOff>218975</xdr:rowOff>
    </xdr:to>
    <xdr:pic>
      <xdr:nvPicPr>
        <xdr:cNvPr id="3" name="Imagen 2">
          <a:extLst>
            <a:ext uri="{FF2B5EF4-FFF2-40B4-BE49-F238E27FC236}">
              <a16:creationId xmlns:a16="http://schemas.microsoft.com/office/drawing/2014/main" id="{584F1EB2-7BAD-4819-BC5C-69E2FD76447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19074" y="657224"/>
          <a:ext cx="3381376" cy="27812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19050</xdr:rowOff>
    </xdr:from>
    <xdr:ext cx="643890" cy="916305"/>
    <xdr:pic>
      <xdr:nvPicPr>
        <xdr:cNvPr id="1542329" name="Picture 8" descr="MC900287310[1]">
          <a:hlinkClick xmlns:r="http://schemas.openxmlformats.org/officeDocument/2006/relationships" r:id="rId1" tooltip=" "/>
          <a:extLst>
            <a:ext uri="{FF2B5EF4-FFF2-40B4-BE49-F238E27FC236}">
              <a16:creationId xmlns:a16="http://schemas.microsoft.com/office/drawing/2014/main" id="{00000000-0008-0000-0100-0000B98817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3350" y="19050"/>
          <a:ext cx="643890" cy="916305"/>
        </a:xfrm>
        <a:prstGeom prst="rect">
          <a:avLst/>
        </a:prstGeom>
        <a:noFill/>
        <a:ln w="9525">
          <a:noFill/>
          <a:miter lim="800000"/>
          <a:headEnd/>
          <a:tailEnd/>
        </a:ln>
      </xdr:spPr>
    </xdr:pic>
    <xdr:clientData/>
  </xdr:oneCellAnchor>
  <xdr:twoCellAnchor>
    <xdr:from>
      <xdr:col>7</xdr:col>
      <xdr:colOff>0</xdr:colOff>
      <xdr:row>19</xdr:row>
      <xdr:rowOff>95250</xdr:rowOff>
    </xdr:from>
    <xdr:to>
      <xdr:col>7</xdr:col>
      <xdr:colOff>0</xdr:colOff>
      <xdr:row>28</xdr:row>
      <xdr:rowOff>24109</xdr:rowOff>
    </xdr:to>
    <xdr:sp macro="" textlink="">
      <xdr:nvSpPr>
        <xdr:cNvPr id="93255" name="Text Box 71">
          <a:hlinkClick xmlns:r="http://schemas.openxmlformats.org/officeDocument/2006/relationships" r:id="rId3"/>
          <a:extLst>
            <a:ext uri="{FF2B5EF4-FFF2-40B4-BE49-F238E27FC236}">
              <a16:creationId xmlns:a16="http://schemas.microsoft.com/office/drawing/2014/main" id="{00000000-0008-0000-0100-0000476C0100}"/>
            </a:ext>
          </a:extLst>
        </xdr:cNvPr>
        <xdr:cNvSpPr txBox="1">
          <a:spLocks noChangeArrowheads="1"/>
        </xdr:cNvSpPr>
      </xdr:nvSpPr>
      <xdr:spPr bwMode="auto">
        <a:xfrm>
          <a:off x="9553575" y="3257550"/>
          <a:ext cx="0" cy="38100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RESUMEN VENTAS 5 AÑOS</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42</xdr:row>
      <xdr:rowOff>127187</xdr:rowOff>
    </xdr:from>
    <xdr:to>
      <xdr:col>7</xdr:col>
      <xdr:colOff>0</xdr:colOff>
      <xdr:row>43</xdr:row>
      <xdr:rowOff>184336</xdr:rowOff>
    </xdr:to>
    <xdr:sp macro="" textlink="">
      <xdr:nvSpPr>
        <xdr:cNvPr id="93256" name="Text Box 72">
          <a:hlinkClick xmlns:r="http://schemas.openxmlformats.org/officeDocument/2006/relationships" r:id="rId4"/>
          <a:extLst>
            <a:ext uri="{FF2B5EF4-FFF2-40B4-BE49-F238E27FC236}">
              <a16:creationId xmlns:a16="http://schemas.microsoft.com/office/drawing/2014/main" id="{00000000-0008-0000-0100-0000486C0100}"/>
            </a:ext>
          </a:extLst>
        </xdr:cNvPr>
        <xdr:cNvSpPr txBox="1">
          <a:spLocks noChangeArrowheads="1"/>
        </xdr:cNvSpPr>
      </xdr:nvSpPr>
      <xdr:spPr bwMode="auto">
        <a:xfrm>
          <a:off x="9553575" y="6257925"/>
          <a:ext cx="0" cy="28575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TESORERÍAS MENSUALES</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30</xdr:row>
      <xdr:rowOff>79562</xdr:rowOff>
    </xdr:from>
    <xdr:to>
      <xdr:col>7</xdr:col>
      <xdr:colOff>0</xdr:colOff>
      <xdr:row>34</xdr:row>
      <xdr:rowOff>98665</xdr:rowOff>
    </xdr:to>
    <xdr:sp macro="" textlink="">
      <xdr:nvSpPr>
        <xdr:cNvPr id="93257" name="Text Box 73">
          <a:hlinkClick xmlns:r="http://schemas.openxmlformats.org/officeDocument/2006/relationships" r:id="rId5"/>
          <a:extLst>
            <a:ext uri="{FF2B5EF4-FFF2-40B4-BE49-F238E27FC236}">
              <a16:creationId xmlns:a16="http://schemas.microsoft.com/office/drawing/2014/main" id="{00000000-0008-0000-0100-0000496C0100}"/>
            </a:ext>
          </a:extLst>
        </xdr:cNvPr>
        <xdr:cNvSpPr txBox="1">
          <a:spLocks noChangeArrowheads="1"/>
        </xdr:cNvSpPr>
      </xdr:nvSpPr>
      <xdr:spPr bwMode="auto">
        <a:xfrm>
          <a:off x="9553575" y="4152900"/>
          <a:ext cx="0" cy="714375"/>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BALANCES ANUALES PREVISIONEALES: COMPARATIVA</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36</xdr:row>
      <xdr:rowOff>31937</xdr:rowOff>
    </xdr:from>
    <xdr:to>
      <xdr:col>7</xdr:col>
      <xdr:colOff>0</xdr:colOff>
      <xdr:row>41</xdr:row>
      <xdr:rowOff>79638</xdr:rowOff>
    </xdr:to>
    <xdr:sp macro="" textlink="">
      <xdr:nvSpPr>
        <xdr:cNvPr id="93258" name="Text Box 74">
          <a:hlinkClick xmlns:r="http://schemas.openxmlformats.org/officeDocument/2006/relationships" r:id="rId6"/>
          <a:extLst>
            <a:ext uri="{FF2B5EF4-FFF2-40B4-BE49-F238E27FC236}">
              <a16:creationId xmlns:a16="http://schemas.microsoft.com/office/drawing/2014/main" id="{00000000-0008-0000-0100-00004A6C0100}"/>
            </a:ext>
          </a:extLst>
        </xdr:cNvPr>
        <xdr:cNvSpPr txBox="1">
          <a:spLocks noChangeArrowheads="1"/>
        </xdr:cNvSpPr>
      </xdr:nvSpPr>
      <xdr:spPr bwMode="auto">
        <a:xfrm>
          <a:off x="9553575" y="5257800"/>
          <a:ext cx="0" cy="72390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1">
            <a:defRPr sz="1000"/>
          </a:pPr>
          <a:r>
            <a:rPr lang="es-ES" sz="1400" b="1" i="0" strike="noStrike">
              <a:solidFill>
                <a:srgbClr val="0000FF"/>
              </a:solidFill>
              <a:latin typeface="Arial"/>
              <a:cs typeface="Arial"/>
            </a:rPr>
            <a:t>CUENTAS DE RESULTADOS: COMPARATIVA</a:t>
          </a:r>
        </a:p>
      </xdr:txBody>
    </xdr:sp>
    <xdr:clientData/>
  </xdr:twoCellAnchor>
  <xdr:twoCellAnchor>
    <xdr:from>
      <xdr:col>7</xdr:col>
      <xdr:colOff>0</xdr:colOff>
      <xdr:row>8</xdr:row>
      <xdr:rowOff>200025</xdr:rowOff>
    </xdr:from>
    <xdr:to>
      <xdr:col>7</xdr:col>
      <xdr:colOff>0</xdr:colOff>
      <xdr:row>10</xdr:row>
      <xdr:rowOff>123825</xdr:rowOff>
    </xdr:to>
    <xdr:sp macro="" textlink="">
      <xdr:nvSpPr>
        <xdr:cNvPr id="93259" name="Text Box 75">
          <a:hlinkClick xmlns:r="http://schemas.openxmlformats.org/officeDocument/2006/relationships" r:id="rId7"/>
          <a:extLst>
            <a:ext uri="{FF2B5EF4-FFF2-40B4-BE49-F238E27FC236}">
              <a16:creationId xmlns:a16="http://schemas.microsoft.com/office/drawing/2014/main" id="{00000000-0008-0000-0100-00004B6C0100}"/>
            </a:ext>
          </a:extLst>
        </xdr:cNvPr>
        <xdr:cNvSpPr txBox="1">
          <a:spLocks noChangeArrowheads="1"/>
        </xdr:cNvSpPr>
      </xdr:nvSpPr>
      <xdr:spPr bwMode="auto">
        <a:xfrm>
          <a:off x="9553575" y="1533525"/>
          <a:ext cx="0" cy="38100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1">
            <a:defRPr sz="1000"/>
          </a:pPr>
          <a:r>
            <a:rPr lang="es-ES" sz="1400" b="1" i="0" strike="noStrike">
              <a:solidFill>
                <a:srgbClr val="0000FF"/>
              </a:solidFill>
              <a:latin typeface="Arial"/>
              <a:cs typeface="Arial"/>
            </a:rPr>
            <a:t>PLANTILLA</a:t>
          </a:r>
          <a:endParaRPr lang="es-ES" sz="1400" b="1" i="0" strike="noStrike">
            <a:solidFill>
              <a:srgbClr val="993366"/>
            </a:solidFill>
            <a:latin typeface="Arial"/>
            <a:cs typeface="Arial"/>
          </a:endParaRPr>
        </a:p>
        <a:p>
          <a:pPr algn="ctr" rtl="1">
            <a:defRPr sz="1000"/>
          </a:pPr>
          <a:endParaRPr lang="es-ES" sz="1400" b="1" i="0" strike="noStrike">
            <a:solidFill>
              <a:srgbClr val="993366"/>
            </a:solidFill>
            <a:latin typeface="Arial"/>
            <a:cs typeface="Arial"/>
          </a:endParaRPr>
        </a:p>
      </xdr:txBody>
    </xdr:sp>
    <xdr:clientData/>
  </xdr:twoCellAnchor>
  <xdr:twoCellAnchor>
    <xdr:from>
      <xdr:col>7</xdr:col>
      <xdr:colOff>0</xdr:colOff>
      <xdr:row>46</xdr:row>
      <xdr:rowOff>127186</xdr:rowOff>
    </xdr:from>
    <xdr:to>
      <xdr:col>7</xdr:col>
      <xdr:colOff>0</xdr:colOff>
      <xdr:row>48</xdr:row>
      <xdr:rowOff>155762</xdr:rowOff>
    </xdr:to>
    <xdr:sp macro="" textlink="">
      <xdr:nvSpPr>
        <xdr:cNvPr id="93260" name="Text Box 76">
          <a:hlinkClick xmlns:r="http://schemas.openxmlformats.org/officeDocument/2006/relationships" r:id="rId8"/>
          <a:extLst>
            <a:ext uri="{FF2B5EF4-FFF2-40B4-BE49-F238E27FC236}">
              <a16:creationId xmlns:a16="http://schemas.microsoft.com/office/drawing/2014/main" id="{00000000-0008-0000-0100-00004C6C0100}"/>
            </a:ext>
          </a:extLst>
        </xdr:cNvPr>
        <xdr:cNvSpPr txBox="1">
          <a:spLocks noChangeArrowheads="1"/>
        </xdr:cNvSpPr>
      </xdr:nvSpPr>
      <xdr:spPr bwMode="auto">
        <a:xfrm>
          <a:off x="9553575" y="7172325"/>
          <a:ext cx="0" cy="485775"/>
        </a:xfrm>
        <a:prstGeom prst="rect">
          <a:avLst/>
        </a:prstGeom>
        <a:solidFill>
          <a:srgbClr val="FFFFFF">
            <a:alpha val="70000"/>
          </a:srgbClr>
        </a:solidFill>
        <a:ln w="9525" algn="ctr">
          <a:noFill/>
          <a:miter lim="800000"/>
          <a:headEnd/>
          <a:tailEnd/>
        </a:ln>
        <a:effectLst>
          <a:outerShdw sy="50000" kx="-2453608" rotWithShape="0">
            <a:srgbClr val="808080">
              <a:alpha val="50000"/>
            </a:srgbClr>
          </a:outer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ESTIMACIÓN DEL PUNTO DE EQUILIBRIO</a:t>
          </a:r>
        </a:p>
        <a:p>
          <a:pPr algn="ctr" rtl="0">
            <a:defRPr sz="1000"/>
          </a:pPr>
          <a:endParaRPr lang="es-ES" sz="1400" b="1" i="0" strike="noStrike">
            <a:solidFill>
              <a:srgbClr val="0000FF"/>
            </a:solidFill>
            <a:latin typeface="Arial"/>
            <a:cs typeface="Arial"/>
          </a:endParaRPr>
        </a:p>
        <a:p>
          <a:pPr algn="ctr" rtl="0">
            <a:defRPr sz="1000"/>
          </a:pPr>
          <a:endParaRPr lang="es-ES" sz="1400" b="1" i="0" strike="noStrike">
            <a:solidFill>
              <a:srgbClr val="0000FF"/>
            </a:solidFill>
            <a:latin typeface="Arial"/>
            <a:cs typeface="Arial"/>
          </a:endParaRPr>
        </a:p>
      </xdr:txBody>
    </xdr:sp>
    <xdr:clientData/>
  </xdr:twoCellAnchor>
  <xdr:twoCellAnchor>
    <xdr:from>
      <xdr:col>7</xdr:col>
      <xdr:colOff>0</xdr:colOff>
      <xdr:row>54</xdr:row>
      <xdr:rowOff>19610</xdr:rowOff>
    </xdr:from>
    <xdr:to>
      <xdr:col>7</xdr:col>
      <xdr:colOff>0</xdr:colOff>
      <xdr:row>55</xdr:row>
      <xdr:rowOff>99579</xdr:rowOff>
    </xdr:to>
    <xdr:sp macro="" textlink="">
      <xdr:nvSpPr>
        <xdr:cNvPr id="93261" name="Text Box 77">
          <a:hlinkClick xmlns:r="http://schemas.openxmlformats.org/officeDocument/2006/relationships" r:id="rId9"/>
          <a:extLst>
            <a:ext uri="{FF2B5EF4-FFF2-40B4-BE49-F238E27FC236}">
              <a16:creationId xmlns:a16="http://schemas.microsoft.com/office/drawing/2014/main" id="{00000000-0008-0000-0100-00004D6C0100}"/>
            </a:ext>
          </a:extLst>
        </xdr:cNvPr>
        <xdr:cNvSpPr txBox="1">
          <a:spLocks noChangeArrowheads="1"/>
        </xdr:cNvSpPr>
      </xdr:nvSpPr>
      <xdr:spPr bwMode="auto">
        <a:xfrm>
          <a:off x="9553575" y="8829675"/>
          <a:ext cx="0" cy="285750"/>
        </a:xfrm>
        <a:prstGeom prst="rect">
          <a:avLst/>
        </a:prstGeom>
        <a:solidFill>
          <a:srgbClr val="FFFFFF">
            <a:alpha val="70000"/>
          </a:srgbClr>
        </a:solidFill>
        <a:ln w="9525" algn="ctr">
          <a:noFill/>
          <a:miter lim="800000"/>
          <a:headEnd/>
          <a:tailEnd/>
        </a:ln>
        <a:effectLst>
          <a:outerShdw sy="50000" kx="-2453608" rotWithShape="0">
            <a:srgbClr val="808080">
              <a:alpha val="50000"/>
            </a:srgbClr>
          </a:outerShdw>
        </a:effectLst>
      </xdr:spPr>
      <xdr:txBody>
        <a:bodyPr vertOverflow="clip" wrap="square" lIns="36576" tIns="27432" rIns="36576" bIns="0" anchor="t" upright="1"/>
        <a:lstStyle/>
        <a:p>
          <a:pPr algn="ctr" rtl="1">
            <a:defRPr sz="1000"/>
          </a:pPr>
          <a:r>
            <a:rPr lang="es-ES" sz="1400" b="1" i="0" strike="noStrike">
              <a:solidFill>
                <a:srgbClr val="0000FF"/>
              </a:solidFill>
              <a:latin typeface="Arial"/>
              <a:cs typeface="Arial"/>
            </a:rPr>
            <a:t>RATIOS BÁSICOS</a:t>
          </a:r>
        </a:p>
      </xdr:txBody>
    </xdr:sp>
    <xdr:clientData/>
  </xdr:twoCellAnchor>
  <xdr:twoCellAnchor>
    <xdr:from>
      <xdr:col>7</xdr:col>
      <xdr:colOff>0</xdr:colOff>
      <xdr:row>57</xdr:row>
      <xdr:rowOff>115420</xdr:rowOff>
    </xdr:from>
    <xdr:to>
      <xdr:col>7</xdr:col>
      <xdr:colOff>0</xdr:colOff>
      <xdr:row>59</xdr:row>
      <xdr:rowOff>1120</xdr:rowOff>
    </xdr:to>
    <xdr:sp macro="" textlink="">
      <xdr:nvSpPr>
        <xdr:cNvPr id="93262" name="Text Box 78">
          <a:hlinkClick xmlns:r="http://schemas.openxmlformats.org/officeDocument/2006/relationships" r:id="rId10"/>
          <a:extLst>
            <a:ext uri="{FF2B5EF4-FFF2-40B4-BE49-F238E27FC236}">
              <a16:creationId xmlns:a16="http://schemas.microsoft.com/office/drawing/2014/main" id="{00000000-0008-0000-0100-00004E6C0100}"/>
            </a:ext>
          </a:extLst>
        </xdr:cNvPr>
        <xdr:cNvSpPr txBox="1">
          <a:spLocks noChangeArrowheads="1"/>
        </xdr:cNvSpPr>
      </xdr:nvSpPr>
      <xdr:spPr bwMode="auto">
        <a:xfrm>
          <a:off x="9553575" y="9525000"/>
          <a:ext cx="0" cy="28575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RESUMEN GASTOS FIJOS</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27</xdr:row>
      <xdr:rowOff>22412</xdr:rowOff>
    </xdr:from>
    <xdr:to>
      <xdr:col>7</xdr:col>
      <xdr:colOff>0</xdr:colOff>
      <xdr:row>28</xdr:row>
      <xdr:rowOff>89261</xdr:rowOff>
    </xdr:to>
    <xdr:sp macro="" textlink="">
      <xdr:nvSpPr>
        <xdr:cNvPr id="93263" name="Text Box 79">
          <a:hlinkClick xmlns:r="http://schemas.openxmlformats.org/officeDocument/2006/relationships" r:id="rId11"/>
          <a:extLst>
            <a:ext uri="{FF2B5EF4-FFF2-40B4-BE49-F238E27FC236}">
              <a16:creationId xmlns:a16="http://schemas.microsoft.com/office/drawing/2014/main" id="{00000000-0008-0000-0100-00004F6C0100}"/>
            </a:ext>
          </a:extLst>
        </xdr:cNvPr>
        <xdr:cNvSpPr txBox="1">
          <a:spLocks noChangeArrowheads="1"/>
        </xdr:cNvSpPr>
      </xdr:nvSpPr>
      <xdr:spPr bwMode="auto">
        <a:xfrm>
          <a:off x="9553575" y="3419475"/>
          <a:ext cx="0" cy="28575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LEASING</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10</xdr:row>
      <xdr:rowOff>76200</xdr:rowOff>
    </xdr:from>
    <xdr:to>
      <xdr:col>7</xdr:col>
      <xdr:colOff>0</xdr:colOff>
      <xdr:row>18</xdr:row>
      <xdr:rowOff>133350</xdr:rowOff>
    </xdr:to>
    <xdr:sp macro="" textlink="">
      <xdr:nvSpPr>
        <xdr:cNvPr id="93264" name="Text Box 80">
          <a:hlinkClick xmlns:r="http://schemas.openxmlformats.org/officeDocument/2006/relationships" r:id="rId12"/>
          <a:extLst>
            <a:ext uri="{FF2B5EF4-FFF2-40B4-BE49-F238E27FC236}">
              <a16:creationId xmlns:a16="http://schemas.microsoft.com/office/drawing/2014/main" id="{00000000-0008-0000-0100-0000506C0100}"/>
            </a:ext>
          </a:extLst>
        </xdr:cNvPr>
        <xdr:cNvSpPr txBox="1">
          <a:spLocks noChangeArrowheads="1"/>
        </xdr:cNvSpPr>
      </xdr:nvSpPr>
      <xdr:spPr bwMode="auto">
        <a:xfrm>
          <a:off x="9553575" y="1866900"/>
          <a:ext cx="0" cy="120015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PRÉSTAMOS</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50</xdr:row>
      <xdr:rowOff>117662</xdr:rowOff>
    </xdr:from>
    <xdr:to>
      <xdr:col>7</xdr:col>
      <xdr:colOff>0</xdr:colOff>
      <xdr:row>51</xdr:row>
      <xdr:rowOff>163451</xdr:rowOff>
    </xdr:to>
    <xdr:sp macro="" textlink="">
      <xdr:nvSpPr>
        <xdr:cNvPr id="93265" name="Text Box 81">
          <a:hlinkClick xmlns:r="http://schemas.openxmlformats.org/officeDocument/2006/relationships" r:id="rId13"/>
          <a:extLst>
            <a:ext uri="{FF2B5EF4-FFF2-40B4-BE49-F238E27FC236}">
              <a16:creationId xmlns:a16="http://schemas.microsoft.com/office/drawing/2014/main" id="{00000000-0008-0000-0100-0000516C0100}"/>
            </a:ext>
          </a:extLst>
        </xdr:cNvPr>
        <xdr:cNvSpPr txBox="1">
          <a:spLocks noChangeArrowheads="1"/>
        </xdr:cNvSpPr>
      </xdr:nvSpPr>
      <xdr:spPr bwMode="auto">
        <a:xfrm>
          <a:off x="9553575" y="8077200"/>
          <a:ext cx="0" cy="285750"/>
        </a:xfrm>
        <a:prstGeom prst="rect">
          <a:avLst/>
        </a:prstGeom>
        <a:solidFill>
          <a:srgbClr val="FFFFFF">
            <a:alpha val="70000"/>
          </a:srgbClr>
        </a:solidFill>
        <a:ln w="9525" algn="ctr">
          <a:noFill/>
          <a:miter lim="800000"/>
          <a:headEnd/>
          <a:tailEnd/>
        </a:ln>
        <a:effectLst>
          <a:outerShdw sy="50000" kx="-2453608" rotWithShape="0">
            <a:srgbClr val="808080">
              <a:alpha val="50000"/>
            </a:srgbClr>
          </a:outerShdw>
        </a:effectLst>
      </xdr:spPr>
      <xdr:txBody>
        <a:bodyPr vertOverflow="clip" wrap="square" lIns="36576" tIns="27432" rIns="36576" bIns="0" anchor="t" upright="1"/>
        <a:lstStyle/>
        <a:p>
          <a:pPr algn="ctr" rtl="1">
            <a:defRPr sz="1000"/>
          </a:pPr>
          <a:r>
            <a:rPr lang="es-ES" sz="1400" b="1" i="0" strike="noStrike">
              <a:solidFill>
                <a:srgbClr val="0000FF"/>
              </a:solidFill>
              <a:latin typeface="Arial"/>
              <a:cs typeface="Arial"/>
            </a:rPr>
            <a:t>DATOS EVALUACIÓN</a:t>
          </a:r>
        </a:p>
        <a:p>
          <a:pPr algn="ctr" rtl="1">
            <a:defRPr sz="1000"/>
          </a:pPr>
          <a:endParaRPr lang="es-ES" sz="1400" b="1" i="0" strike="noStrike">
            <a:solidFill>
              <a:srgbClr val="0000FF"/>
            </a:solidFill>
            <a:latin typeface="Arial"/>
            <a:cs typeface="Arial"/>
          </a:endParaRPr>
        </a:p>
      </xdr:txBody>
    </xdr:sp>
    <xdr:clientData/>
  </xdr:twoCellAnchor>
  <xdr:twoCellAnchor>
    <xdr:from>
      <xdr:col>7</xdr:col>
      <xdr:colOff>0</xdr:colOff>
      <xdr:row>48</xdr:row>
      <xdr:rowOff>174812</xdr:rowOff>
    </xdr:from>
    <xdr:to>
      <xdr:col>7</xdr:col>
      <xdr:colOff>0</xdr:colOff>
      <xdr:row>51</xdr:row>
      <xdr:rowOff>11133</xdr:rowOff>
    </xdr:to>
    <xdr:sp macro="" textlink="">
      <xdr:nvSpPr>
        <xdr:cNvPr id="93266" name="Text Box 82">
          <a:hlinkClick xmlns:r="http://schemas.openxmlformats.org/officeDocument/2006/relationships" r:id="rId14"/>
          <a:extLst>
            <a:ext uri="{FF2B5EF4-FFF2-40B4-BE49-F238E27FC236}">
              <a16:creationId xmlns:a16="http://schemas.microsoft.com/office/drawing/2014/main" id="{00000000-0008-0000-0100-0000526C0100}"/>
            </a:ext>
          </a:extLst>
        </xdr:cNvPr>
        <xdr:cNvSpPr txBox="1">
          <a:spLocks noChangeArrowheads="1"/>
        </xdr:cNvSpPr>
      </xdr:nvSpPr>
      <xdr:spPr bwMode="auto">
        <a:xfrm>
          <a:off x="9553575" y="7677150"/>
          <a:ext cx="0" cy="53340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CUADRO AMORTIZACIONES INMOVILIZADO</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52</xdr:row>
      <xdr:rowOff>127187</xdr:rowOff>
    </xdr:from>
    <xdr:to>
      <xdr:col>7</xdr:col>
      <xdr:colOff>0</xdr:colOff>
      <xdr:row>55</xdr:row>
      <xdr:rowOff>80590</xdr:rowOff>
    </xdr:to>
    <xdr:sp macro="" textlink="">
      <xdr:nvSpPr>
        <xdr:cNvPr id="93267" name="Text Box 83">
          <a:hlinkClick xmlns:r="http://schemas.openxmlformats.org/officeDocument/2006/relationships" r:id="rId15"/>
          <a:extLst>
            <a:ext uri="{FF2B5EF4-FFF2-40B4-BE49-F238E27FC236}">
              <a16:creationId xmlns:a16="http://schemas.microsoft.com/office/drawing/2014/main" id="{00000000-0008-0000-0100-0000536C0100}"/>
            </a:ext>
          </a:extLst>
        </xdr:cNvPr>
        <xdr:cNvSpPr txBox="1">
          <a:spLocks noChangeArrowheads="1"/>
        </xdr:cNvSpPr>
      </xdr:nvSpPr>
      <xdr:spPr bwMode="auto">
        <a:xfrm>
          <a:off x="9553575" y="8534400"/>
          <a:ext cx="0" cy="561975"/>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INGRESOS Y GASTOS FINANCIEROS</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twoCellAnchor>
    <xdr:from>
      <xdr:col>7</xdr:col>
      <xdr:colOff>0</xdr:colOff>
      <xdr:row>29</xdr:row>
      <xdr:rowOff>203387</xdr:rowOff>
    </xdr:from>
    <xdr:to>
      <xdr:col>7</xdr:col>
      <xdr:colOff>0</xdr:colOff>
      <xdr:row>31</xdr:row>
      <xdr:rowOff>31937</xdr:rowOff>
    </xdr:to>
    <xdr:sp macro="" textlink="">
      <xdr:nvSpPr>
        <xdr:cNvPr id="93268" name="Text Box 84">
          <a:hlinkClick xmlns:r="http://schemas.openxmlformats.org/officeDocument/2006/relationships" r:id="rId16"/>
          <a:extLst>
            <a:ext uri="{FF2B5EF4-FFF2-40B4-BE49-F238E27FC236}">
              <a16:creationId xmlns:a16="http://schemas.microsoft.com/office/drawing/2014/main" id="{00000000-0008-0000-0100-0000546C0100}"/>
            </a:ext>
          </a:extLst>
        </xdr:cNvPr>
        <xdr:cNvSpPr txBox="1">
          <a:spLocks noChangeArrowheads="1"/>
        </xdr:cNvSpPr>
      </xdr:nvSpPr>
      <xdr:spPr bwMode="auto">
        <a:xfrm>
          <a:off x="9553575" y="4057650"/>
          <a:ext cx="0" cy="285750"/>
        </a:xfrm>
        <a:prstGeom prst="rect">
          <a:avLst/>
        </a:prstGeom>
        <a:solidFill>
          <a:srgbClr val="FFFFFF">
            <a:alpha val="70000"/>
          </a:srgbClr>
        </a:solidFill>
        <a:ln w="9525" algn="ctr">
          <a:noFill/>
          <a:miter lim="800000"/>
          <a:headEnd/>
          <a:tailEnd/>
        </a:ln>
        <a:effectLst>
          <a:prstShdw prst="shdw17" dist="17961" dir="2700000">
            <a:srgbClr val="FFFFFF">
              <a:gamma/>
              <a:shade val="60000"/>
              <a:invGamma/>
            </a:srgbClr>
          </a:prstShdw>
        </a:effectLst>
      </xdr:spPr>
      <xdr:txBody>
        <a:bodyPr vertOverflow="clip" wrap="square" lIns="36576" tIns="27432" rIns="36576" bIns="0" anchor="t" upright="1"/>
        <a:lstStyle/>
        <a:p>
          <a:pPr algn="ctr" rtl="0">
            <a:defRPr sz="1000"/>
          </a:pPr>
          <a:r>
            <a:rPr lang="es-ES" sz="1400" b="1" i="0" strike="noStrike">
              <a:solidFill>
                <a:srgbClr val="0000FF"/>
              </a:solidFill>
              <a:latin typeface="Arial"/>
              <a:cs typeface="Arial"/>
            </a:rPr>
            <a:t>RENTING</a:t>
          </a:r>
          <a:endParaRPr lang="es-ES" sz="1400" b="1" i="0" strike="noStrike">
            <a:solidFill>
              <a:srgbClr val="993366"/>
            </a:solidFill>
            <a:latin typeface="Arial"/>
            <a:cs typeface="Arial"/>
          </a:endParaRPr>
        </a:p>
        <a:p>
          <a:pPr algn="ctr" rtl="0">
            <a:defRPr sz="1000"/>
          </a:pPr>
          <a:endParaRPr lang="es-ES" sz="1400" b="1" i="0" strike="noStrike">
            <a:solidFill>
              <a:srgbClr val="993366"/>
            </a:solidFill>
            <a:latin typeface="Arial"/>
            <a:cs typeface="Arial"/>
          </a:endParaRPr>
        </a:p>
      </xdr:txBody>
    </xdr:sp>
    <xdr:clientData/>
  </xdr:twoCellAnchor>
  <xdr:oneCellAnchor>
    <xdr:from>
      <xdr:col>5</xdr:col>
      <xdr:colOff>4403909</xdr:colOff>
      <xdr:row>1</xdr:row>
      <xdr:rowOff>22410</xdr:rowOff>
    </xdr:from>
    <xdr:ext cx="743426" cy="840394"/>
    <xdr:pic>
      <xdr:nvPicPr>
        <xdr:cNvPr id="1196042" name="Picture 10">
          <a:hlinkClick xmlns:r="http://schemas.openxmlformats.org/officeDocument/2006/relationships" r:id="rId1" tooltip=" "/>
          <a:extLst>
            <a:ext uri="{FF2B5EF4-FFF2-40B4-BE49-F238E27FC236}">
              <a16:creationId xmlns:a16="http://schemas.microsoft.com/office/drawing/2014/main" id="{00000000-0008-0000-0100-00000A401200}"/>
            </a:ext>
          </a:extLst>
        </xdr:cNvPr>
        <xdr:cNvPicPr>
          <a:picLocks noChangeAspect="1" noChangeArrowheads="1"/>
        </xdr:cNvPicPr>
      </xdr:nvPicPr>
      <xdr:blipFill>
        <a:blip xmlns:r="http://schemas.openxmlformats.org/officeDocument/2006/relationships" r:embed="rId17" cstate="print"/>
        <a:srcRect/>
        <a:stretch>
          <a:fillRect/>
        </a:stretch>
      </xdr:blipFill>
      <xdr:spPr bwMode="auto">
        <a:xfrm>
          <a:off x="11519084" y="251010"/>
          <a:ext cx="743426" cy="840394"/>
        </a:xfrm>
        <a:prstGeom prst="rect">
          <a:avLst/>
        </a:prstGeom>
        <a:noFill/>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57150</xdr:colOff>
      <xdr:row>0</xdr:row>
      <xdr:rowOff>0</xdr:rowOff>
    </xdr:from>
    <xdr:ext cx="681038" cy="606742"/>
    <xdr:pic>
      <xdr:nvPicPr>
        <xdr:cNvPr id="94447" name="Picture 5" descr="MC900279118[1]">
          <a:hlinkClick xmlns:r="http://schemas.openxmlformats.org/officeDocument/2006/relationships" r:id="rId1" tooltip=" "/>
          <a:extLst>
            <a:ext uri="{FF2B5EF4-FFF2-40B4-BE49-F238E27FC236}">
              <a16:creationId xmlns:a16="http://schemas.microsoft.com/office/drawing/2014/main" id="{00000000-0008-0000-0200-0000EF70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0"/>
          <a:ext cx="681038" cy="606742"/>
        </a:xfrm>
        <a:prstGeom prst="rect">
          <a:avLst/>
        </a:prstGeom>
        <a:noFill/>
        <a:ln w="9525">
          <a:noFill/>
          <a:miter lim="800000"/>
          <a:headEnd/>
          <a:tailEnd/>
        </a:ln>
      </xdr:spPr>
    </xdr:pic>
    <xdr:clientData/>
  </xdr:oneCellAnchor>
  <xdr:oneCellAnchor>
    <xdr:from>
      <xdr:col>2</xdr:col>
      <xdr:colOff>4784911</xdr:colOff>
      <xdr:row>1</xdr:row>
      <xdr:rowOff>67235</xdr:rowOff>
    </xdr:from>
    <xdr:ext cx="743426" cy="840394"/>
    <xdr:pic>
      <xdr:nvPicPr>
        <xdr:cNvPr id="4" name="Picture 10">
          <a:hlinkClick xmlns:r="http://schemas.openxmlformats.org/officeDocument/2006/relationships" r:id="rId1" tooltip=" "/>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775511" y="295835"/>
          <a:ext cx="743426" cy="840394"/>
        </a:xfrm>
        <a:prstGeom prst="rect">
          <a:avLst/>
        </a:prstGeom>
        <a:noFill/>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95250</xdr:colOff>
      <xdr:row>0</xdr:row>
      <xdr:rowOff>38100</xdr:rowOff>
    </xdr:from>
    <xdr:ext cx="817245" cy="668655"/>
    <xdr:pic>
      <xdr:nvPicPr>
        <xdr:cNvPr id="95508" name="Picture 6" descr="MC900280328[1]">
          <a:hlinkClick xmlns:r="http://schemas.openxmlformats.org/officeDocument/2006/relationships" r:id="rId1" tooltip=" "/>
          <a:extLst>
            <a:ext uri="{FF2B5EF4-FFF2-40B4-BE49-F238E27FC236}">
              <a16:creationId xmlns:a16="http://schemas.microsoft.com/office/drawing/2014/main" id="{00000000-0008-0000-0300-00001475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5250" y="38100"/>
          <a:ext cx="817245" cy="668655"/>
        </a:xfrm>
        <a:prstGeom prst="rect">
          <a:avLst/>
        </a:prstGeom>
        <a:noFill/>
        <a:ln w="9525">
          <a:noFill/>
          <a:miter lim="800000"/>
          <a:headEnd/>
          <a:tailEnd/>
        </a:ln>
      </xdr:spPr>
    </xdr:pic>
    <xdr:clientData/>
  </xdr:oneCellAnchor>
  <xdr:oneCellAnchor>
    <xdr:from>
      <xdr:col>2</xdr:col>
      <xdr:colOff>4796116</xdr:colOff>
      <xdr:row>1</xdr:row>
      <xdr:rowOff>22412</xdr:rowOff>
    </xdr:from>
    <xdr:ext cx="743426" cy="840394"/>
    <xdr:pic>
      <xdr:nvPicPr>
        <xdr:cNvPr id="4" name="Picture 10">
          <a:hlinkClick xmlns:r="http://schemas.openxmlformats.org/officeDocument/2006/relationships" r:id="rId1" tooltip=" "/>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786716" y="251012"/>
          <a:ext cx="743426" cy="840394"/>
        </a:xfrm>
        <a:prstGeom prst="rect">
          <a:avLst/>
        </a:prstGeom>
        <a:noFill/>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180975</xdr:colOff>
      <xdr:row>0</xdr:row>
      <xdr:rowOff>19050</xdr:rowOff>
    </xdr:from>
    <xdr:ext cx="631508" cy="631508"/>
    <xdr:pic>
      <xdr:nvPicPr>
        <xdr:cNvPr id="96538" name="Picture 7" descr="MC900432552[1]">
          <a:hlinkClick xmlns:r="http://schemas.openxmlformats.org/officeDocument/2006/relationships" r:id="rId1" tooltip=" "/>
          <a:extLst>
            <a:ext uri="{FF2B5EF4-FFF2-40B4-BE49-F238E27FC236}">
              <a16:creationId xmlns:a16="http://schemas.microsoft.com/office/drawing/2014/main" id="{00000000-0008-0000-0400-00001A79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80975" y="19050"/>
          <a:ext cx="631508" cy="631508"/>
        </a:xfrm>
        <a:prstGeom prst="rect">
          <a:avLst/>
        </a:prstGeom>
        <a:noFill/>
        <a:ln w="9525">
          <a:noFill/>
          <a:miter lim="800000"/>
          <a:headEnd/>
          <a:tailEnd/>
        </a:ln>
      </xdr:spPr>
    </xdr:pic>
    <xdr:clientData/>
  </xdr:oneCellAnchor>
  <xdr:oneCellAnchor>
    <xdr:from>
      <xdr:col>2</xdr:col>
      <xdr:colOff>5121088</xdr:colOff>
      <xdr:row>1</xdr:row>
      <xdr:rowOff>33618</xdr:rowOff>
    </xdr:from>
    <xdr:ext cx="743426" cy="840394"/>
    <xdr:pic>
      <xdr:nvPicPr>
        <xdr:cNvPr id="4" name="Picture 10">
          <a:hlinkClick xmlns:r="http://schemas.openxmlformats.org/officeDocument/2006/relationships" r:id="rId1" tooltip=" "/>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121213" y="262218"/>
          <a:ext cx="743426" cy="840394"/>
        </a:xfrm>
        <a:prstGeom prst="rect">
          <a:avLst/>
        </a:prstGeom>
        <a:noFill/>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1</xdr:row>
      <xdr:rowOff>11207</xdr:rowOff>
    </xdr:from>
    <xdr:ext cx="742670" cy="795600"/>
    <xdr:pic>
      <xdr:nvPicPr>
        <xdr:cNvPr id="8935" name="Picture 331">
          <a:hlinkClick xmlns:r="http://schemas.openxmlformats.org/officeDocument/2006/relationships" r:id="rId1"/>
          <a:extLst>
            <a:ext uri="{FF2B5EF4-FFF2-40B4-BE49-F238E27FC236}">
              <a16:creationId xmlns:a16="http://schemas.microsoft.com/office/drawing/2014/main" id="{00000000-0008-0000-0600-0000E722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344582"/>
          <a:ext cx="742670" cy="795600"/>
        </a:xfrm>
        <a:prstGeom prst="rect">
          <a:avLst/>
        </a:prstGeom>
        <a:noFill/>
        <a:ln w="9525">
          <a:noFill/>
          <a:miter lim="800000"/>
          <a:headEnd/>
          <a:tailEnd/>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2</xdr:row>
      <xdr:rowOff>30119</xdr:rowOff>
    </xdr:from>
    <xdr:ext cx="743353" cy="808215"/>
    <xdr:pic>
      <xdr:nvPicPr>
        <xdr:cNvPr id="56851" name="Picture 331">
          <a:hlinkClick xmlns:r="http://schemas.openxmlformats.org/officeDocument/2006/relationships" r:id="rId1"/>
          <a:extLst>
            <a:ext uri="{FF2B5EF4-FFF2-40B4-BE49-F238E27FC236}">
              <a16:creationId xmlns:a16="http://schemas.microsoft.com/office/drawing/2014/main" id="{00000000-0008-0000-0700-000013DE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44494"/>
          <a:ext cx="743353" cy="808215"/>
        </a:xfrm>
        <a:prstGeom prst="rect">
          <a:avLst/>
        </a:prstGeom>
        <a:noFill/>
        <a:ln w="9525">
          <a:noFill/>
          <a:miter lim="800000"/>
          <a:headEnd/>
          <a:tailEnd/>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2</xdr:row>
      <xdr:rowOff>27781</xdr:rowOff>
    </xdr:from>
    <xdr:ext cx="743353" cy="783511"/>
    <xdr:pic>
      <xdr:nvPicPr>
        <xdr:cNvPr id="55076" name="Picture 331">
          <a:hlinkClick xmlns:r="http://schemas.openxmlformats.org/officeDocument/2006/relationships" r:id="rId1"/>
          <a:extLst>
            <a:ext uri="{FF2B5EF4-FFF2-40B4-BE49-F238E27FC236}">
              <a16:creationId xmlns:a16="http://schemas.microsoft.com/office/drawing/2014/main" id="{00000000-0008-0000-0800-000024D7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42156"/>
          <a:ext cx="743353" cy="783511"/>
        </a:xfrm>
        <a:prstGeom prst="rect">
          <a:avLst/>
        </a:prstGeom>
        <a:noFill/>
        <a:ln w="9525">
          <a:noFill/>
          <a:miter lim="800000"/>
          <a:headEnd/>
          <a:tailEnd/>
        </a:ln>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2</xdr:row>
      <xdr:rowOff>47626</xdr:rowOff>
    </xdr:from>
    <xdr:ext cx="743353" cy="800021"/>
    <xdr:pic>
      <xdr:nvPicPr>
        <xdr:cNvPr id="74167" name="Picture 331">
          <a:hlinkClick xmlns:r="http://schemas.openxmlformats.org/officeDocument/2006/relationships" r:id="rId1"/>
          <a:extLst>
            <a:ext uri="{FF2B5EF4-FFF2-40B4-BE49-F238E27FC236}">
              <a16:creationId xmlns:a16="http://schemas.microsoft.com/office/drawing/2014/main" id="{00000000-0008-0000-0900-0000B721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23901"/>
          <a:ext cx="743353" cy="800021"/>
        </a:xfrm>
        <a:prstGeom prst="rect">
          <a:avLst/>
        </a:prstGeom>
        <a:noFill/>
        <a:ln w="9525">
          <a:noFill/>
          <a:miter lim="800000"/>
          <a:headEnd/>
          <a:tailEnd/>
        </a:ln>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2</xdr:row>
      <xdr:rowOff>11206</xdr:rowOff>
    </xdr:from>
    <xdr:ext cx="743353" cy="800021"/>
    <xdr:pic>
      <xdr:nvPicPr>
        <xdr:cNvPr id="5095" name="Picture 331">
          <a:hlinkClick xmlns:r="http://schemas.openxmlformats.org/officeDocument/2006/relationships" r:id="rId1"/>
          <a:extLst>
            <a:ext uri="{FF2B5EF4-FFF2-40B4-BE49-F238E27FC236}">
              <a16:creationId xmlns:a16="http://schemas.microsoft.com/office/drawing/2014/main" id="{00000000-0008-0000-0A00-0000E713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25581"/>
          <a:ext cx="743353" cy="800021"/>
        </a:xfrm>
        <a:prstGeom prst="rect">
          <a:avLst/>
        </a:prstGeom>
        <a:noFill/>
        <a:ln w="9525">
          <a:noFill/>
          <a:miter lim="800000"/>
          <a:headEnd/>
          <a:tailEnd/>
        </a:ln>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23813</xdr:colOff>
      <xdr:row>2</xdr:row>
      <xdr:rowOff>59539</xdr:rowOff>
    </xdr:from>
    <xdr:ext cx="743353" cy="800021"/>
    <xdr:pic>
      <xdr:nvPicPr>
        <xdr:cNvPr id="7896" name="Picture 331">
          <a:hlinkClick xmlns:r="http://schemas.openxmlformats.org/officeDocument/2006/relationships" r:id="rId1"/>
          <a:extLst>
            <a:ext uri="{FF2B5EF4-FFF2-40B4-BE49-F238E27FC236}">
              <a16:creationId xmlns:a16="http://schemas.microsoft.com/office/drawing/2014/main" id="{00000000-0008-0000-0B00-0000D81E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3813" y="783439"/>
          <a:ext cx="743353" cy="800021"/>
        </a:xfrm>
        <a:prstGeom prst="rect">
          <a:avLst/>
        </a:prstGeom>
        <a:noFill/>
        <a:ln w="9525">
          <a:noFill/>
          <a:miter lim="800000"/>
          <a:headEnd/>
          <a:tailEnd/>
        </a:ln>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2</xdr:row>
      <xdr:rowOff>11905</xdr:rowOff>
    </xdr:from>
    <xdr:ext cx="743353" cy="800021"/>
    <xdr:pic>
      <xdr:nvPicPr>
        <xdr:cNvPr id="87374" name="Picture 331">
          <a:hlinkClick xmlns:r="http://schemas.openxmlformats.org/officeDocument/2006/relationships" r:id="rId1"/>
          <a:extLst>
            <a:ext uri="{FF2B5EF4-FFF2-40B4-BE49-F238E27FC236}">
              <a16:creationId xmlns:a16="http://schemas.microsoft.com/office/drawing/2014/main" id="{00000000-0008-0000-0C00-00004E55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02455"/>
          <a:ext cx="743353" cy="800021"/>
        </a:xfrm>
        <a:prstGeom prst="rect">
          <a:avLst/>
        </a:prstGeom>
        <a:noFill/>
        <a:ln w="9525">
          <a:noFill/>
          <a:miter lim="800000"/>
          <a:headEnd/>
          <a:tailEnd/>
        </a:ln>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1</xdr:row>
      <xdr:rowOff>323850</xdr:rowOff>
    </xdr:from>
    <xdr:ext cx="743353" cy="804149"/>
    <xdr:pic>
      <xdr:nvPicPr>
        <xdr:cNvPr id="81426" name="Picture 331">
          <a:hlinkClick xmlns:r="http://schemas.openxmlformats.org/officeDocument/2006/relationships" r:id="rId1"/>
          <a:extLst>
            <a:ext uri="{FF2B5EF4-FFF2-40B4-BE49-F238E27FC236}">
              <a16:creationId xmlns:a16="http://schemas.microsoft.com/office/drawing/2014/main" id="{00000000-0008-0000-0D00-0000123E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04850"/>
          <a:ext cx="743353" cy="804149"/>
        </a:xfrm>
        <a:prstGeom prst="rect">
          <a:avLst/>
        </a:prstGeom>
        <a:noFill/>
        <a:ln w="9525">
          <a:noFill/>
          <a:miter lim="800000"/>
          <a:headEnd/>
          <a:tailEnd/>
        </a:ln>
      </xdr:spPr>
    </xdr:pic>
    <xdr:clientData/>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2</xdr:row>
      <xdr:rowOff>12701</xdr:rowOff>
    </xdr:from>
    <xdr:ext cx="743353" cy="800021"/>
    <xdr:pic>
      <xdr:nvPicPr>
        <xdr:cNvPr id="92135" name="Picture 331">
          <a:hlinkClick xmlns:r="http://schemas.openxmlformats.org/officeDocument/2006/relationships" r:id="rId1"/>
          <a:extLst>
            <a:ext uri="{FF2B5EF4-FFF2-40B4-BE49-F238E27FC236}">
              <a16:creationId xmlns:a16="http://schemas.microsoft.com/office/drawing/2014/main" id="{00000000-0008-0000-0E00-0000E767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79451"/>
          <a:ext cx="743353" cy="800021"/>
        </a:xfrm>
        <a:prstGeom prst="rect">
          <a:avLst/>
        </a:prstGeom>
        <a:noFill/>
        <a:ln w="9525">
          <a:noFill/>
          <a:miter lim="800000"/>
          <a:headEnd/>
          <a:tailEnd/>
        </a:ln>
      </xdr:spPr>
    </xdr:pic>
    <xdr:clientData/>
  </xdr:oneCellAnchor>
</xdr:wsDr>
</file>

<file path=xl/drawings/drawing15.xml><?xml version="1.0" encoding="utf-8"?>
<xdr:wsDr xmlns:xdr="http://schemas.openxmlformats.org/drawingml/2006/spreadsheetDrawing" xmlns:a="http://schemas.openxmlformats.org/drawingml/2006/main">
  <xdr:oneCellAnchor>
    <xdr:from>
      <xdr:col>0</xdr:col>
      <xdr:colOff>11906</xdr:colOff>
      <xdr:row>1</xdr:row>
      <xdr:rowOff>309564</xdr:rowOff>
    </xdr:from>
    <xdr:ext cx="743353" cy="800021"/>
    <xdr:pic>
      <xdr:nvPicPr>
        <xdr:cNvPr id="1274936" name="Picture 331">
          <a:hlinkClick xmlns:r="http://schemas.openxmlformats.org/officeDocument/2006/relationships" r:id="rId1"/>
          <a:extLst>
            <a:ext uri="{FF2B5EF4-FFF2-40B4-BE49-F238E27FC236}">
              <a16:creationId xmlns:a16="http://schemas.microsoft.com/office/drawing/2014/main" id="{00000000-0008-0000-0F00-0000387413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1906" y="690564"/>
          <a:ext cx="743353" cy="800021"/>
        </a:xfrm>
        <a:prstGeom prst="rect">
          <a:avLst/>
        </a:prstGeom>
        <a:noFill/>
        <a:ln w="9525">
          <a:noFill/>
          <a:miter lim="800000"/>
          <a:headEnd/>
          <a:tailEnd/>
        </a:ln>
      </xdr:spPr>
    </xdr:pic>
    <xdr:clientData/>
  </xdr:oneCellAnchor>
</xdr:wsDr>
</file>

<file path=xl/drawings/drawing16.xml><?xml version="1.0" encoding="utf-8"?>
<xdr:wsDr xmlns:xdr="http://schemas.openxmlformats.org/drawingml/2006/spreadsheetDrawing" xmlns:a="http://schemas.openxmlformats.org/drawingml/2006/main">
  <xdr:twoCellAnchor>
    <xdr:from>
      <xdr:col>4</xdr:col>
      <xdr:colOff>510428</xdr:colOff>
      <xdr:row>40</xdr:row>
      <xdr:rowOff>0</xdr:rowOff>
    </xdr:from>
    <xdr:to>
      <xdr:col>8</xdr:col>
      <xdr:colOff>709870</xdr:colOff>
      <xdr:row>47</xdr:row>
      <xdr:rowOff>130548</xdr:rowOff>
    </xdr:to>
    <xdr:sp macro="" textlink="">
      <xdr:nvSpPr>
        <xdr:cNvPr id="92180" name="Text Box 20">
          <a:extLst>
            <a:ext uri="{FF2B5EF4-FFF2-40B4-BE49-F238E27FC236}">
              <a16:creationId xmlns:a16="http://schemas.microsoft.com/office/drawing/2014/main" id="{00000000-0008-0000-1000-000014680100}"/>
            </a:ext>
          </a:extLst>
        </xdr:cNvPr>
        <xdr:cNvSpPr txBox="1">
          <a:spLocks noChangeArrowheads="1"/>
        </xdr:cNvSpPr>
      </xdr:nvSpPr>
      <xdr:spPr bwMode="auto">
        <a:xfrm>
          <a:off x="5139578" y="8429625"/>
          <a:ext cx="4752392" cy="1464048"/>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1">
            <a:defRPr sz="1000"/>
          </a:pPr>
          <a:r>
            <a:rPr lang="es-ES" sz="1200" b="0" i="0" strike="noStrike">
              <a:solidFill>
                <a:srgbClr val="000000"/>
              </a:solidFill>
              <a:latin typeface="Times New Roman"/>
              <a:cs typeface="Times New Roman"/>
            </a:rPr>
            <a:t>* Si los sueldos fueran superiores se incluiría en pérdidas que para pequeñas empresas no serían realistas (independientemente de su régimen fiscal)</a:t>
          </a:r>
        </a:p>
        <a:p>
          <a:pPr algn="l" rtl="1">
            <a:defRPr sz="1000"/>
          </a:pPr>
          <a:endParaRPr lang="es-ES" sz="12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imes New Roman"/>
              <a:cs typeface="Times New Roman"/>
            </a:rPr>
            <a:t> **Los incrementos son respecto de los sueldos "actuales" por lo que para modificarlos hay que hacerlo en orden de los años.</a:t>
          </a:r>
        </a:p>
      </xdr:txBody>
    </xdr:sp>
    <xdr:clientData/>
  </xdr:twoCellAnchor>
  <xdr:oneCellAnchor>
    <xdr:from>
      <xdr:col>0</xdr:col>
      <xdr:colOff>0</xdr:colOff>
      <xdr:row>2</xdr:row>
      <xdr:rowOff>2</xdr:rowOff>
    </xdr:from>
    <xdr:ext cx="743353" cy="800021"/>
    <xdr:pic>
      <xdr:nvPicPr>
        <xdr:cNvPr id="92562" name="Picture 331">
          <a:hlinkClick xmlns:r="http://schemas.openxmlformats.org/officeDocument/2006/relationships" r:id="rId1"/>
          <a:extLst>
            <a:ext uri="{FF2B5EF4-FFF2-40B4-BE49-F238E27FC236}">
              <a16:creationId xmlns:a16="http://schemas.microsoft.com/office/drawing/2014/main" id="{00000000-0008-0000-1000-000092690100}"/>
            </a:ext>
          </a:extLst>
        </xdr:cNvPr>
        <xdr:cNvPicPr preferRelativeResize="0">
          <a:picLocks noChangeAspect="1" noChangeArrowheads="1"/>
        </xdr:cNvPicPr>
      </xdr:nvPicPr>
      <xdr:blipFill>
        <a:blip xmlns:r="http://schemas.openxmlformats.org/officeDocument/2006/relationships" r:embed="rId2" cstate="print"/>
        <a:srcRect/>
        <a:stretch>
          <a:fillRect/>
        </a:stretch>
      </xdr:blipFill>
      <xdr:spPr bwMode="auto">
        <a:xfrm>
          <a:off x="0" y="714377"/>
          <a:ext cx="743353" cy="800021"/>
        </a:xfrm>
        <a:prstGeom prst="rect">
          <a:avLst/>
        </a:prstGeom>
        <a:noFill/>
        <a:ln w="9525">
          <a:noFill/>
          <a:miter lim="800000"/>
          <a:headEnd/>
          <a:tailEnd/>
        </a:ln>
      </xdr:spPr>
    </xdr:pic>
    <xdr:clientData/>
  </xdr:oneCellAnchor>
  <xdr:twoCellAnchor>
    <xdr:from>
      <xdr:col>9</xdr:col>
      <xdr:colOff>721659</xdr:colOff>
      <xdr:row>7</xdr:row>
      <xdr:rowOff>491377</xdr:rowOff>
    </xdr:from>
    <xdr:to>
      <xdr:col>16</xdr:col>
      <xdr:colOff>9524</xdr:colOff>
      <xdr:row>20</xdr:row>
      <xdr:rowOff>9525</xdr:rowOff>
    </xdr:to>
    <xdr:sp macro="" textlink="">
      <xdr:nvSpPr>
        <xdr:cNvPr id="4" name="Text Box 20">
          <a:extLst>
            <a:ext uri="{FF2B5EF4-FFF2-40B4-BE49-F238E27FC236}">
              <a16:creationId xmlns:a16="http://schemas.microsoft.com/office/drawing/2014/main" id="{7DB46C3A-681E-4B1A-8CD9-601C621B2809}"/>
            </a:ext>
          </a:extLst>
        </xdr:cNvPr>
        <xdr:cNvSpPr txBox="1">
          <a:spLocks noChangeArrowheads="1"/>
        </xdr:cNvSpPr>
      </xdr:nvSpPr>
      <xdr:spPr bwMode="auto">
        <a:xfrm>
          <a:off x="10627659" y="2567827"/>
          <a:ext cx="4488515" cy="2623298"/>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1">
            <a:defRPr sz="1000"/>
          </a:pPr>
          <a:r>
            <a:rPr lang="es-ES" sz="1200" b="0" i="0" strike="noStrike">
              <a:solidFill>
                <a:srgbClr val="000000"/>
              </a:solidFill>
              <a:latin typeface="Times New Roman"/>
              <a:cs typeface="Times New Roman"/>
            </a:rPr>
            <a:t>Mínimo del contribuyente</a:t>
          </a:r>
        </a:p>
        <a:p>
          <a:pPr algn="l" rtl="1">
            <a:defRPr sz="1000"/>
          </a:pPr>
          <a:r>
            <a:rPr lang="es-ES" sz="1200" b="0" i="0" strike="noStrike">
              <a:solidFill>
                <a:srgbClr val="000000"/>
              </a:solidFill>
              <a:latin typeface="Times New Roman"/>
              <a:cs typeface="Times New Roman"/>
            </a:rPr>
            <a:t>General:</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5.550 €</a:t>
          </a:r>
        </a:p>
        <a:p>
          <a:pPr algn="l" rtl="1">
            <a:defRPr sz="1000"/>
          </a:pPr>
          <a:r>
            <a:rPr lang="es-ES" sz="1200" b="0" i="0" strike="noStrike">
              <a:solidFill>
                <a:srgbClr val="000000"/>
              </a:solidFill>
              <a:latin typeface="Times New Roman"/>
              <a:cs typeface="Times New Roman"/>
            </a:rPr>
            <a:t>Más de 65 años:</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5.550 €+1.150€=6.700 €</a:t>
          </a:r>
        </a:p>
        <a:p>
          <a:pPr algn="l" rtl="1">
            <a:defRPr sz="1000"/>
          </a:pPr>
          <a:r>
            <a:rPr lang="es-ES" sz="1200" b="0" i="0" strike="noStrike">
              <a:solidFill>
                <a:srgbClr val="000000"/>
              </a:solidFill>
              <a:latin typeface="Times New Roman"/>
              <a:cs typeface="Times New Roman"/>
            </a:rPr>
            <a:t>Más de 75 años:</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5.550 €+1.150€+1.400€=8.100</a:t>
          </a:r>
          <a:r>
            <a:rPr lang="es-ES" sz="1200" b="0" i="0" strike="noStrike" baseline="0">
              <a:solidFill>
                <a:srgbClr val="000000"/>
              </a:solidFill>
              <a:latin typeface="Times New Roman"/>
              <a:cs typeface="Times New Roman"/>
            </a:rPr>
            <a:t> €</a:t>
          </a:r>
          <a:endParaRPr lang="es-ES" sz="12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imes New Roman"/>
              <a:cs typeface="Times New Roman"/>
            </a:rPr>
            <a:t>Mínímo por descendientes </a:t>
          </a:r>
          <a:br>
            <a:rPr lang="es-ES" sz="1200" b="0" i="0" strike="noStrike">
              <a:solidFill>
                <a:srgbClr val="000000"/>
              </a:solidFill>
              <a:latin typeface="Times New Roman"/>
              <a:cs typeface="Times New Roman"/>
            </a:rPr>
          </a:br>
          <a:r>
            <a:rPr lang="es-ES" sz="1200" b="0" i="0" strike="noStrike">
              <a:solidFill>
                <a:srgbClr val="000000"/>
              </a:solidFill>
              <a:latin typeface="Times New Roman"/>
              <a:cs typeface="Times New Roman"/>
            </a:rPr>
            <a:t>(menores de 25 años o discapacitados)</a:t>
          </a:r>
        </a:p>
        <a:p>
          <a:pPr algn="l" rtl="1">
            <a:defRPr sz="1000"/>
          </a:pPr>
          <a:r>
            <a:rPr lang="es-ES" sz="1200" b="0" i="0" strike="noStrike">
              <a:solidFill>
                <a:srgbClr val="000000"/>
              </a:solidFill>
              <a:latin typeface="Times New Roman"/>
              <a:cs typeface="Times New Roman"/>
            </a:rPr>
            <a:t>1º</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2.400 €</a:t>
          </a:r>
        </a:p>
        <a:p>
          <a:pPr algn="l" rtl="1">
            <a:defRPr sz="1000"/>
          </a:pPr>
          <a:r>
            <a:rPr lang="es-ES" sz="1200" b="0" i="0" strike="noStrike">
              <a:solidFill>
                <a:srgbClr val="000000"/>
              </a:solidFill>
              <a:latin typeface="Times New Roman"/>
              <a:cs typeface="Times New Roman"/>
            </a:rPr>
            <a:t>2º</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2.700 €</a:t>
          </a:r>
        </a:p>
        <a:p>
          <a:pPr algn="l" rtl="1">
            <a:defRPr sz="1000"/>
          </a:pPr>
          <a:r>
            <a:rPr lang="es-ES" sz="1200" b="0" i="0" strike="noStrike">
              <a:solidFill>
                <a:srgbClr val="000000"/>
              </a:solidFill>
              <a:latin typeface="Times New Roman"/>
              <a:cs typeface="Times New Roman"/>
            </a:rPr>
            <a:t>3º</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4.000 €</a:t>
          </a:r>
        </a:p>
        <a:p>
          <a:pPr algn="l" rtl="1">
            <a:defRPr sz="1000"/>
          </a:pPr>
          <a:r>
            <a:rPr lang="es-ES" sz="1200" b="0" i="0" strike="noStrike">
              <a:solidFill>
                <a:srgbClr val="000000"/>
              </a:solidFill>
              <a:latin typeface="Times New Roman"/>
              <a:cs typeface="Times New Roman"/>
            </a:rPr>
            <a:t>4º y siguientes</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4.500 €</a:t>
          </a:r>
        </a:p>
        <a:p>
          <a:pPr algn="l" rtl="1">
            <a:defRPr sz="1000"/>
          </a:pPr>
          <a:r>
            <a:rPr lang="es-ES" sz="1200" b="0" i="0" strike="noStrike">
              <a:solidFill>
                <a:srgbClr val="000000"/>
              </a:solidFill>
              <a:latin typeface="Times New Roman"/>
              <a:cs typeface="Times New Roman"/>
            </a:rPr>
            <a:t>Descendientes menores 3 años: se incrementará</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el anterior en</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2.800 €</a:t>
          </a:r>
        </a:p>
        <a:p>
          <a:pPr algn="l" rtl="1">
            <a:defRPr sz="1000"/>
          </a:pPr>
          <a:r>
            <a:rPr lang="es-ES" sz="1200" b="0" i="0" strike="noStrike">
              <a:solidFill>
                <a:srgbClr val="000000"/>
              </a:solidFill>
              <a:latin typeface="Times New Roman"/>
              <a:cs typeface="Times New Roman"/>
            </a:rPr>
            <a:t>Mínimo por ascendientes</a:t>
          </a:r>
        </a:p>
        <a:p>
          <a:pPr algn="l" rtl="1">
            <a:defRPr sz="1000"/>
          </a:pPr>
          <a:r>
            <a:rPr lang="es-ES" sz="1200" b="0" i="0" strike="noStrike">
              <a:solidFill>
                <a:srgbClr val="000000"/>
              </a:solidFill>
              <a:latin typeface="Times New Roman"/>
              <a:cs typeface="Times New Roman"/>
            </a:rPr>
            <a:t>Más de 65 años o discapacitado</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1.150 €</a:t>
          </a:r>
        </a:p>
        <a:p>
          <a:pPr algn="l" rtl="1">
            <a:defRPr sz="1000"/>
          </a:pPr>
          <a:r>
            <a:rPr lang="es-ES" sz="1200" b="0" i="0" strike="noStrike">
              <a:solidFill>
                <a:srgbClr val="000000"/>
              </a:solidFill>
              <a:latin typeface="Times New Roman"/>
              <a:cs typeface="Times New Roman"/>
            </a:rPr>
            <a:t>Más de 75 años</a:t>
          </a:r>
          <a:r>
            <a:rPr lang="es-ES" sz="1200" b="0" i="0" strike="noStrike" baseline="0">
              <a:solidFill>
                <a:srgbClr val="000000"/>
              </a:solidFill>
              <a:latin typeface="Times New Roman"/>
              <a:cs typeface="Times New Roman"/>
            </a:rPr>
            <a:t> </a:t>
          </a:r>
          <a:r>
            <a:rPr lang="es-ES" sz="1200" b="0" i="0" strike="noStrike">
              <a:solidFill>
                <a:srgbClr val="000000"/>
              </a:solidFill>
              <a:latin typeface="Times New Roman"/>
              <a:cs typeface="Times New Roman"/>
            </a:rPr>
            <a:t>1.150 € +1.400 €=2.550 €</a:t>
          </a:r>
        </a:p>
        <a:p>
          <a:pPr algn="l" rtl="1">
            <a:defRPr sz="1000"/>
          </a:pPr>
          <a:br>
            <a:rPr lang="es-ES" sz="1200" b="0" i="0" strike="noStrike">
              <a:solidFill>
                <a:srgbClr val="000000"/>
              </a:solidFill>
              <a:latin typeface="Times New Roman"/>
              <a:cs typeface="Times New Roman"/>
            </a:rPr>
          </a:br>
          <a:endParaRPr lang="es-ES" sz="1200" b="0" i="0" strike="noStrike">
            <a:solidFill>
              <a:srgbClr val="000000"/>
            </a:solidFill>
            <a:latin typeface="Times New Roman"/>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0</xdr:col>
      <xdr:colOff>0</xdr:colOff>
      <xdr:row>2</xdr:row>
      <xdr:rowOff>2</xdr:rowOff>
    </xdr:from>
    <xdr:ext cx="743353" cy="800021"/>
    <xdr:pic>
      <xdr:nvPicPr>
        <xdr:cNvPr id="55707" name="Picture 331">
          <a:hlinkClick xmlns:r="http://schemas.openxmlformats.org/officeDocument/2006/relationships" r:id="rId1"/>
          <a:extLst>
            <a:ext uri="{FF2B5EF4-FFF2-40B4-BE49-F238E27FC236}">
              <a16:creationId xmlns:a16="http://schemas.microsoft.com/office/drawing/2014/main" id="{00000000-0008-0000-1100-00009BD9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14377"/>
          <a:ext cx="743353" cy="800021"/>
        </a:xfrm>
        <a:prstGeom prst="rect">
          <a:avLst/>
        </a:prstGeom>
        <a:noFill/>
        <a:ln w="9525">
          <a:noFill/>
          <a:miter lim="800000"/>
          <a:headEnd/>
          <a:tailEnd/>
        </a:ln>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2</xdr:row>
      <xdr:rowOff>0</xdr:rowOff>
    </xdr:from>
    <xdr:ext cx="743353" cy="800021"/>
    <xdr:pic>
      <xdr:nvPicPr>
        <xdr:cNvPr id="49442" name="Picture 331">
          <a:hlinkClick xmlns:r="http://schemas.openxmlformats.org/officeDocument/2006/relationships" r:id="rId1"/>
          <a:extLst>
            <a:ext uri="{FF2B5EF4-FFF2-40B4-BE49-F238E27FC236}">
              <a16:creationId xmlns:a16="http://schemas.microsoft.com/office/drawing/2014/main" id="{00000000-0008-0000-1200-000022C1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28650"/>
          <a:ext cx="743353" cy="800021"/>
        </a:xfrm>
        <a:prstGeom prst="rect">
          <a:avLst/>
        </a:prstGeom>
        <a:noFill/>
        <a:ln w="9525">
          <a:noFill/>
          <a:miter lim="800000"/>
          <a:headEnd/>
          <a:tailEnd/>
        </a:ln>
      </xdr:spPr>
    </xdr:pic>
    <xdr:clientData/>
  </xdr:oneCellAnchor>
</xdr:wsDr>
</file>

<file path=xl/drawings/drawing19.xml><?xml version="1.0" encoding="utf-8"?>
<xdr:wsDr xmlns:xdr="http://schemas.openxmlformats.org/drawingml/2006/spreadsheetDrawing" xmlns:a="http://schemas.openxmlformats.org/drawingml/2006/main">
  <xdr:oneCellAnchor>
    <xdr:from>
      <xdr:col>0</xdr:col>
      <xdr:colOff>0</xdr:colOff>
      <xdr:row>3</xdr:row>
      <xdr:rowOff>31937</xdr:rowOff>
    </xdr:from>
    <xdr:ext cx="571810" cy="626606"/>
    <xdr:pic>
      <xdr:nvPicPr>
        <xdr:cNvPr id="2" name="Picture 33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46312"/>
          <a:ext cx="571810" cy="507824"/>
        </a:xfrm>
        <a:prstGeom prst="rect">
          <a:avLst/>
        </a:prstGeom>
        <a:noFill/>
        <a:ln w="9525">
          <a:noFill/>
          <a:miter lim="800000"/>
          <a:headEnd/>
          <a:tailEnd/>
        </a:ln>
      </xdr:spPr>
    </xdr:pic>
    <xdr:clientData/>
  </xdr:oneCellAnchor>
</xdr:wsDr>
</file>

<file path=xl/drawings/drawing20.xml><?xml version="1.0" encoding="utf-8"?>
<xdr:wsDr xmlns:xdr="http://schemas.openxmlformats.org/drawingml/2006/spreadsheetDrawing" xmlns:a="http://schemas.openxmlformats.org/drawingml/2006/main">
  <xdr:oneCellAnchor>
    <xdr:from>
      <xdr:col>0</xdr:col>
      <xdr:colOff>44824</xdr:colOff>
      <xdr:row>2</xdr:row>
      <xdr:rowOff>76761</xdr:rowOff>
    </xdr:from>
    <xdr:ext cx="571810" cy="626606"/>
    <xdr:pic>
      <xdr:nvPicPr>
        <xdr:cNvPr id="3" name="Picture 331">
          <a:hlinkClick xmlns:r="http://schemas.openxmlformats.org/officeDocument/2006/relationships" r:id="rId1"/>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4824" y="793937"/>
          <a:ext cx="571810" cy="626606"/>
        </a:xfrm>
        <a:prstGeom prst="rect">
          <a:avLst/>
        </a:prstGeom>
        <a:noFill/>
        <a:ln w="9525">
          <a:noFill/>
          <a:miter lim="800000"/>
          <a:headEnd/>
          <a:tailEnd/>
        </a:ln>
      </xdr:spPr>
    </xdr:pic>
    <xdr:clientData/>
  </xdr:oneCellAnchor>
</xdr:wsDr>
</file>

<file path=xl/drawings/drawing21.xml><?xml version="1.0" encoding="utf-8"?>
<xdr:wsDr xmlns:xdr="http://schemas.openxmlformats.org/drawingml/2006/spreadsheetDrawing" xmlns:a="http://schemas.openxmlformats.org/drawingml/2006/main">
  <xdr:oneCellAnchor>
    <xdr:from>
      <xdr:col>0</xdr:col>
      <xdr:colOff>0</xdr:colOff>
      <xdr:row>4</xdr:row>
      <xdr:rowOff>19845</xdr:rowOff>
    </xdr:from>
    <xdr:ext cx="743353" cy="810339"/>
    <xdr:pic>
      <xdr:nvPicPr>
        <xdr:cNvPr id="47410" name="Picture 331">
          <a:hlinkClick xmlns:r="http://schemas.openxmlformats.org/officeDocument/2006/relationships" r:id="rId1"/>
          <a:extLst>
            <a:ext uri="{FF2B5EF4-FFF2-40B4-BE49-F238E27FC236}">
              <a16:creationId xmlns:a16="http://schemas.microsoft.com/office/drawing/2014/main" id="{00000000-0008-0000-1500-000032B9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58020"/>
          <a:ext cx="743353" cy="810339"/>
        </a:xfrm>
        <a:prstGeom prst="rect">
          <a:avLst/>
        </a:prstGeom>
        <a:noFill/>
        <a:ln w="9525">
          <a:noFill/>
          <a:miter lim="800000"/>
          <a:headEnd/>
          <a:tailEnd/>
        </a:ln>
      </xdr:spPr>
    </xdr:pic>
    <xdr:clientData/>
  </xdr:oneCellAnchor>
</xdr:wsDr>
</file>

<file path=xl/drawings/drawing22.xml><?xml version="1.0" encoding="utf-8"?>
<xdr:wsDr xmlns:xdr="http://schemas.openxmlformats.org/drawingml/2006/spreadsheetDrawing" xmlns:a="http://schemas.openxmlformats.org/drawingml/2006/main">
  <xdr:twoCellAnchor>
    <xdr:from>
      <xdr:col>7</xdr:col>
      <xdr:colOff>380998</xdr:colOff>
      <xdr:row>6</xdr:row>
      <xdr:rowOff>47625</xdr:rowOff>
    </xdr:from>
    <xdr:to>
      <xdr:col>13</xdr:col>
      <xdr:colOff>583406</xdr:colOff>
      <xdr:row>24</xdr:row>
      <xdr:rowOff>21431</xdr:rowOff>
    </xdr:to>
    <xdr:graphicFrame macro="">
      <xdr:nvGraphicFramePr>
        <xdr:cNvPr id="158188" name="Chart 5">
          <a:extLst>
            <a:ext uri="{FF2B5EF4-FFF2-40B4-BE49-F238E27FC236}">
              <a16:creationId xmlns:a16="http://schemas.microsoft.com/office/drawing/2014/main" id="{00000000-0008-0000-1A00-0000EC690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452437</xdr:colOff>
      <xdr:row>27</xdr:row>
      <xdr:rowOff>9526</xdr:rowOff>
    </xdr:from>
    <xdr:to>
      <xdr:col>14</xdr:col>
      <xdr:colOff>28575</xdr:colOff>
      <xdr:row>47</xdr:row>
      <xdr:rowOff>102395</xdr:rowOff>
    </xdr:to>
    <xdr:graphicFrame macro="">
      <xdr:nvGraphicFramePr>
        <xdr:cNvPr id="158189" name="Chart 6">
          <a:extLst>
            <a:ext uri="{FF2B5EF4-FFF2-40B4-BE49-F238E27FC236}">
              <a16:creationId xmlns:a16="http://schemas.microsoft.com/office/drawing/2014/main" id="{00000000-0008-0000-1A00-0000ED690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0</xdr:colOff>
      <xdr:row>2</xdr:row>
      <xdr:rowOff>23813</xdr:rowOff>
    </xdr:from>
    <xdr:ext cx="743353" cy="800021"/>
    <xdr:pic>
      <xdr:nvPicPr>
        <xdr:cNvPr id="158190" name="Picture 331">
          <a:hlinkClick xmlns:r="http://schemas.openxmlformats.org/officeDocument/2006/relationships" r:id="rId3"/>
          <a:extLst>
            <a:ext uri="{FF2B5EF4-FFF2-40B4-BE49-F238E27FC236}">
              <a16:creationId xmlns:a16="http://schemas.microsoft.com/office/drawing/2014/main" id="{00000000-0008-0000-1A00-0000EE6902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0" y="738188"/>
          <a:ext cx="743353" cy="800021"/>
        </a:xfrm>
        <a:prstGeom prst="rect">
          <a:avLst/>
        </a:prstGeom>
        <a:noFill/>
        <a:ln w="9525">
          <a:noFill/>
          <a:miter lim="800000"/>
          <a:headEnd/>
          <a:tailEnd/>
        </a:ln>
      </xdr:spPr>
    </xdr:pic>
    <xdr:clientData/>
  </xdr:oneCellAnchor>
</xdr:wsDr>
</file>

<file path=xl/drawings/drawing23.xml><?xml version="1.0" encoding="utf-8"?>
<xdr:wsDr xmlns:xdr="http://schemas.openxmlformats.org/drawingml/2006/spreadsheetDrawing" xmlns:a="http://schemas.openxmlformats.org/drawingml/2006/main">
  <xdr:oneCellAnchor>
    <xdr:from>
      <xdr:col>0</xdr:col>
      <xdr:colOff>0</xdr:colOff>
      <xdr:row>2</xdr:row>
      <xdr:rowOff>0</xdr:rowOff>
    </xdr:from>
    <xdr:ext cx="743353" cy="800021"/>
    <xdr:pic>
      <xdr:nvPicPr>
        <xdr:cNvPr id="121059" name="Picture 331">
          <a:hlinkClick xmlns:r="http://schemas.openxmlformats.org/officeDocument/2006/relationships" r:id="rId1"/>
          <a:extLst>
            <a:ext uri="{FF2B5EF4-FFF2-40B4-BE49-F238E27FC236}">
              <a16:creationId xmlns:a16="http://schemas.microsoft.com/office/drawing/2014/main" id="{00000000-0008-0000-1B00-0000E3D8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14375"/>
          <a:ext cx="743353" cy="800021"/>
        </a:xfrm>
        <a:prstGeom prst="rect">
          <a:avLst/>
        </a:prstGeom>
        <a:noFill/>
        <a:ln w="9525">
          <a:noFill/>
          <a:miter lim="800000"/>
          <a:headEnd/>
          <a:tailEnd/>
        </a:ln>
      </xdr:spPr>
    </xdr:pic>
    <xdr:clientData/>
  </xdr:oneCellAnchor>
</xdr:wsDr>
</file>

<file path=xl/drawings/drawing24.xml><?xml version="1.0" encoding="utf-8"?>
<xdr:wsDr xmlns:xdr="http://schemas.openxmlformats.org/drawingml/2006/spreadsheetDrawing" xmlns:a="http://schemas.openxmlformats.org/drawingml/2006/main">
  <xdr:oneCellAnchor>
    <xdr:from>
      <xdr:col>0</xdr:col>
      <xdr:colOff>0</xdr:colOff>
      <xdr:row>2</xdr:row>
      <xdr:rowOff>22411</xdr:rowOff>
    </xdr:from>
    <xdr:ext cx="743353" cy="800021"/>
    <xdr:pic>
      <xdr:nvPicPr>
        <xdr:cNvPr id="58606" name="Picture 331">
          <a:hlinkClick xmlns:r="http://schemas.openxmlformats.org/officeDocument/2006/relationships" r:id="rId1"/>
          <a:extLst>
            <a:ext uri="{FF2B5EF4-FFF2-40B4-BE49-F238E27FC236}">
              <a16:creationId xmlns:a16="http://schemas.microsoft.com/office/drawing/2014/main" id="{00000000-0008-0000-1C00-0000EEE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36786"/>
          <a:ext cx="743353" cy="800021"/>
        </a:xfrm>
        <a:prstGeom prst="rect">
          <a:avLst/>
        </a:prstGeom>
        <a:noFill/>
        <a:ln w="9525">
          <a:noFill/>
          <a:miter lim="800000"/>
          <a:headEnd/>
          <a:tailEnd/>
        </a:ln>
      </xdr:spPr>
    </xdr:pic>
    <xdr:clientData/>
  </xdr:oneCellAnchor>
</xdr:wsDr>
</file>

<file path=xl/drawings/drawing25.xml><?xml version="1.0" encoding="utf-8"?>
<xdr:wsDr xmlns:xdr="http://schemas.openxmlformats.org/drawingml/2006/spreadsheetDrawing" xmlns:a="http://schemas.openxmlformats.org/drawingml/2006/main">
  <xdr:twoCellAnchor>
    <xdr:from>
      <xdr:col>0</xdr:col>
      <xdr:colOff>219075</xdr:colOff>
      <xdr:row>62</xdr:row>
      <xdr:rowOff>28575</xdr:rowOff>
    </xdr:from>
    <xdr:to>
      <xdr:col>13</xdr:col>
      <xdr:colOff>533400</xdr:colOff>
      <xdr:row>82</xdr:row>
      <xdr:rowOff>76200</xdr:rowOff>
    </xdr:to>
    <xdr:graphicFrame macro="">
      <xdr:nvGraphicFramePr>
        <xdr:cNvPr id="1467" name="Chart 6">
          <a:extLst>
            <a:ext uri="{FF2B5EF4-FFF2-40B4-BE49-F238E27FC236}">
              <a16:creationId xmlns:a16="http://schemas.microsoft.com/office/drawing/2014/main" id="{00000000-0008-0000-1D00-0000BB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0</xdr:col>
      <xdr:colOff>219075</xdr:colOff>
      <xdr:row>62</xdr:row>
      <xdr:rowOff>28575</xdr:rowOff>
    </xdr:from>
    <xdr:to>
      <xdr:col>13</xdr:col>
      <xdr:colOff>533400</xdr:colOff>
      <xdr:row>82</xdr:row>
      <xdr:rowOff>76200</xdr:rowOff>
    </xdr:to>
    <xdr:graphicFrame macro="">
      <xdr:nvGraphicFramePr>
        <xdr:cNvPr id="20682" name="Chart 1">
          <a:extLst>
            <a:ext uri="{FF2B5EF4-FFF2-40B4-BE49-F238E27FC236}">
              <a16:creationId xmlns:a16="http://schemas.microsoft.com/office/drawing/2014/main" id="{00000000-0008-0000-1E00-0000CA5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295275</xdr:colOff>
      <xdr:row>62</xdr:row>
      <xdr:rowOff>28575</xdr:rowOff>
    </xdr:from>
    <xdr:to>
      <xdr:col>13</xdr:col>
      <xdr:colOff>609600</xdr:colOff>
      <xdr:row>82</xdr:row>
      <xdr:rowOff>76200</xdr:rowOff>
    </xdr:to>
    <xdr:graphicFrame macro="">
      <xdr:nvGraphicFramePr>
        <xdr:cNvPr id="27820" name="Chart 1">
          <a:extLst>
            <a:ext uri="{FF2B5EF4-FFF2-40B4-BE49-F238E27FC236}">
              <a16:creationId xmlns:a16="http://schemas.microsoft.com/office/drawing/2014/main" id="{00000000-0008-0000-1F00-0000AC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0</xdr:col>
      <xdr:colOff>295275</xdr:colOff>
      <xdr:row>62</xdr:row>
      <xdr:rowOff>28575</xdr:rowOff>
    </xdr:from>
    <xdr:to>
      <xdr:col>13</xdr:col>
      <xdr:colOff>609600</xdr:colOff>
      <xdr:row>82</xdr:row>
      <xdr:rowOff>76200</xdr:rowOff>
    </xdr:to>
    <xdr:graphicFrame macro="">
      <xdr:nvGraphicFramePr>
        <xdr:cNvPr id="59548" name="Chart 1">
          <a:extLst>
            <a:ext uri="{FF2B5EF4-FFF2-40B4-BE49-F238E27FC236}">
              <a16:creationId xmlns:a16="http://schemas.microsoft.com/office/drawing/2014/main" id="{00000000-0008-0000-2000-00009C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0</xdr:col>
      <xdr:colOff>295275</xdr:colOff>
      <xdr:row>62</xdr:row>
      <xdr:rowOff>28575</xdr:rowOff>
    </xdr:from>
    <xdr:to>
      <xdr:col>13</xdr:col>
      <xdr:colOff>609600</xdr:colOff>
      <xdr:row>82</xdr:row>
      <xdr:rowOff>76200</xdr:rowOff>
    </xdr:to>
    <xdr:graphicFrame macro="">
      <xdr:nvGraphicFramePr>
        <xdr:cNvPr id="60572" name="Chart 1">
          <a:extLst>
            <a:ext uri="{FF2B5EF4-FFF2-40B4-BE49-F238E27FC236}">
              <a16:creationId xmlns:a16="http://schemas.microsoft.com/office/drawing/2014/main" id="{00000000-0008-0000-2100-00009CE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123825</xdr:colOff>
      <xdr:row>46</xdr:row>
      <xdr:rowOff>158750</xdr:rowOff>
    </xdr:from>
    <xdr:to>
      <xdr:col>9</xdr:col>
      <xdr:colOff>571500</xdr:colOff>
      <xdr:row>73</xdr:row>
      <xdr:rowOff>142875</xdr:rowOff>
    </xdr:to>
    <xdr:graphicFrame macro="">
      <xdr:nvGraphicFramePr>
        <xdr:cNvPr id="70001" name="Chart 1">
          <a:extLst>
            <a:ext uri="{FF2B5EF4-FFF2-40B4-BE49-F238E27FC236}">
              <a16:creationId xmlns:a16="http://schemas.microsoft.com/office/drawing/2014/main" id="{00000000-0008-0000-2700-0000711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0</xdr:colOff>
      <xdr:row>2</xdr:row>
      <xdr:rowOff>23815</xdr:rowOff>
    </xdr:from>
    <xdr:ext cx="743353" cy="800021"/>
    <xdr:pic>
      <xdr:nvPicPr>
        <xdr:cNvPr id="70002" name="Picture 331">
          <a:hlinkClick xmlns:r="http://schemas.openxmlformats.org/officeDocument/2006/relationships" r:id="rId2"/>
          <a:extLst>
            <a:ext uri="{FF2B5EF4-FFF2-40B4-BE49-F238E27FC236}">
              <a16:creationId xmlns:a16="http://schemas.microsoft.com/office/drawing/2014/main" id="{00000000-0008-0000-2700-0000721101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0" y="690565"/>
          <a:ext cx="743353" cy="800021"/>
        </a:xfrm>
        <a:prstGeom prst="rect">
          <a:avLst/>
        </a:prstGeom>
        <a:noFill/>
        <a:ln w="9525">
          <a:noFill/>
          <a:miter lim="800000"/>
          <a:headEnd/>
          <a:tailEnd/>
        </a:ln>
      </xdr:spPr>
    </xdr:pic>
    <xdr:clientData/>
  </xdr:oneCellAnchor>
</xdr:wsDr>
</file>

<file path=xl/drawings/drawing31.xml><?xml version="1.0" encoding="utf-8"?>
<xdr:wsDr xmlns:xdr="http://schemas.openxmlformats.org/drawingml/2006/spreadsheetDrawing" xmlns:a="http://schemas.openxmlformats.org/drawingml/2006/main">
  <xdr:twoCellAnchor>
    <xdr:from>
      <xdr:col>6</xdr:col>
      <xdr:colOff>535083</xdr:colOff>
      <xdr:row>4</xdr:row>
      <xdr:rowOff>297516</xdr:rowOff>
    </xdr:from>
    <xdr:to>
      <xdr:col>17</xdr:col>
      <xdr:colOff>132792</xdr:colOff>
      <xdr:row>23</xdr:row>
      <xdr:rowOff>46504</xdr:rowOff>
    </xdr:to>
    <xdr:graphicFrame macro="">
      <xdr:nvGraphicFramePr>
        <xdr:cNvPr id="161022" name="Chart 1">
          <a:extLst>
            <a:ext uri="{FF2B5EF4-FFF2-40B4-BE49-F238E27FC236}">
              <a16:creationId xmlns:a16="http://schemas.microsoft.com/office/drawing/2014/main" id="{00000000-0008-0000-2900-0000FE740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0</xdr:colOff>
      <xdr:row>2</xdr:row>
      <xdr:rowOff>1</xdr:rowOff>
    </xdr:from>
    <xdr:ext cx="743353" cy="800021"/>
    <xdr:pic>
      <xdr:nvPicPr>
        <xdr:cNvPr id="5" name="Picture 331">
          <a:hlinkClick xmlns:r="http://schemas.openxmlformats.org/officeDocument/2006/relationships" r:id="rId2"/>
          <a:extLst>
            <a:ext uri="{FF2B5EF4-FFF2-40B4-BE49-F238E27FC236}">
              <a16:creationId xmlns:a16="http://schemas.microsoft.com/office/drawing/2014/main" id="{00000000-0008-0000-29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0" y="666751"/>
          <a:ext cx="743353" cy="800021"/>
        </a:xfrm>
        <a:prstGeom prst="rect">
          <a:avLst/>
        </a:prstGeom>
        <a:noFill/>
        <a:ln w="9525">
          <a:noFill/>
          <a:miter lim="800000"/>
          <a:headEnd/>
          <a:tailEnd/>
        </a:ln>
      </xdr:spPr>
    </xdr:pic>
    <xdr:clientData/>
  </xdr:oneCellAnchor>
</xdr:wsDr>
</file>

<file path=xl/drawings/drawing32.xml><?xml version="1.0" encoding="utf-8"?>
<xdr:wsDr xmlns:xdr="http://schemas.openxmlformats.org/drawingml/2006/spreadsheetDrawing" xmlns:a="http://schemas.openxmlformats.org/drawingml/2006/main">
  <xdr:oneCellAnchor>
    <xdr:from>
      <xdr:col>0</xdr:col>
      <xdr:colOff>0</xdr:colOff>
      <xdr:row>2</xdr:row>
      <xdr:rowOff>22413</xdr:rowOff>
    </xdr:from>
    <xdr:ext cx="743353" cy="800021"/>
    <xdr:pic>
      <xdr:nvPicPr>
        <xdr:cNvPr id="4" name="Picture 331">
          <a:hlinkClick xmlns:r="http://schemas.openxmlformats.org/officeDocument/2006/relationships" r:id="rId1"/>
          <a:extLst>
            <a:ext uri="{FF2B5EF4-FFF2-40B4-BE49-F238E27FC236}">
              <a16:creationId xmlns:a16="http://schemas.microsoft.com/office/drawing/2014/main" id="{00000000-0008-0000-2A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89163"/>
          <a:ext cx="743353" cy="800021"/>
        </a:xfrm>
        <a:prstGeom prst="rect">
          <a:avLst/>
        </a:prstGeom>
        <a:noFill/>
        <a:ln w="9525">
          <a:noFill/>
          <a:miter lim="800000"/>
          <a:headEnd/>
          <a:tailEnd/>
        </a:ln>
      </xdr:spPr>
    </xdr:pic>
    <xdr:clientData/>
  </xdr:oneCellAnchor>
</xdr:wsDr>
</file>

<file path=xl/drawings/drawing33.xml><?xml version="1.0" encoding="utf-8"?>
<xdr:wsDr xmlns:xdr="http://schemas.openxmlformats.org/drawingml/2006/spreadsheetDrawing" xmlns:a="http://schemas.openxmlformats.org/drawingml/2006/main">
  <xdr:oneCellAnchor>
    <xdr:from>
      <xdr:col>0</xdr:col>
      <xdr:colOff>0</xdr:colOff>
      <xdr:row>1</xdr:row>
      <xdr:rowOff>313765</xdr:rowOff>
    </xdr:from>
    <xdr:ext cx="743353" cy="800021"/>
    <xdr:pic>
      <xdr:nvPicPr>
        <xdr:cNvPr id="42447" name="Picture 331">
          <a:hlinkClick xmlns:r="http://schemas.openxmlformats.org/officeDocument/2006/relationships" r:id="rId1"/>
          <a:extLst>
            <a:ext uri="{FF2B5EF4-FFF2-40B4-BE49-F238E27FC236}">
              <a16:creationId xmlns:a16="http://schemas.microsoft.com/office/drawing/2014/main" id="{00000000-0008-0000-3F00-0000CFA5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94765"/>
          <a:ext cx="743353" cy="800021"/>
        </a:xfrm>
        <a:prstGeom prst="rect">
          <a:avLst/>
        </a:prstGeom>
        <a:noFill/>
        <a:ln w="9525">
          <a:noFill/>
          <a:miter lim="800000"/>
          <a:headEnd/>
          <a:tailEnd/>
        </a:ln>
      </xdr:spPr>
    </xdr:pic>
    <xdr:clientData/>
  </xdr:oneCellAnchor>
</xdr:wsDr>
</file>

<file path=xl/drawings/drawing34.xml><?xml version="1.0" encoding="utf-8"?>
<xdr:wsDr xmlns:xdr="http://schemas.openxmlformats.org/drawingml/2006/spreadsheetDrawing" xmlns:a="http://schemas.openxmlformats.org/drawingml/2006/main">
  <xdr:twoCellAnchor>
    <xdr:from>
      <xdr:col>0</xdr:col>
      <xdr:colOff>237066</xdr:colOff>
      <xdr:row>39</xdr:row>
      <xdr:rowOff>16933</xdr:rowOff>
    </xdr:from>
    <xdr:to>
      <xdr:col>7</xdr:col>
      <xdr:colOff>189441</xdr:colOff>
      <xdr:row>61</xdr:row>
      <xdr:rowOff>35983</xdr:rowOff>
    </xdr:to>
    <xdr:graphicFrame macro="">
      <xdr:nvGraphicFramePr>
        <xdr:cNvPr id="72051" name="Chart 1">
          <a:extLst>
            <a:ext uri="{FF2B5EF4-FFF2-40B4-BE49-F238E27FC236}">
              <a16:creationId xmlns:a16="http://schemas.microsoft.com/office/drawing/2014/main" id="{00000000-0008-0000-4500-00007319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0</xdr:colOff>
      <xdr:row>1</xdr:row>
      <xdr:rowOff>328085</xdr:rowOff>
    </xdr:from>
    <xdr:ext cx="743353" cy="800021"/>
    <xdr:pic>
      <xdr:nvPicPr>
        <xdr:cNvPr id="72052" name="Picture 331">
          <a:hlinkClick xmlns:r="http://schemas.openxmlformats.org/officeDocument/2006/relationships" r:id="rId2"/>
          <a:extLst>
            <a:ext uri="{FF2B5EF4-FFF2-40B4-BE49-F238E27FC236}">
              <a16:creationId xmlns:a16="http://schemas.microsoft.com/office/drawing/2014/main" id="{00000000-0008-0000-4500-0000741901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0" y="699560"/>
          <a:ext cx="743353" cy="800021"/>
        </a:xfrm>
        <a:prstGeom prst="rect">
          <a:avLst/>
        </a:prstGeom>
        <a:noFill/>
        <a:ln w="9525">
          <a:noFill/>
          <a:miter lim="800000"/>
          <a:headEnd/>
          <a:tailEnd/>
        </a:ln>
      </xdr:spPr>
    </xdr:pic>
    <xdr:clientData/>
  </xdr:oneCellAnchor>
</xdr:wsDr>
</file>

<file path=xl/drawings/drawing35.xml><?xml version="1.0" encoding="utf-8"?>
<xdr:wsDr xmlns:xdr="http://schemas.openxmlformats.org/drawingml/2006/spreadsheetDrawing" xmlns:a="http://schemas.openxmlformats.org/drawingml/2006/main">
  <xdr:oneCellAnchor>
    <xdr:from>
      <xdr:col>0</xdr:col>
      <xdr:colOff>0</xdr:colOff>
      <xdr:row>1</xdr:row>
      <xdr:rowOff>21168</xdr:rowOff>
    </xdr:from>
    <xdr:ext cx="743353" cy="794228"/>
    <xdr:pic>
      <xdr:nvPicPr>
        <xdr:cNvPr id="68824" name="Picture 331">
          <a:hlinkClick xmlns:r="http://schemas.openxmlformats.org/officeDocument/2006/relationships" r:id="rId1"/>
          <a:extLst>
            <a:ext uri="{FF2B5EF4-FFF2-40B4-BE49-F238E27FC236}">
              <a16:creationId xmlns:a16="http://schemas.microsoft.com/office/drawing/2014/main" id="{00000000-0008-0000-4B00-0000D80C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402168"/>
          <a:ext cx="743353" cy="794228"/>
        </a:xfrm>
        <a:prstGeom prst="rect">
          <a:avLst/>
        </a:prstGeom>
        <a:noFill/>
        <a:ln w="9525">
          <a:noFill/>
          <a:miter lim="800000"/>
          <a:headEnd/>
          <a:tailEnd/>
        </a:ln>
      </xdr:spPr>
    </xdr:pic>
    <xdr:clientData/>
  </xdr:oneCellAnchor>
</xdr:wsDr>
</file>

<file path=xl/drawings/drawing36.xml><?xml version="1.0" encoding="utf-8"?>
<xdr:wsDr xmlns:xdr="http://schemas.openxmlformats.org/drawingml/2006/spreadsheetDrawing" xmlns:a="http://schemas.openxmlformats.org/drawingml/2006/main">
  <xdr:oneCellAnchor>
    <xdr:from>
      <xdr:col>0</xdr:col>
      <xdr:colOff>0</xdr:colOff>
      <xdr:row>2</xdr:row>
      <xdr:rowOff>2</xdr:rowOff>
    </xdr:from>
    <xdr:ext cx="743353" cy="800021"/>
    <xdr:pic>
      <xdr:nvPicPr>
        <xdr:cNvPr id="1192020" name="Picture 331">
          <a:hlinkClick xmlns:r="http://schemas.openxmlformats.org/officeDocument/2006/relationships" r:id="rId1"/>
          <a:extLst>
            <a:ext uri="{FF2B5EF4-FFF2-40B4-BE49-F238E27FC236}">
              <a16:creationId xmlns:a16="http://schemas.microsoft.com/office/drawing/2014/main" id="{00000000-0008-0000-4700-0000543012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04852"/>
          <a:ext cx="743353" cy="800021"/>
        </a:xfrm>
        <a:prstGeom prst="rect">
          <a:avLst/>
        </a:prstGeom>
        <a:noFill/>
        <a:ln w="9525">
          <a:noFill/>
          <a:miter lim="800000"/>
          <a:headEnd/>
          <a:tailEnd/>
        </a:ln>
      </xdr:spPr>
    </xdr:pic>
    <xdr:clientData/>
  </xdr:oneCellAnchor>
</xdr:wsDr>
</file>

<file path=xl/drawings/drawing37.xml><?xml version="1.0" encoding="utf-8"?>
<xdr:wsDr xmlns:xdr="http://schemas.openxmlformats.org/drawingml/2006/spreadsheetDrawing" xmlns:a="http://schemas.openxmlformats.org/drawingml/2006/main">
  <xdr:oneCellAnchor>
    <xdr:from>
      <xdr:col>0</xdr:col>
      <xdr:colOff>0</xdr:colOff>
      <xdr:row>1</xdr:row>
      <xdr:rowOff>317501</xdr:rowOff>
    </xdr:from>
    <xdr:ext cx="743353" cy="800021"/>
    <xdr:pic>
      <xdr:nvPicPr>
        <xdr:cNvPr id="1180757" name="Picture 331">
          <a:hlinkClick xmlns:r="http://schemas.openxmlformats.org/officeDocument/2006/relationships" r:id="rId1"/>
          <a:extLst>
            <a:ext uri="{FF2B5EF4-FFF2-40B4-BE49-F238E27FC236}">
              <a16:creationId xmlns:a16="http://schemas.microsoft.com/office/drawing/2014/main" id="{00000000-0008-0000-4800-0000550412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688976"/>
          <a:ext cx="743353" cy="800021"/>
        </a:xfrm>
        <a:prstGeom prst="rect">
          <a:avLst/>
        </a:prstGeom>
        <a:noFill/>
        <a:ln w="9525">
          <a:noFill/>
          <a:miter lim="800000"/>
          <a:headEnd/>
          <a:tailEnd/>
        </a:ln>
      </xdr:spPr>
    </xdr:pic>
    <xdr:clientData/>
  </xdr:oneCellAnchor>
</xdr:wsDr>
</file>

<file path=xl/drawings/drawing38.xml><?xml version="1.0" encoding="utf-8"?>
<xdr:wsDr xmlns:xdr="http://schemas.openxmlformats.org/drawingml/2006/spreadsheetDrawing" xmlns:a="http://schemas.openxmlformats.org/drawingml/2006/main">
  <xdr:oneCellAnchor>
    <xdr:from>
      <xdr:col>0</xdr:col>
      <xdr:colOff>0</xdr:colOff>
      <xdr:row>2</xdr:row>
      <xdr:rowOff>21167</xdr:rowOff>
    </xdr:from>
    <xdr:ext cx="743353" cy="800021"/>
    <xdr:pic>
      <xdr:nvPicPr>
        <xdr:cNvPr id="33030" name="Picture 331">
          <a:hlinkClick xmlns:r="http://schemas.openxmlformats.org/officeDocument/2006/relationships" r:id="rId1"/>
          <a:extLst>
            <a:ext uri="{FF2B5EF4-FFF2-40B4-BE49-F238E27FC236}">
              <a16:creationId xmlns:a16="http://schemas.microsoft.com/office/drawing/2014/main" id="{00000000-0008-0000-4900-00000681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26017"/>
          <a:ext cx="743353" cy="800021"/>
        </a:xfrm>
        <a:prstGeom prst="rect">
          <a:avLst/>
        </a:prstGeom>
        <a:noFill/>
        <a:ln w="9525">
          <a:noFill/>
          <a:miter lim="800000"/>
          <a:headEnd/>
          <a:tailEnd/>
        </a:ln>
      </xdr:spPr>
    </xdr:pic>
    <xdr:clientData/>
  </xdr:oneCellAnchor>
</xdr:wsDr>
</file>

<file path=xl/drawings/drawing39.xml><?xml version="1.0" encoding="utf-8"?>
<xdr:wsDr xmlns:xdr="http://schemas.openxmlformats.org/drawingml/2006/spreadsheetDrawing" xmlns:a="http://schemas.openxmlformats.org/drawingml/2006/main">
  <xdr:oneCellAnchor>
    <xdr:from>
      <xdr:col>0</xdr:col>
      <xdr:colOff>0</xdr:colOff>
      <xdr:row>1</xdr:row>
      <xdr:rowOff>324972</xdr:rowOff>
    </xdr:from>
    <xdr:ext cx="743353" cy="800021"/>
    <xdr:pic>
      <xdr:nvPicPr>
        <xdr:cNvPr id="32022" name="Picture 331">
          <a:hlinkClick xmlns:r="http://schemas.openxmlformats.org/officeDocument/2006/relationships" r:id="rId1"/>
          <a:extLst>
            <a:ext uri="{FF2B5EF4-FFF2-40B4-BE49-F238E27FC236}">
              <a16:creationId xmlns:a16="http://schemas.microsoft.com/office/drawing/2014/main" id="{00000000-0008-0000-4600-0000167D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05972"/>
          <a:ext cx="743353" cy="800021"/>
        </a:xfrm>
        <a:prstGeom prst="rect">
          <a:avLst/>
        </a:prstGeom>
        <a:noFill/>
        <a:ln w="9525">
          <a:noFill/>
          <a:miter lim="800000"/>
          <a:headEnd/>
          <a:tailEnd/>
        </a:ln>
      </xdr:spPr>
    </xdr:pic>
    <xdr:clientData/>
  </xdr:oneCellAnchor>
</xdr:wsDr>
</file>

<file path=xl/drawings/drawing40.xml><?xml version="1.0" encoding="utf-8"?>
<xdr:wsDr xmlns:xdr="http://schemas.openxmlformats.org/drawingml/2006/spreadsheetDrawing" xmlns:a="http://schemas.openxmlformats.org/drawingml/2006/main">
  <xdr:oneCellAnchor>
    <xdr:from>
      <xdr:col>0</xdr:col>
      <xdr:colOff>0</xdr:colOff>
      <xdr:row>1</xdr:row>
      <xdr:rowOff>38101</xdr:rowOff>
    </xdr:from>
    <xdr:ext cx="743353" cy="800021"/>
    <xdr:pic>
      <xdr:nvPicPr>
        <xdr:cNvPr id="2" name="Picture 331">
          <a:hlinkClick xmlns:r="http://schemas.openxmlformats.org/officeDocument/2006/relationships" r:id="rId1"/>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371476"/>
          <a:ext cx="743353" cy="800021"/>
        </a:xfrm>
        <a:prstGeom prst="rect">
          <a:avLst/>
        </a:prstGeom>
        <a:noFill/>
        <a:ln w="9525">
          <a:noFill/>
          <a:miter lim="800000"/>
          <a:headEnd/>
          <a:tailEnd/>
        </a:ln>
      </xdr:spPr>
    </xdr:pic>
    <xdr:clientData/>
  </xdr:oneCellAnchor>
</xdr:wsDr>
</file>

<file path=xl/drawings/drawing41.xml><?xml version="1.0" encoding="utf-8"?>
<xdr:wsDr xmlns:xdr="http://schemas.openxmlformats.org/drawingml/2006/spreadsheetDrawing" xmlns:a="http://schemas.openxmlformats.org/drawingml/2006/main">
  <xdr:oneCellAnchor>
    <xdr:from>
      <xdr:col>0</xdr:col>
      <xdr:colOff>12700</xdr:colOff>
      <xdr:row>1</xdr:row>
      <xdr:rowOff>25401</xdr:rowOff>
    </xdr:from>
    <xdr:ext cx="743353" cy="800021"/>
    <xdr:pic>
      <xdr:nvPicPr>
        <xdr:cNvPr id="2" name="Picture 331">
          <a:hlinkClick xmlns:r="http://schemas.openxmlformats.org/officeDocument/2006/relationships" r:id="rId1"/>
          <a:extLst>
            <a:ext uri="{FF2B5EF4-FFF2-40B4-BE49-F238E27FC236}">
              <a16:creationId xmlns:a16="http://schemas.microsoft.com/office/drawing/2014/main" id="{00000000-0008-0000-4D00-00000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00" y="358776"/>
          <a:ext cx="743353" cy="800021"/>
        </a:xfrm>
        <a:prstGeom prst="rect">
          <a:avLst/>
        </a:prstGeom>
        <a:noFill/>
        <a:ln w="9525">
          <a:noFill/>
          <a:miter lim="800000"/>
          <a:headEnd/>
          <a:tailEnd/>
        </a:ln>
      </xdr:spPr>
    </xdr:pic>
    <xdr:clientData/>
  </xdr:oneCellAnchor>
</xdr:wsDr>
</file>

<file path=xl/drawings/drawing42.xml><?xml version="1.0" encoding="utf-8"?>
<xdr:wsDr xmlns:xdr="http://schemas.openxmlformats.org/drawingml/2006/spreadsheetDrawing" xmlns:a="http://schemas.openxmlformats.org/drawingml/2006/main">
  <xdr:oneCellAnchor>
    <xdr:from>
      <xdr:col>0</xdr:col>
      <xdr:colOff>0</xdr:colOff>
      <xdr:row>1</xdr:row>
      <xdr:rowOff>38101</xdr:rowOff>
    </xdr:from>
    <xdr:ext cx="743353" cy="800021"/>
    <xdr:pic>
      <xdr:nvPicPr>
        <xdr:cNvPr id="3" name="Picture 331">
          <a:hlinkClick xmlns:r="http://schemas.openxmlformats.org/officeDocument/2006/relationships" r:id="rId1"/>
          <a:extLst>
            <a:ext uri="{FF2B5EF4-FFF2-40B4-BE49-F238E27FC236}">
              <a16:creationId xmlns:a16="http://schemas.microsoft.com/office/drawing/2014/main" id="{00000000-0008-0000-4E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371476"/>
          <a:ext cx="743353" cy="800021"/>
        </a:xfrm>
        <a:prstGeom prst="rect">
          <a:avLst/>
        </a:prstGeom>
        <a:noFill/>
        <a:ln w="9525">
          <a:noFill/>
          <a:miter lim="800000"/>
          <a:headEnd/>
          <a:tailEnd/>
        </a:ln>
      </xdr:spPr>
    </xdr:pic>
    <xdr:clientData/>
  </xdr:oneCellAnchor>
</xdr:wsDr>
</file>

<file path=xl/drawings/drawing43.xml><?xml version="1.0" encoding="utf-8"?>
<xdr:wsDr xmlns:xdr="http://schemas.openxmlformats.org/drawingml/2006/spreadsheetDrawing" xmlns:a="http://schemas.openxmlformats.org/drawingml/2006/main">
  <xdr:oneCellAnchor>
    <xdr:from>
      <xdr:col>0</xdr:col>
      <xdr:colOff>0</xdr:colOff>
      <xdr:row>1</xdr:row>
      <xdr:rowOff>38101</xdr:rowOff>
    </xdr:from>
    <xdr:ext cx="743353" cy="800021"/>
    <xdr:pic>
      <xdr:nvPicPr>
        <xdr:cNvPr id="2" name="Picture 331">
          <a:hlinkClick xmlns:r="http://schemas.openxmlformats.org/officeDocument/2006/relationships" r:id="rId1"/>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371476"/>
          <a:ext cx="743353" cy="800021"/>
        </a:xfrm>
        <a:prstGeom prst="rect">
          <a:avLst/>
        </a:prstGeom>
        <a:noFill/>
        <a:ln w="9525">
          <a:noFill/>
          <a:miter lim="800000"/>
          <a:headEnd/>
          <a:tailEnd/>
        </a:ln>
      </xdr:spPr>
    </xdr:pic>
    <xdr:clientData/>
  </xdr:oneCellAnchor>
</xdr:wsDr>
</file>

<file path=xl/drawings/drawing44.xml><?xml version="1.0" encoding="utf-8"?>
<xdr:wsDr xmlns:xdr="http://schemas.openxmlformats.org/drawingml/2006/spreadsheetDrawing" xmlns:a="http://schemas.openxmlformats.org/drawingml/2006/main">
  <xdr:oneCellAnchor>
    <xdr:from>
      <xdr:col>0</xdr:col>
      <xdr:colOff>122465</xdr:colOff>
      <xdr:row>0</xdr:row>
      <xdr:rowOff>27214</xdr:rowOff>
    </xdr:from>
    <xdr:ext cx="743353" cy="808215"/>
    <xdr:pic>
      <xdr:nvPicPr>
        <xdr:cNvPr id="2" name="Picture 331">
          <a:hlinkClick xmlns:r="http://schemas.openxmlformats.org/officeDocument/2006/relationships" r:id="rId1"/>
          <a:extLst>
            <a:ext uri="{FF2B5EF4-FFF2-40B4-BE49-F238E27FC236}">
              <a16:creationId xmlns:a16="http://schemas.microsoft.com/office/drawing/2014/main" id="{00000000-0008-0000-5000-00000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2465" y="27214"/>
          <a:ext cx="743353" cy="808215"/>
        </a:xfrm>
        <a:prstGeom prst="rect">
          <a:avLst/>
        </a:prstGeom>
        <a:noFill/>
        <a:ln w="9525">
          <a:noFill/>
          <a:miter lim="800000"/>
          <a:headEnd/>
          <a:tailEnd/>
        </a:ln>
      </xdr:spPr>
    </xdr:pic>
    <xdr:clientData/>
  </xdr:oneCellAnchor>
</xdr:wsDr>
</file>

<file path=xl/drawings/drawing45.xml><?xml version="1.0" encoding="utf-8"?>
<xdr:wsDr xmlns:xdr="http://schemas.openxmlformats.org/drawingml/2006/spreadsheetDrawing" xmlns:a="http://schemas.openxmlformats.org/drawingml/2006/main">
  <xdr:twoCellAnchor editAs="oneCell">
    <xdr:from>
      <xdr:col>15</xdr:col>
      <xdr:colOff>19050</xdr:colOff>
      <xdr:row>0</xdr:row>
      <xdr:rowOff>0</xdr:rowOff>
    </xdr:from>
    <xdr:to>
      <xdr:col>16</xdr:col>
      <xdr:colOff>590550</xdr:colOff>
      <xdr:row>3</xdr:row>
      <xdr:rowOff>77881</xdr:rowOff>
    </xdr:to>
    <xdr:sp macro="" textlink="">
      <xdr:nvSpPr>
        <xdr:cNvPr id="27621" name="AutoShape 500">
          <a:extLst>
            <a:ext uri="{FF2B5EF4-FFF2-40B4-BE49-F238E27FC236}">
              <a16:creationId xmlns:a16="http://schemas.microsoft.com/office/drawing/2014/main" id="{00000000-0008-0000-2B00-0000E56B0000}"/>
            </a:ext>
          </a:extLst>
        </xdr:cNvPr>
        <xdr:cNvSpPr>
          <a:spLocks noChangeAspect="1" noChangeArrowheads="1"/>
        </xdr:cNvSpPr>
      </xdr:nvSpPr>
      <xdr:spPr bwMode="auto">
        <a:xfrm>
          <a:off x="13916025" y="0"/>
          <a:ext cx="1266825" cy="1123950"/>
        </a:xfrm>
        <a:prstGeom prst="rect">
          <a:avLst/>
        </a:prstGeom>
        <a:noFill/>
        <a:ln w="9525">
          <a:noFill/>
          <a:miter lim="800000"/>
          <a:headEnd/>
          <a:tailEnd/>
        </a:ln>
      </xdr:spPr>
    </xdr:sp>
    <xdr:clientData/>
  </xdr:twoCellAnchor>
  <xdr:oneCellAnchor>
    <xdr:from>
      <xdr:col>0</xdr:col>
      <xdr:colOff>0</xdr:colOff>
      <xdr:row>1</xdr:row>
      <xdr:rowOff>324973</xdr:rowOff>
    </xdr:from>
    <xdr:ext cx="743353" cy="800021"/>
    <xdr:pic>
      <xdr:nvPicPr>
        <xdr:cNvPr id="27622" name="Picture 331">
          <a:hlinkClick xmlns:r="http://schemas.openxmlformats.org/officeDocument/2006/relationships" r:id="rId1"/>
          <a:extLst>
            <a:ext uri="{FF2B5EF4-FFF2-40B4-BE49-F238E27FC236}">
              <a16:creationId xmlns:a16="http://schemas.microsoft.com/office/drawing/2014/main" id="{00000000-0008-0000-2B00-0000E66B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05973"/>
          <a:ext cx="743353" cy="800021"/>
        </a:xfrm>
        <a:prstGeom prst="rect">
          <a:avLst/>
        </a:prstGeom>
        <a:noFill/>
        <a:ln w="9525">
          <a:noFill/>
          <a:miter lim="800000"/>
          <a:headEnd/>
          <a:tailEnd/>
        </a:ln>
      </xdr:spPr>
    </xdr:pic>
    <xdr:clientData/>
  </xdr:oneCellAnchor>
</xdr:wsDr>
</file>

<file path=xl/drawings/drawing46.xml><?xml version="1.0" encoding="utf-8"?>
<xdr:wsDr xmlns:xdr="http://schemas.openxmlformats.org/drawingml/2006/spreadsheetDrawing" xmlns:a="http://schemas.openxmlformats.org/drawingml/2006/main">
  <xdr:oneCellAnchor>
    <xdr:from>
      <xdr:col>0</xdr:col>
      <xdr:colOff>0</xdr:colOff>
      <xdr:row>2</xdr:row>
      <xdr:rowOff>33619</xdr:rowOff>
    </xdr:from>
    <xdr:ext cx="743353" cy="800021"/>
    <xdr:pic>
      <xdr:nvPicPr>
        <xdr:cNvPr id="98520" name="Picture 331">
          <a:hlinkClick xmlns:r="http://schemas.openxmlformats.org/officeDocument/2006/relationships" r:id="rId1"/>
          <a:extLst>
            <a:ext uri="{FF2B5EF4-FFF2-40B4-BE49-F238E27FC236}">
              <a16:creationId xmlns:a16="http://schemas.microsoft.com/office/drawing/2014/main" id="{00000000-0008-0000-3E00-0000D88001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709894"/>
          <a:ext cx="743353" cy="800021"/>
        </a:xfrm>
        <a:prstGeom prst="rect">
          <a:avLst/>
        </a:prstGeom>
        <a:noFill/>
        <a:ln w="9525">
          <a:noFill/>
          <a:miter lim="800000"/>
          <a:headEnd/>
          <a:tailEnd/>
        </a:ln>
      </xdr:spPr>
    </xdr:pic>
    <xdr:clientData/>
  </xdr:oneCellAnchor>
</xdr:wsDr>
</file>

<file path=xl/drawings/drawing47.xml><?xml version="1.0" encoding="utf-8"?>
<xdr:wsDr xmlns:xdr="http://schemas.openxmlformats.org/drawingml/2006/spreadsheetDrawing" xmlns:a="http://schemas.openxmlformats.org/drawingml/2006/main">
  <xdr:oneCellAnchor>
    <xdr:from>
      <xdr:col>0</xdr:col>
      <xdr:colOff>0</xdr:colOff>
      <xdr:row>0</xdr:row>
      <xdr:rowOff>0</xdr:rowOff>
    </xdr:from>
    <xdr:ext cx="743353" cy="792295"/>
    <xdr:pic>
      <xdr:nvPicPr>
        <xdr:cNvPr id="2" name="Picture 331">
          <a:hlinkClick xmlns:r="http://schemas.openxmlformats.org/officeDocument/2006/relationships" r:id="rId1"/>
          <a:extLst>
            <a:ext uri="{FF2B5EF4-FFF2-40B4-BE49-F238E27FC236}">
              <a16:creationId xmlns:a16="http://schemas.microsoft.com/office/drawing/2014/main" id="{21EDBA37-AE8B-4F78-A251-88F71EF41EC2}"/>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743353" cy="792295"/>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granes/Desktop/Ayuda20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CURSOEOI\Plan%20Financiero\PF%206_5r22_8_1_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nomos 2016"/>
      <sheetName val="MENÚ PRINCIPAL"/>
      <sheetName val="RESULTADOS"/>
      <sheetName val="PREVISIÓN INGRESOS"/>
      <sheetName val="PREVISIÓN GASTOS"/>
      <sheetName val="INICIO ACTIVIDAD"/>
      <sheetName val="Índice"/>
      <sheetName val="Datos Básicos"/>
      <sheetName val="Parametros"/>
      <sheetName val="Amortizaciones"/>
      <sheetName val="Inv. Iniciales ANC"/>
      <sheetName val="Inversiones AC"/>
      <sheetName val="Financiación Inicial"/>
      <sheetName val="Incentivos"/>
      <sheetName val="Préstamos"/>
      <sheetName val="Renting"/>
      <sheetName val="Leasing"/>
      <sheetName val="RR HH"/>
      <sheetName val="Plantilla"/>
      <sheetName val="Datos Gastos Fijos"/>
      <sheetName val="Precios Venta y P. Cobros"/>
      <sheetName val="Precios-CV"/>
      <sheetName val="Estimacion Ventas"/>
      <sheetName val="Politicas Cobros y Pagos"/>
      <sheetName val="Otros cobros y pagos"/>
      <sheetName val="Bal. Inicial Previo"/>
      <sheetName val="DATOS GRAF. COMP. BALANCES"/>
      <sheetName val="COMP. Balances Anuales"/>
      <sheetName val="REAL Balances Anuales"/>
      <sheetName val="Balances anuales"/>
      <sheetName val="Prev.Ventas 0"/>
      <sheetName val="Prev.Ventas 1"/>
      <sheetName val="Prev.Ventas 2"/>
      <sheetName val="Prev.Ventas 3"/>
      <sheetName val="Prev.Ventas 4"/>
      <sheetName val="PyG 0"/>
      <sheetName val="PyG 1"/>
      <sheetName val="PyG 2"/>
      <sheetName val="PyG 3"/>
      <sheetName val="PyG 4"/>
      <sheetName val="Resumen Ventas 5 años"/>
      <sheetName val="DATOS GRAF. COMP. PYG"/>
      <sheetName val="COMP. PyG"/>
      <sheetName val="PyG Reales"/>
      <sheetName val="PyG anuales"/>
      <sheetName val="Imp.Sociedades"/>
      <sheetName val="IRPF Prof y Autónomos"/>
      <sheetName val="Ret IRPF"/>
      <sheetName val="Cobros y pagos 0"/>
      <sheetName val="Cobros y pagos 1"/>
      <sheetName val="Cobros y pagos 2"/>
      <sheetName val="Cobros y pagos 3"/>
      <sheetName val="Cobros y pagos 4"/>
      <sheetName val="G.F. 0"/>
      <sheetName val="G.F. 1"/>
      <sheetName val="G.F. 2"/>
      <sheetName val="G.F. 3"/>
      <sheetName val="G.F. 4"/>
      <sheetName val="IVA 0"/>
      <sheetName val="IVA 1"/>
      <sheetName val="IVA 2"/>
      <sheetName val="IVA 3"/>
      <sheetName val="IVA 4"/>
      <sheetName val="Resumen Gastos Fijos"/>
      <sheetName val="Gastos Financieros"/>
      <sheetName val="Tesorería 0"/>
      <sheetName val="Tesorería 1"/>
      <sheetName val="Tesorería 2"/>
      <sheetName val="Tesorería 3"/>
      <sheetName val="Tesorería 4"/>
      <sheetName val="Resumen Tesorerias"/>
      <sheetName val="P. Equilibrio"/>
      <sheetName val="COMP. Ratios Básicos"/>
      <sheetName val="Ratios Básicos Reales"/>
      <sheetName val="Ratios Básicos"/>
      <sheetName val="Notas Ratios"/>
      <sheetName val="Datos Evaluación"/>
      <sheetName val="ACTIVO"/>
      <sheetName val="PASIVO"/>
      <sheetName val="DEBE"/>
      <sheetName val="HABER"/>
      <sheetName val="MICROCREDITOS"/>
      <sheetName val="Autónomos 2015"/>
    </sheetNames>
    <sheetDataSet>
      <sheetData sheetId="0"/>
      <sheetData sheetId="1"/>
      <sheetData sheetId="2"/>
      <sheetData sheetId="3"/>
      <sheetData sheetId="4"/>
      <sheetData sheetId="5"/>
      <sheetData sheetId="6"/>
      <sheetData sheetId="7">
        <row r="19">
          <cell r="C19">
            <v>1</v>
          </cell>
        </row>
        <row r="25">
          <cell r="B25">
            <v>0</v>
          </cell>
          <cell r="I25">
            <v>0.2</v>
          </cell>
        </row>
        <row r="27">
          <cell r="J27">
            <v>0</v>
          </cell>
        </row>
      </sheetData>
      <sheetData sheetId="8">
        <row r="6">
          <cell r="F6" t="str">
            <v>Euros</v>
          </cell>
        </row>
        <row r="10">
          <cell r="C10">
            <v>0</v>
          </cell>
        </row>
      </sheetData>
      <sheetData sheetId="9"/>
      <sheetData sheetId="10">
        <row r="10">
          <cell r="B10">
            <v>0</v>
          </cell>
        </row>
      </sheetData>
      <sheetData sheetId="11">
        <row r="23">
          <cell r="B23">
            <v>3000</v>
          </cell>
        </row>
      </sheetData>
      <sheetData sheetId="12">
        <row r="7">
          <cell r="B7">
            <v>3500</v>
          </cell>
        </row>
        <row r="8">
          <cell r="B8">
            <v>3500</v>
          </cell>
        </row>
        <row r="9">
          <cell r="B9">
            <v>0</v>
          </cell>
        </row>
        <row r="10">
          <cell r="B10">
            <v>0</v>
          </cell>
        </row>
        <row r="11">
          <cell r="B11">
            <v>0</v>
          </cell>
        </row>
        <row r="12">
          <cell r="B12">
            <v>0</v>
          </cell>
        </row>
        <row r="13">
          <cell r="B13">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9">
          <cell r="D9">
            <v>72960.3</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0"/>
      <sheetName val="Índice"/>
      <sheetName val="Condiciones de Uso"/>
      <sheetName val="Datos Básicos"/>
      <sheetName val="Parametros"/>
      <sheetName val="Inversiones"/>
      <sheetName val="Amortizaciones"/>
      <sheetName val="Financiación Inicial"/>
      <sheetName val="Préstamo"/>
      <sheetName val="RR HH"/>
      <sheetName val="RR HH (2)"/>
      <sheetName val="Gastos Fijos"/>
      <sheetName val="Precios-CV"/>
      <sheetName val="Prev.Ventas"/>
      <sheetName val="Politicas Cobros y Pagos"/>
      <sheetName val="Transitorio Inicial"/>
      <sheetName val="Otros cobros y pagos"/>
      <sheetName val="Bal. Inicial Previo"/>
      <sheetName val="Bal. Año 0"/>
      <sheetName val="Bal. Año 1"/>
      <sheetName val="Bal. Año 2"/>
      <sheetName val="Comparativa Balances"/>
      <sheetName val="Prev.Ventas 0"/>
      <sheetName val="Prev.Ventas 1"/>
      <sheetName val="Prev.Ventas 2"/>
      <sheetName val="PyG 0"/>
      <sheetName val="PyG 1"/>
      <sheetName val="PyG 2"/>
      <sheetName val="PYG 3 años"/>
      <sheetName val="Imp.Sociedades"/>
      <sheetName val="IRPF Prof y Autónomos"/>
      <sheetName val="Cobros y pagos 0"/>
      <sheetName val="Cobros y pagos 1"/>
      <sheetName val="Cobros y pagos 2"/>
      <sheetName val="G.F. 0"/>
      <sheetName val="G.F. 1"/>
      <sheetName val="G.F. 2"/>
      <sheetName val="IVA 0"/>
      <sheetName val="IVA 1"/>
      <sheetName val="IVA 2"/>
      <sheetName val="Gastos Financieros"/>
      <sheetName val="Tesorería 0"/>
      <sheetName val="Tesorería 1"/>
      <sheetName val="Tesorería 2"/>
      <sheetName val="P. Equilibrio"/>
      <sheetName val="Ratios Básicos"/>
      <sheetName val="Datos Evalu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
          <cell r="F4">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F2B46"/>
      </a:dk2>
      <a:lt2>
        <a:srgbClr val="E8F1F5"/>
      </a:lt2>
      <a:accent1>
        <a:srgbClr val="0F2E52"/>
      </a:accent1>
      <a:accent2>
        <a:srgbClr val="FF6B57"/>
      </a:accent2>
      <a:accent3>
        <a:srgbClr val="14A3A8"/>
      </a:accent3>
      <a:accent4>
        <a:srgbClr val="FFB81F"/>
      </a:accent4>
      <a:accent5>
        <a:srgbClr val="7E6BC4"/>
      </a:accent5>
      <a:accent6>
        <a:srgbClr val="5BBF9B"/>
      </a:accent6>
      <a:hlink>
        <a:srgbClr val="1F6FB5"/>
      </a:hlink>
      <a:folHlink>
        <a:srgbClr val="6B5B95"/>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7.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8.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11.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8.xml"/><Relationship Id="rId1" Type="http://schemas.openxmlformats.org/officeDocument/2006/relationships/printerSettings" Target="../printerSettings/printerSettings19.bin"/><Relationship Id="rId4" Type="http://schemas.openxmlformats.org/officeDocument/2006/relationships/comments" Target="../comments12.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4.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44.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40.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41.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42.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48.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53.bin"/></Relationships>
</file>

<file path=xl/worksheets/_rels/sheet58.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54.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58.bin"/></Relationships>
</file>

<file path=xl/worksheets/_rels/sheet63.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59.bin"/></Relationships>
</file>

<file path=xl/worksheets/_rels/sheet64.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60.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64.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65.bin"/></Relationships>
</file>

<file path=xl/worksheets/_rels/sheet70.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drawing" Target="../drawings/drawing36.xml"/></Relationships>
</file>

<file path=xl/worksheets/_rels/sheet71.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drawing" Target="../drawings/drawing37.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8.xml"/><Relationship Id="rId1" Type="http://schemas.openxmlformats.org/officeDocument/2006/relationships/printerSettings" Target="../printerSettings/printerSettings66.bin"/><Relationship Id="rId4" Type="http://schemas.openxmlformats.org/officeDocument/2006/relationships/comments" Target="../comments27.xml"/></Relationships>
</file>

<file path=xl/worksheets/_rels/sheet73.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67.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68.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69.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70.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71.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72.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73.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74.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75.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7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14A3A8"/>
  </sheetPr>
  <dimension ref="A1:E36"/>
  <sheetViews>
    <sheetView showGridLines="0" tabSelected="1" workbookViewId="0">
      <selection sqref="A1:E1"/>
    </sheetView>
  </sheetViews>
  <sheetFormatPr baseColWidth="10" defaultRowHeight="15.75" x14ac:dyDescent="0.25"/>
  <cols>
    <col min="1" max="1" width="53.25" style="1090" customWidth="1"/>
    <col min="2" max="2" width="22.625" style="1090" bestFit="1" customWidth="1"/>
    <col min="3" max="3" width="29.5" style="1090" bestFit="1" customWidth="1"/>
    <col min="4" max="4" width="32.25" style="1090" bestFit="1" customWidth="1"/>
    <col min="5" max="5" width="17.625" style="1090" bestFit="1" customWidth="1"/>
    <col min="6" max="16384" width="11" style="1090"/>
  </cols>
  <sheetData>
    <row r="1" spans="1:5" ht="22.5" x14ac:dyDescent="0.35">
      <c r="A1" s="2484" t="s">
        <v>13</v>
      </c>
      <c r="B1" s="2484"/>
      <c r="C1" s="2484"/>
      <c r="D1" s="2484"/>
      <c r="E1" s="2484"/>
    </row>
    <row r="3" spans="1:5" ht="52.5" customHeight="1" x14ac:dyDescent="0.25"/>
    <row r="7" spans="1:5" x14ac:dyDescent="0.25">
      <c r="D7" s="1903"/>
    </row>
    <row r="8" spans="1:5" ht="20.25" thickBot="1" x14ac:dyDescent="0.35">
      <c r="B8" s="1091"/>
    </row>
    <row r="9" spans="1:5" ht="19.5" x14ac:dyDescent="0.25">
      <c r="E9" s="1074" t="s">
        <v>213</v>
      </c>
    </row>
    <row r="10" spans="1:5" ht="20.25" thickBot="1" x14ac:dyDescent="0.35">
      <c r="B10" s="1092"/>
    </row>
    <row r="11" spans="1:5" ht="19.5" x14ac:dyDescent="0.25">
      <c r="D11" s="1074" t="s">
        <v>221</v>
      </c>
    </row>
    <row r="12" spans="1:5" ht="20.25" thickBot="1" x14ac:dyDescent="0.35">
      <c r="B12" s="1092"/>
    </row>
    <row r="13" spans="1:5" ht="19.5" x14ac:dyDescent="0.25">
      <c r="C13" s="1074" t="s">
        <v>224</v>
      </c>
    </row>
    <row r="14" spans="1:5" ht="20.25" thickBot="1" x14ac:dyDescent="0.35">
      <c r="B14" s="1092"/>
    </row>
    <row r="15" spans="1:5" ht="19.5" x14ac:dyDescent="0.25">
      <c r="B15" s="1074" t="s">
        <v>230</v>
      </c>
    </row>
    <row r="16" spans="1:5" ht="17.25" x14ac:dyDescent="0.3">
      <c r="B16" s="1093"/>
    </row>
    <row r="17" spans="1:2" x14ac:dyDescent="0.25">
      <c r="B17" s="1094"/>
    </row>
    <row r="18" spans="1:2" x14ac:dyDescent="0.25">
      <c r="B18" s="1094"/>
    </row>
    <row r="20" spans="1:2" ht="16.5" thickBot="1" x14ac:dyDescent="0.3">
      <c r="B20" s="1094"/>
    </row>
    <row r="21" spans="1:2" ht="26.25" thickTop="1" thickBot="1" x14ac:dyDescent="0.45">
      <c r="A21" s="2473" t="s">
        <v>1282</v>
      </c>
    </row>
    <row r="22" spans="1:2" ht="16.5" thickTop="1" x14ac:dyDescent="0.25"/>
    <row r="31" spans="1:2" ht="24.75" x14ac:dyDescent="0.4">
      <c r="A31" s="2445"/>
    </row>
    <row r="36" spans="1:5" ht="19.5" x14ac:dyDescent="0.25">
      <c r="A36" s="1095"/>
      <c r="B36" s="1096"/>
      <c r="C36" s="1096"/>
      <c r="D36" s="1096"/>
      <c r="E36" s="1096"/>
    </row>
  </sheetData>
  <sheetProtection sheet="1" objects="1" scenarios="1"/>
  <mergeCells count="1">
    <mergeCell ref="A1:E1"/>
  </mergeCells>
  <phoneticPr fontId="13" type="noConversion"/>
  <hyperlinks>
    <hyperlink ref="B15" location="'INICIO ACTIVIDAD'!A1" display="INICIO ACTIVIDAD" xr:uid="{00000000-0004-0000-0000-000000000000}"/>
    <hyperlink ref="C13" location="'PREVISIÓN GASTOS'!A1" display="PREVISIÓN DE GASTOS" xr:uid="{00000000-0004-0000-0000-000001000000}"/>
    <hyperlink ref="D11" location="'PREVISIÓN INGRESOS'!A1" display="REVISIÓN DE INGRESOS" xr:uid="{00000000-0004-0000-0000-000002000000}"/>
    <hyperlink ref="E9" location="RESULTADOS!A1" display="RESULTADOS" xr:uid="{00000000-0004-0000-0000-000003000000}"/>
  </hyperlinks>
  <pageMargins left="0.75" right="0.75" top="1" bottom="1"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tabColor rgb="FF7E6BC4"/>
  </sheetPr>
  <dimension ref="B1:F51"/>
  <sheetViews>
    <sheetView showGridLines="0" workbookViewId="0"/>
  </sheetViews>
  <sheetFormatPr baseColWidth="10" defaultRowHeight="15.75" x14ac:dyDescent="0.25"/>
  <cols>
    <col min="1" max="1" width="11" style="1090"/>
    <col min="2" max="2" width="2" style="1090" customWidth="1"/>
    <col min="3" max="3" width="67.375" style="1090" customWidth="1"/>
    <col min="4" max="4" width="11" style="1090"/>
    <col min="5" max="5" width="2" style="1090" customWidth="1"/>
    <col min="6" max="6" width="65.125" style="1090" customWidth="1"/>
    <col min="7" max="8" width="21.875" style="1090" bestFit="1" customWidth="1"/>
    <col min="9" max="16384" width="11" style="1090"/>
  </cols>
  <sheetData>
    <row r="1" spans="2:6" ht="19.5" x14ac:dyDescent="0.25">
      <c r="C1" s="2266" t="s">
        <v>213</v>
      </c>
      <c r="D1" s="2261"/>
      <c r="E1" s="2261"/>
      <c r="F1" s="2261"/>
    </row>
    <row r="5" spans="2:6" ht="16.5" thickBot="1" x14ac:dyDescent="0.3"/>
    <row r="6" spans="2:6" ht="19.5" x14ac:dyDescent="0.3">
      <c r="C6" s="2173"/>
      <c r="F6" s="2171"/>
    </row>
    <row r="7" spans="2:6" ht="19.5" x14ac:dyDescent="0.3">
      <c r="B7" s="1260"/>
      <c r="C7" s="2174" t="s">
        <v>214</v>
      </c>
      <c r="D7" s="1091"/>
      <c r="E7" s="1262"/>
      <c r="F7" s="2170" t="s">
        <v>1120</v>
      </c>
    </row>
    <row r="8" spans="2:6" ht="19.5" x14ac:dyDescent="0.3">
      <c r="C8" s="2175"/>
      <c r="D8" s="1091"/>
      <c r="E8" s="1091"/>
      <c r="F8" s="2170"/>
    </row>
    <row r="9" spans="2:6" ht="19.5" x14ac:dyDescent="0.3">
      <c r="B9" s="1261"/>
      <c r="C9" s="2174" t="s">
        <v>11</v>
      </c>
      <c r="D9" s="1091"/>
      <c r="E9" s="1260"/>
      <c r="F9" s="2170" t="s">
        <v>1121</v>
      </c>
    </row>
    <row r="10" spans="2:6" ht="19.5" x14ac:dyDescent="0.3">
      <c r="C10" s="2175"/>
      <c r="D10" s="1091"/>
      <c r="E10" s="1091"/>
      <c r="F10" s="2170"/>
    </row>
    <row r="11" spans="2:6" ht="19.5" x14ac:dyDescent="0.3">
      <c r="B11" s="1262"/>
      <c r="C11" s="2174" t="s">
        <v>1208</v>
      </c>
      <c r="D11" s="1091"/>
      <c r="E11" s="1678"/>
      <c r="F11" s="2170" t="s">
        <v>1122</v>
      </c>
    </row>
    <row r="12" spans="2:6" ht="20.25" thickBot="1" x14ac:dyDescent="0.35">
      <c r="C12" s="2175"/>
      <c r="D12" s="1091"/>
      <c r="E12" s="1091"/>
      <c r="F12" s="2172"/>
    </row>
    <row r="13" spans="2:6" ht="19.5" x14ac:dyDescent="0.3">
      <c r="B13" s="1262"/>
      <c r="C13" s="2174" t="s">
        <v>215</v>
      </c>
      <c r="D13" s="1091"/>
      <c r="E13" s="1091"/>
      <c r="F13" s="1091"/>
    </row>
    <row r="14" spans="2:6" ht="20.25" thickBot="1" x14ac:dyDescent="0.35">
      <c r="C14" s="2175"/>
      <c r="D14" s="1091"/>
      <c r="E14" s="1091"/>
      <c r="F14" s="1091"/>
    </row>
    <row r="15" spans="2:6" ht="19.5" x14ac:dyDescent="0.3">
      <c r="B15" s="1261"/>
      <c r="C15" s="2174" t="s">
        <v>217</v>
      </c>
      <c r="D15" s="1091"/>
      <c r="E15" s="1091"/>
      <c r="F15" s="2173"/>
    </row>
    <row r="16" spans="2:6" ht="19.5" x14ac:dyDescent="0.3">
      <c r="C16" s="2174"/>
      <c r="D16" s="1091"/>
      <c r="E16" s="1262"/>
      <c r="F16" s="2174" t="s">
        <v>1123</v>
      </c>
    </row>
    <row r="17" spans="2:6" ht="19.5" x14ac:dyDescent="0.3">
      <c r="B17" s="1263"/>
      <c r="C17" s="2174" t="s">
        <v>218</v>
      </c>
      <c r="D17" s="1091"/>
      <c r="E17" s="1091"/>
      <c r="F17" s="2175"/>
    </row>
    <row r="18" spans="2:6" ht="19.5" x14ac:dyDescent="0.3">
      <c r="C18" s="2174"/>
      <c r="D18" s="1091"/>
      <c r="E18" s="1260"/>
      <c r="F18" s="2174" t="s">
        <v>1124</v>
      </c>
    </row>
    <row r="19" spans="2:6" ht="19.5" x14ac:dyDescent="0.3">
      <c r="B19" s="1263"/>
      <c r="C19" s="2174" t="s">
        <v>219</v>
      </c>
      <c r="D19" s="1091"/>
      <c r="E19" s="1091"/>
      <c r="F19" s="2175"/>
    </row>
    <row r="20" spans="2:6" ht="19.5" x14ac:dyDescent="0.3">
      <c r="C20" s="2174"/>
      <c r="D20" s="1091"/>
      <c r="E20" s="1678"/>
      <c r="F20" s="2174" t="s">
        <v>1125</v>
      </c>
    </row>
    <row r="21" spans="2:6" ht="20.25" thickBot="1" x14ac:dyDescent="0.35">
      <c r="B21" s="1261"/>
      <c r="C21" s="2174" t="s">
        <v>220</v>
      </c>
      <c r="D21" s="1091"/>
      <c r="E21" s="1091"/>
      <c r="F21" s="2178"/>
    </row>
    <row r="22" spans="2:6" ht="19.5" x14ac:dyDescent="0.3">
      <c r="C22" s="2174"/>
      <c r="D22" s="1091"/>
      <c r="E22" s="1091"/>
      <c r="F22" s="1091"/>
    </row>
    <row r="23" spans="2:6" ht="20.25" thickBot="1" x14ac:dyDescent="0.35">
      <c r="B23" s="1263"/>
      <c r="C23" s="2174" t="s">
        <v>227</v>
      </c>
      <c r="D23" s="1091"/>
      <c r="E23" s="1091"/>
      <c r="F23" s="1091"/>
    </row>
    <row r="24" spans="2:6" ht="19.5" x14ac:dyDescent="0.3">
      <c r="C24" s="2175"/>
      <c r="D24" s="1091"/>
      <c r="E24" s="1091"/>
      <c r="F24" s="2173"/>
    </row>
    <row r="25" spans="2:6" ht="19.5" x14ac:dyDescent="0.3">
      <c r="B25" s="1263"/>
      <c r="C25" s="2174" t="s">
        <v>228</v>
      </c>
      <c r="D25" s="1091"/>
      <c r="E25" s="1261"/>
      <c r="F25" s="2174" t="s">
        <v>216</v>
      </c>
    </row>
    <row r="26" spans="2:6" ht="19.5" x14ac:dyDescent="0.3">
      <c r="C26" s="2176"/>
      <c r="D26" s="1091"/>
      <c r="E26" s="1091"/>
      <c r="F26" s="2175"/>
    </row>
    <row r="27" spans="2:6" ht="19.5" x14ac:dyDescent="0.3">
      <c r="B27" s="1263"/>
      <c r="C27" s="2174" t="s">
        <v>229</v>
      </c>
      <c r="D27" s="1091"/>
      <c r="E27" s="1260"/>
      <c r="F27" s="2174" t="s">
        <v>1126</v>
      </c>
    </row>
    <row r="28" spans="2:6" ht="20.25" thickBot="1" x14ac:dyDescent="0.35">
      <c r="C28" s="2177"/>
      <c r="D28" s="1091"/>
      <c r="E28" s="1091"/>
      <c r="F28" s="2175"/>
    </row>
    <row r="29" spans="2:6" ht="19.5" x14ac:dyDescent="0.3">
      <c r="D29" s="1091"/>
      <c r="E29" s="1678"/>
      <c r="F29" s="2174" t="s">
        <v>1127</v>
      </c>
    </row>
    <row r="30" spans="2:6" ht="20.25" thickBot="1" x14ac:dyDescent="0.35">
      <c r="D30" s="1091"/>
      <c r="E30" s="1091"/>
      <c r="F30" s="2178"/>
    </row>
    <row r="31" spans="2:6" ht="20.25" thickBot="1" x14ac:dyDescent="0.35">
      <c r="C31" s="2474" t="s">
        <v>1279</v>
      </c>
      <c r="D31" s="1091"/>
      <c r="E31" s="1091"/>
      <c r="F31" s="1091"/>
    </row>
    <row r="32" spans="2:6" ht="20.25" thickBot="1" x14ac:dyDescent="0.35">
      <c r="D32" s="1091"/>
      <c r="E32" s="1091"/>
      <c r="F32" s="1091"/>
    </row>
    <row r="33" spans="3:6" ht="20.25" thickBot="1" x14ac:dyDescent="0.35">
      <c r="C33" s="2305" t="s">
        <v>1206</v>
      </c>
      <c r="D33" s="1091"/>
      <c r="E33" s="1091"/>
      <c r="F33" s="2232" t="s">
        <v>1128</v>
      </c>
    </row>
    <row r="34" spans="3:6" ht="20.25" thickBot="1" x14ac:dyDescent="0.35">
      <c r="D34" s="1091"/>
      <c r="E34" s="1091"/>
      <c r="F34" s="2176"/>
    </row>
    <row r="35" spans="3:6" ht="20.25" thickBot="1" x14ac:dyDescent="0.35">
      <c r="C35" s="2305" t="s">
        <v>1242</v>
      </c>
      <c r="D35" s="1091"/>
      <c r="E35" s="2067"/>
      <c r="F35" s="2174" t="s">
        <v>1106</v>
      </c>
    </row>
    <row r="36" spans="3:6" ht="19.5" x14ac:dyDescent="0.3">
      <c r="D36" s="1091"/>
      <c r="E36" s="1091"/>
      <c r="F36" s="2175"/>
    </row>
    <row r="37" spans="3:6" ht="19.5" x14ac:dyDescent="0.3">
      <c r="D37" s="1091"/>
      <c r="E37" s="2067"/>
      <c r="F37" s="2174" t="s">
        <v>1107</v>
      </c>
    </row>
    <row r="38" spans="3:6" ht="19.5" x14ac:dyDescent="0.3">
      <c r="D38" s="1091"/>
      <c r="E38" s="1091"/>
      <c r="F38" s="2175"/>
    </row>
    <row r="39" spans="3:6" ht="19.5" x14ac:dyDescent="0.3">
      <c r="D39" s="1091"/>
      <c r="E39" s="2067"/>
      <c r="F39" s="2174" t="s">
        <v>1108</v>
      </c>
    </row>
    <row r="40" spans="3:6" ht="19.5" x14ac:dyDescent="0.3">
      <c r="D40" s="1091"/>
      <c r="E40" s="1091"/>
      <c r="F40" s="2175"/>
    </row>
    <row r="41" spans="3:6" ht="19.5" x14ac:dyDescent="0.3">
      <c r="D41" s="1091"/>
      <c r="E41" s="2067"/>
      <c r="F41" s="2174" t="s">
        <v>1109</v>
      </c>
    </row>
    <row r="42" spans="3:6" ht="20.25" thickBot="1" x14ac:dyDescent="0.35">
      <c r="D42" s="1091"/>
      <c r="E42" s="1091"/>
      <c r="F42" s="2178"/>
    </row>
    <row r="43" spans="3:6" ht="19.5" x14ac:dyDescent="0.3">
      <c r="D43" s="1091"/>
      <c r="E43" s="1091"/>
      <c r="F43" s="1091"/>
    </row>
    <row r="44" spans="3:6" ht="19.5" x14ac:dyDescent="0.3">
      <c r="D44" s="1091"/>
      <c r="E44" s="1091"/>
      <c r="F44" s="1091"/>
    </row>
    <row r="45" spans="3:6" ht="19.5" x14ac:dyDescent="0.3">
      <c r="D45" s="1091"/>
      <c r="E45" s="1091"/>
    </row>
    <row r="46" spans="3:6" ht="19.5" x14ac:dyDescent="0.3">
      <c r="D46" s="1091"/>
      <c r="E46" s="1091"/>
      <c r="F46" s="1091"/>
    </row>
    <row r="47" spans="3:6" ht="19.5" x14ac:dyDescent="0.3">
      <c r="D47" s="1091"/>
      <c r="E47" s="1091"/>
      <c r="F47" s="1091"/>
    </row>
    <row r="48" spans="3:6" ht="19.5" x14ac:dyDescent="0.3">
      <c r="D48" s="1091"/>
      <c r="E48" s="1091"/>
      <c r="F48" s="1091"/>
    </row>
    <row r="49" spans="4:6" ht="19.5" x14ac:dyDescent="0.3">
      <c r="D49" s="1091"/>
      <c r="E49" s="1091"/>
      <c r="F49" s="1091"/>
    </row>
    <row r="50" spans="4:6" ht="19.5" x14ac:dyDescent="0.3">
      <c r="D50" s="1091"/>
      <c r="E50" s="1091"/>
      <c r="F50" s="1091"/>
    </row>
    <row r="51" spans="4:6" ht="19.5" x14ac:dyDescent="0.3">
      <c r="D51" s="1091"/>
      <c r="E51" s="1091"/>
      <c r="F51" s="1091"/>
    </row>
  </sheetData>
  <sheetProtection sheet="1" objects="1" scenarios="1"/>
  <phoneticPr fontId="13" type="noConversion"/>
  <hyperlinks>
    <hyperlink ref="C7" location="Plantilla!A1" display="          COSTES FIJOS" xr:uid="{00000000-0004-0000-0100-000000000000}"/>
    <hyperlink ref="F16" location="'PyG anuales'!A1" display="          CUENTAS DE RESULTADOS: COMPARATIVA" xr:uid="{00000000-0004-0000-0100-000001000000}"/>
    <hyperlink ref="C11" location="'Resumen Tesorerias'!A1" display="          TESORERÍAS MENSUALES" xr:uid="{00000000-0004-0000-0100-000002000000}"/>
    <hyperlink ref="C13" location="'P. Equilibrio'!A1" display="          ESTIMACIÓN DEL PUNTO DE EQUILIBRIO" xr:uid="{00000000-0004-0000-0100-000003000000}"/>
    <hyperlink ref="C15" location="'Resumen Gastos Fijos'!A1" display="          RESUMEN GASTOS FIJOS" xr:uid="{00000000-0004-0000-0100-000004000000}"/>
    <hyperlink ref="C17" location="'Gastos Financieros'!A1" display="          INGRESOS Y GASTOS FINANCIEROS" xr:uid="{00000000-0004-0000-0100-000005000000}"/>
    <hyperlink ref="C21" location="'Datos Evaluación'!A1" display="          DATOS EVALUACIÓN" xr:uid="{00000000-0004-0000-0100-000006000000}"/>
    <hyperlink ref="C19" location="Amortizaciones!A1" display="          CUADRO AMORTIZACIONES INMOVILIZADO" xr:uid="{00000000-0004-0000-0100-000007000000}"/>
    <hyperlink ref="C9" location="'Resumen Ventas 5 años'!A1" display="          RESUMEN VENTAS 5 AÑOS" xr:uid="{00000000-0004-0000-0100-000008000000}"/>
    <hyperlink ref="C23" location="Préstamos!A1" display="          PRÉSTAMOS" xr:uid="{00000000-0004-0000-0100-000009000000}"/>
    <hyperlink ref="C25" location="Leasing!A1" display="          LEASING" xr:uid="{00000000-0004-0000-0100-00000A000000}"/>
    <hyperlink ref="C27" location="Renting!A1" display="          RENTING" xr:uid="{00000000-0004-0000-0100-00000B000000}"/>
    <hyperlink ref="F11" location="'COMP. Balances Anuales'!A1" display="          COMPARATIVA BALANCES ANUALES " xr:uid="{00000000-0004-0000-0100-00000C000000}"/>
    <hyperlink ref="F9" location="'REAL Balances Anuales'!A1" display="          BALANCES ANUALES REALES" xr:uid="{00000000-0004-0000-0100-00000D000000}"/>
    <hyperlink ref="F18" location="'PyG Reales'!A1" display="          CUENTAS DE RESULTADOS REALES" xr:uid="{00000000-0004-0000-0100-00000E000000}"/>
    <hyperlink ref="F20" location="'COMP. PyG'!A1" display="          COMPARATIVA CUENTAS DE RESULTADOS" xr:uid="{00000000-0004-0000-0100-00000F000000}"/>
    <hyperlink ref="F7" location="'Balances anuales'!A1" display="          BALANCES ANUALES PREVISIONALES: COMPARATIVA" xr:uid="{00000000-0004-0000-0100-000010000000}"/>
    <hyperlink ref="F25" location="'Ratios Básicos'!A1" display="          RATIOS BÁSICOS" xr:uid="{00000000-0004-0000-0100-000011000000}"/>
    <hyperlink ref="F27" location="'Ratios Básicos Reales'!A1" display="          RATIOS BÁSICOS REALES" xr:uid="{00000000-0004-0000-0100-000012000000}"/>
    <hyperlink ref="F29" location="'COMP. Ratios Básicos'!A1" display="          COMPARATIVA RATIOS BÁSICOS" xr:uid="{00000000-0004-0000-0100-000013000000}"/>
    <hyperlink ref="F37" location="PASIVO!A1" display="          PASIVO" xr:uid="{00000000-0004-0000-0100-000014000000}"/>
    <hyperlink ref="F39" location="DEBE!A1" display="          DEBE" xr:uid="{00000000-0004-0000-0100-000015000000}"/>
    <hyperlink ref="F35" location="ACTIVO!A1" display="          ACTIVO" xr:uid="{00000000-0004-0000-0100-000016000000}"/>
    <hyperlink ref="F41" location="HABER!A1" display="          HABER" xr:uid="{00000000-0004-0000-0100-000017000000}"/>
    <hyperlink ref="C33" location="MICROCREDITOS!A1" display="Microcréditos" xr:uid="{00000000-0004-0000-0100-000018000000}"/>
    <hyperlink ref="C35" location="'AYUDAS AUTONOMO'!A1" display="AYUDAS AUTÓNOMO" xr:uid="{00000000-0004-0000-0100-000019000000}"/>
    <hyperlink ref="C31" location="'AYUDAS AUTONOMO'!A1" display="AYUDAS AUTÓNOMO" xr:uid="{85D60683-993F-41B0-8744-663A94829438}"/>
  </hyperlinks>
  <pageMargins left="0.75" right="0.75" top="1" bottom="1" header="0" footer="0"/>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rgb="FF7E6BC4"/>
  </sheetPr>
  <dimension ref="B1:G13"/>
  <sheetViews>
    <sheetView showGridLines="0" workbookViewId="0"/>
  </sheetViews>
  <sheetFormatPr baseColWidth="10" defaultRowHeight="15.75" x14ac:dyDescent="0.25"/>
  <cols>
    <col min="1" max="1" width="11" style="1090"/>
    <col min="2" max="2" width="2" style="1090" customWidth="1"/>
    <col min="3" max="3" width="70.625" style="1090" customWidth="1"/>
    <col min="4" max="4" width="11" style="1090"/>
    <col min="5" max="5" width="21.625" style="1090" bestFit="1" customWidth="1"/>
    <col min="6" max="16384" width="11" style="1090"/>
  </cols>
  <sheetData>
    <row r="1" spans="2:7" ht="19.5" x14ac:dyDescent="0.25">
      <c r="C1" s="1074" t="s">
        <v>221</v>
      </c>
    </row>
    <row r="3" spans="2:7" ht="19.5" x14ac:dyDescent="0.3">
      <c r="F3" s="1097"/>
      <c r="G3" s="1097"/>
    </row>
    <row r="4" spans="2:7" ht="19.5" x14ac:dyDescent="0.3">
      <c r="F4" s="1097"/>
      <c r="G4" s="1097"/>
    </row>
    <row r="5" spans="2:7" ht="20.25" thickBot="1" x14ac:dyDescent="0.35">
      <c r="F5" s="1097"/>
      <c r="G5" s="1097"/>
    </row>
    <row r="6" spans="2:7" ht="19.5" x14ac:dyDescent="0.3">
      <c r="C6" s="2179"/>
    </row>
    <row r="7" spans="2:7" ht="19.5" x14ac:dyDescent="0.3">
      <c r="B7" s="1261"/>
      <c r="C7" s="2174" t="s">
        <v>222</v>
      </c>
      <c r="D7" s="1091"/>
      <c r="E7" s="1091"/>
    </row>
    <row r="8" spans="2:7" ht="19.5" x14ac:dyDescent="0.3">
      <c r="B8" s="2375"/>
      <c r="C8" s="2174"/>
      <c r="D8" s="1091"/>
      <c r="E8" s="1091"/>
    </row>
    <row r="9" spans="2:7" ht="19.5" x14ac:dyDescent="0.3">
      <c r="B9" s="1264"/>
      <c r="C9" s="2174" t="s">
        <v>1213</v>
      </c>
      <c r="D9" s="1091"/>
      <c r="E9" s="1091"/>
    </row>
    <row r="10" spans="2:7" ht="19.5" x14ac:dyDescent="0.3">
      <c r="C10" s="2180"/>
      <c r="D10" s="1091"/>
      <c r="E10" s="1091"/>
    </row>
    <row r="11" spans="2:7" ht="19.5" x14ac:dyDescent="0.3">
      <c r="B11" s="1264"/>
      <c r="C11" s="2174" t="s">
        <v>223</v>
      </c>
      <c r="D11" s="1091"/>
      <c r="E11" s="1091"/>
    </row>
    <row r="12" spans="2:7" ht="20.25" thickBot="1" x14ac:dyDescent="0.35">
      <c r="C12" s="2185"/>
      <c r="D12" s="1091"/>
      <c r="E12" s="1091"/>
    </row>
    <row r="13" spans="2:7" ht="19.5" x14ac:dyDescent="0.3">
      <c r="C13" s="1092"/>
      <c r="D13" s="1091"/>
      <c r="E13" s="1091"/>
    </row>
  </sheetData>
  <sheetProtection sheet="1" objects="1" scenarios="1"/>
  <phoneticPr fontId="13" type="noConversion"/>
  <hyperlinks>
    <hyperlink ref="C7" location="Incentivos!A1" display="          INCENTIVOS A LA INVERSIÓN" xr:uid="{00000000-0004-0000-0200-000000000000}"/>
    <hyperlink ref="C11" location="'Estimacion Ventas'!A1" display="          PREVISIÓN VENTAS 5 AÑOS" xr:uid="{00000000-0004-0000-0200-000001000000}"/>
    <hyperlink ref="C9" location="'Precios Venta y P. Cobros'!A1" display="          PRECIOS DE VENTA Y POLÍTICA COBROS" xr:uid="{00000000-0004-0000-0200-000002000000}"/>
  </hyperlinks>
  <pageMargins left="0.75" right="0.75" top="1" bottom="1" header="0" footer="0"/>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9">
    <tabColor rgb="FF7E6BC4"/>
  </sheetPr>
  <dimension ref="B1:G19"/>
  <sheetViews>
    <sheetView showGridLines="0" workbookViewId="0"/>
  </sheetViews>
  <sheetFormatPr baseColWidth="10" defaultRowHeight="15.75" x14ac:dyDescent="0.25"/>
  <cols>
    <col min="1" max="1" width="11" style="1148"/>
    <col min="2" max="2" width="2" style="1148" customWidth="1"/>
    <col min="3" max="3" width="70.625" style="1148" customWidth="1"/>
    <col min="4" max="4" width="11" style="1148"/>
    <col min="5" max="5" width="21.625" style="1148" bestFit="1" customWidth="1"/>
    <col min="6" max="16384" width="11" style="1148"/>
  </cols>
  <sheetData>
    <row r="1" spans="2:7" ht="19.5" x14ac:dyDescent="0.25">
      <c r="C1" s="1149" t="s">
        <v>224</v>
      </c>
    </row>
    <row r="3" spans="2:7" ht="19.5" x14ac:dyDescent="0.3">
      <c r="F3" s="1150"/>
      <c r="G3" s="1150"/>
    </row>
    <row r="4" spans="2:7" ht="19.5" x14ac:dyDescent="0.3">
      <c r="F4" s="1150"/>
      <c r="G4" s="1150"/>
    </row>
    <row r="5" spans="2:7" ht="20.25" thickBot="1" x14ac:dyDescent="0.35">
      <c r="F5" s="1150"/>
      <c r="G5" s="1150"/>
    </row>
    <row r="6" spans="2:7" ht="19.5" x14ac:dyDescent="0.3">
      <c r="C6" s="2181"/>
    </row>
    <row r="7" spans="2:7" ht="19.5" x14ac:dyDescent="0.3">
      <c r="B7" s="1265"/>
      <c r="C7" s="2182" t="s">
        <v>1215</v>
      </c>
      <c r="D7" s="1151"/>
      <c r="E7" s="1151"/>
    </row>
    <row r="8" spans="2:7" ht="19.5" x14ac:dyDescent="0.3">
      <c r="C8" s="2183"/>
      <c r="D8" s="1151"/>
      <c r="E8" s="1151"/>
    </row>
    <row r="9" spans="2:7" ht="19.5" x14ac:dyDescent="0.3">
      <c r="B9" s="1265"/>
      <c r="C9" s="2182" t="s">
        <v>225</v>
      </c>
      <c r="D9" s="1151"/>
      <c r="E9" s="1151"/>
    </row>
    <row r="10" spans="2:7" ht="19.5" x14ac:dyDescent="0.3">
      <c r="C10" s="2182"/>
      <c r="D10" s="1151"/>
      <c r="E10" s="1151"/>
    </row>
    <row r="11" spans="2:7" ht="19.5" x14ac:dyDescent="0.3">
      <c r="B11" s="1265"/>
      <c r="C11" s="2182" t="s">
        <v>226</v>
      </c>
      <c r="D11" s="1151"/>
      <c r="E11" s="1151"/>
    </row>
    <row r="12" spans="2:7" ht="20.25" thickBot="1" x14ac:dyDescent="0.35">
      <c r="C12" s="2184"/>
      <c r="D12" s="1151"/>
      <c r="E12" s="1151"/>
    </row>
    <row r="13" spans="2:7" ht="19.5" x14ac:dyDescent="0.3">
      <c r="D13" s="1151"/>
      <c r="E13" s="1151"/>
    </row>
    <row r="14" spans="2:7" ht="19.5" x14ac:dyDescent="0.3">
      <c r="D14" s="1151"/>
      <c r="E14" s="1151"/>
    </row>
    <row r="15" spans="2:7" ht="19.5" x14ac:dyDescent="0.3">
      <c r="D15" s="1151"/>
      <c r="E15" s="1151"/>
    </row>
    <row r="16" spans="2:7" ht="19.5" x14ac:dyDescent="0.3">
      <c r="D16" s="1151"/>
      <c r="E16" s="1151"/>
    </row>
    <row r="17" spans="3:5" ht="19.5" x14ac:dyDescent="0.3">
      <c r="D17" s="1151"/>
      <c r="E17" s="1151"/>
    </row>
    <row r="18" spans="3:5" ht="19.5" x14ac:dyDescent="0.3">
      <c r="D18" s="1151"/>
      <c r="E18" s="1151"/>
    </row>
    <row r="19" spans="3:5" ht="19.5" x14ac:dyDescent="0.3">
      <c r="C19" s="1152"/>
      <c r="D19" s="1151"/>
      <c r="E19" s="1151"/>
    </row>
  </sheetData>
  <sheetProtection sheet="1" objects="1" scenarios="1"/>
  <phoneticPr fontId="13" type="noConversion"/>
  <hyperlinks>
    <hyperlink ref="C11" location="'Datos Gastos Fijos'!A1" display="          GASTOS FIJOS" xr:uid="{00000000-0004-0000-0300-000000000000}"/>
    <hyperlink ref="C9" location="'RR HH'!A1" display="          RRHH" xr:uid="{00000000-0004-0000-0300-000001000000}"/>
    <hyperlink ref="C7" location="'Precios-CV'!A1" display="          COSTES VARIABLES" xr:uid="{00000000-0004-0000-0300-000002000000}"/>
  </hyperlinks>
  <pageMargins left="0.75" right="0.75" top="1" bottom="1"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2">
    <tabColor rgb="FF7E6BC4"/>
  </sheetPr>
  <dimension ref="B1:F22"/>
  <sheetViews>
    <sheetView showGridLines="0" workbookViewId="0"/>
  </sheetViews>
  <sheetFormatPr baseColWidth="10" defaultRowHeight="15.75" x14ac:dyDescent="0.25"/>
  <cols>
    <col min="1" max="1" width="11" style="1090" customWidth="1"/>
    <col min="2" max="2" width="2.125" style="1090" customWidth="1"/>
    <col min="3" max="3" width="75.625" style="1090" bestFit="1" customWidth="1"/>
    <col min="4" max="4" width="11" style="1090"/>
    <col min="5" max="5" width="21.75" style="1090" bestFit="1" customWidth="1"/>
    <col min="6" max="16384" width="11" style="1090"/>
  </cols>
  <sheetData>
    <row r="1" spans="2:6" ht="19.5" x14ac:dyDescent="0.25">
      <c r="C1" s="1074" t="s">
        <v>230</v>
      </c>
    </row>
    <row r="5" spans="2:6" ht="16.5" thickBot="1" x14ac:dyDescent="0.3"/>
    <row r="6" spans="2:6" ht="19.5" x14ac:dyDescent="0.3">
      <c r="C6" s="2179"/>
      <c r="E6" s="1098"/>
    </row>
    <row r="7" spans="2:6" ht="19.5" x14ac:dyDescent="0.3">
      <c r="B7" s="1264"/>
      <c r="C7" s="2174" t="s">
        <v>231</v>
      </c>
      <c r="D7" s="1091"/>
      <c r="E7" s="1091"/>
      <c r="F7" s="1091"/>
    </row>
    <row r="8" spans="2:6" ht="19.5" x14ac:dyDescent="0.3">
      <c r="C8" s="2174"/>
      <c r="D8" s="1091"/>
      <c r="E8" s="1091"/>
      <c r="F8" s="1091"/>
    </row>
    <row r="9" spans="2:6" ht="19.5" x14ac:dyDescent="0.3">
      <c r="B9" s="1260"/>
      <c r="C9" s="2174" t="s">
        <v>12</v>
      </c>
      <c r="D9" s="1091"/>
      <c r="E9" s="1091"/>
      <c r="F9" s="1091"/>
    </row>
    <row r="10" spans="2:6" ht="19.5" x14ac:dyDescent="0.3">
      <c r="C10" s="2180"/>
      <c r="D10" s="1091"/>
      <c r="F10" s="1091"/>
    </row>
    <row r="11" spans="2:6" ht="19.5" x14ac:dyDescent="0.3">
      <c r="B11" s="1264"/>
      <c r="C11" s="2174" t="s">
        <v>232</v>
      </c>
      <c r="D11" s="1091"/>
      <c r="E11" s="1091"/>
      <c r="F11" s="1091"/>
    </row>
    <row r="12" spans="2:6" ht="19.5" x14ac:dyDescent="0.3">
      <c r="C12" s="2180"/>
      <c r="D12" s="1091"/>
      <c r="E12" s="1091"/>
      <c r="F12" s="1091"/>
    </row>
    <row r="13" spans="2:6" ht="19.5" x14ac:dyDescent="0.3">
      <c r="B13" s="1264"/>
      <c r="C13" s="2174" t="s">
        <v>233</v>
      </c>
      <c r="D13" s="1091"/>
      <c r="E13" s="1091"/>
      <c r="F13" s="1091"/>
    </row>
    <row r="14" spans="2:6" ht="19.5" x14ac:dyDescent="0.3">
      <c r="C14" s="2174"/>
      <c r="D14" s="1091"/>
      <c r="E14" s="1091"/>
      <c r="F14" s="1091"/>
    </row>
    <row r="15" spans="2:6" ht="19.5" x14ac:dyDescent="0.3">
      <c r="B15" s="1264"/>
      <c r="C15" s="2174" t="s">
        <v>234</v>
      </c>
      <c r="D15" s="1091"/>
      <c r="E15" s="1091"/>
      <c r="F15" s="1091"/>
    </row>
    <row r="16" spans="2:6" ht="20.25" thickBot="1" x14ac:dyDescent="0.35">
      <c r="C16" s="2177"/>
      <c r="D16" s="1091"/>
      <c r="E16" s="1091"/>
      <c r="F16" s="1091"/>
    </row>
    <row r="17" spans="3:6" ht="19.5" x14ac:dyDescent="0.3">
      <c r="C17" s="1092"/>
      <c r="D17" s="1091"/>
      <c r="E17" s="1091"/>
      <c r="F17" s="1091"/>
    </row>
    <row r="18" spans="3:6" ht="19.5" x14ac:dyDescent="0.3">
      <c r="C18" s="1091"/>
      <c r="D18" s="1091"/>
      <c r="E18" s="1091"/>
      <c r="F18" s="1091"/>
    </row>
    <row r="19" spans="3:6" ht="19.5" x14ac:dyDescent="0.3">
      <c r="D19" s="1091"/>
      <c r="E19" s="1091"/>
      <c r="F19" s="1091"/>
    </row>
    <row r="20" spans="3:6" ht="19.5" x14ac:dyDescent="0.3">
      <c r="C20" s="1091"/>
      <c r="D20" s="1099"/>
      <c r="E20" s="1099"/>
      <c r="F20" s="1099"/>
    </row>
    <row r="21" spans="3:6" ht="19.5" x14ac:dyDescent="0.3">
      <c r="C21" s="1100"/>
    </row>
    <row r="22" spans="3:6" ht="19.5" x14ac:dyDescent="0.3">
      <c r="C22" s="1100"/>
    </row>
  </sheetData>
  <sheetProtection sheet="1" objects="1" scenarios="1"/>
  <phoneticPr fontId="13" type="noConversion"/>
  <hyperlinks>
    <hyperlink ref="C9" location="Parametros!A1" display="          PARÁMETROS PARA LA SIMULACIÓN" xr:uid="{00000000-0004-0000-0400-000000000000}"/>
    <hyperlink ref="C7" location="'Datos Básicos'!A1" display="DATOS BÁSICOS" xr:uid="{00000000-0004-0000-0400-000001000000}"/>
    <hyperlink ref="C11" location="'Inversiones AC'!A1" display="INVERSIONES INICIALES ACTIVOS CORRIENTES" xr:uid="{00000000-0004-0000-0400-000002000000}"/>
    <hyperlink ref="C13" location="'Inv. Iniciales ANC'!A1" display="INVERSIONES INICIALES ACTIVOS NO CORRIENTES" xr:uid="{00000000-0004-0000-0400-000003000000}"/>
    <hyperlink ref="C15" location="'Financiación Inicial'!A1" display="FINANCIACIÓN INICIAL" xr:uid="{00000000-0004-0000-0400-000004000000}"/>
  </hyperlinks>
  <pageMargins left="0.75" right="0.75" top="1" bottom="1" header="0" footer="0"/>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7">
    <pageSetUpPr fitToPage="1"/>
  </sheetPr>
  <dimension ref="A2:W52"/>
  <sheetViews>
    <sheetView showGridLines="0" workbookViewId="0"/>
  </sheetViews>
  <sheetFormatPr baseColWidth="10" defaultRowHeight="19.5" x14ac:dyDescent="0.3"/>
  <cols>
    <col min="1" max="1" width="8.125" style="4" customWidth="1"/>
    <col min="2" max="3" width="7" style="3" customWidth="1"/>
    <col min="4" max="5" width="4.5" style="3" bestFit="1" customWidth="1"/>
    <col min="6" max="6" width="5.875" style="3" bestFit="1" customWidth="1"/>
    <col min="7" max="7" width="6.375" style="3" customWidth="1"/>
    <col min="8" max="8" width="5.625" style="3" bestFit="1" customWidth="1"/>
    <col min="9" max="9" width="10" style="3" customWidth="1"/>
    <col min="10" max="10" width="9" style="3" bestFit="1" customWidth="1"/>
    <col min="11" max="11" width="9.375" style="3" bestFit="1" customWidth="1"/>
    <col min="12" max="12" width="12.75" style="3" customWidth="1"/>
    <col min="13" max="13" width="10.375" style="2" customWidth="1"/>
    <col min="14" max="14" width="11" style="2"/>
    <col min="15" max="15" width="4" style="2" customWidth="1"/>
    <col min="16" max="16" width="6.125" style="2" customWidth="1"/>
    <col min="17" max="16384" width="11" style="2"/>
  </cols>
  <sheetData>
    <row r="2" spans="1:23" ht="24.75" x14ac:dyDescent="0.4">
      <c r="A2" s="313"/>
      <c r="B2" s="313">
        <f>'Datos Básicos'!B8</f>
        <v>0</v>
      </c>
      <c r="C2" s="313"/>
      <c r="D2" s="314"/>
      <c r="E2" s="313"/>
      <c r="F2" s="313"/>
      <c r="G2" s="313"/>
      <c r="H2" s="313"/>
      <c r="I2" s="313"/>
      <c r="J2" s="313"/>
      <c r="K2" s="299"/>
      <c r="L2" s="299"/>
      <c r="M2" s="303"/>
    </row>
    <row r="3" spans="1:23" x14ac:dyDescent="0.3">
      <c r="A3" s="301"/>
      <c r="B3" s="299"/>
      <c r="C3" s="299"/>
      <c r="D3" s="307"/>
      <c r="E3" s="299"/>
      <c r="F3" s="299"/>
      <c r="G3" s="299"/>
      <c r="H3" s="299"/>
      <c r="I3" s="299"/>
      <c r="J3" s="303"/>
      <c r="K3" s="299"/>
      <c r="L3" s="299"/>
      <c r="M3" s="303"/>
    </row>
    <row r="4" spans="1:23" ht="28.5" thickBot="1" x14ac:dyDescent="0.5">
      <c r="A4" s="315" t="s">
        <v>942</v>
      </c>
      <c r="B4" s="312"/>
      <c r="C4" s="312"/>
      <c r="D4" s="316"/>
      <c r="E4" s="312"/>
      <c r="F4" s="312"/>
      <c r="G4" s="312"/>
      <c r="H4" s="312"/>
      <c r="I4" s="312"/>
      <c r="J4" s="312"/>
      <c r="K4" s="299"/>
      <c r="L4" s="299"/>
      <c r="M4" s="303"/>
    </row>
    <row r="5" spans="1:23" ht="20.25" thickBot="1" x14ac:dyDescent="0.35">
      <c r="A5" s="301"/>
      <c r="B5" s="299"/>
      <c r="C5" s="299"/>
      <c r="D5" s="307"/>
      <c r="E5" s="299"/>
      <c r="F5" s="299"/>
      <c r="G5" s="299"/>
      <c r="H5" s="299"/>
      <c r="I5" s="299"/>
      <c r="J5" s="317"/>
      <c r="K5" s="299"/>
      <c r="L5" s="318" t="s">
        <v>171</v>
      </c>
      <c r="M5" s="319"/>
    </row>
    <row r="6" spans="1:23" ht="31.5" customHeight="1" thickBot="1" x14ac:dyDescent="0.35">
      <c r="A6" s="320" t="s">
        <v>184</v>
      </c>
      <c r="B6" s="321" t="s">
        <v>183</v>
      </c>
      <c r="C6" s="309"/>
      <c r="D6" s="322"/>
      <c r="E6" s="309"/>
      <c r="F6" s="309"/>
      <c r="G6" s="309"/>
      <c r="H6" s="309"/>
      <c r="I6" s="323"/>
      <c r="J6" s="324" t="s">
        <v>1015</v>
      </c>
      <c r="K6" s="325" t="s">
        <v>75</v>
      </c>
      <c r="L6" s="326" t="s">
        <v>172</v>
      </c>
      <c r="M6" s="327" t="s">
        <v>173</v>
      </c>
    </row>
    <row r="7" spans="1:23" ht="16.5" customHeight="1" x14ac:dyDescent="0.3">
      <c r="A7" s="328">
        <v>1</v>
      </c>
      <c r="B7" s="329" t="s">
        <v>1023</v>
      </c>
      <c r="C7" s="671"/>
      <c r="D7" s="331"/>
      <c r="E7" s="671"/>
      <c r="F7" s="671"/>
      <c r="G7" s="671"/>
      <c r="H7" s="671"/>
      <c r="I7" s="672"/>
      <c r="J7" s="332">
        <v>1</v>
      </c>
      <c r="K7" s="333" t="s">
        <v>76</v>
      </c>
      <c r="L7" s="334" t="s">
        <v>174</v>
      </c>
      <c r="M7" s="335" t="s">
        <v>175</v>
      </c>
    </row>
    <row r="8" spans="1:23" ht="16.5" customHeight="1" x14ac:dyDescent="0.3">
      <c r="A8" s="336">
        <f t="shared" ref="A8:A39" si="0">A7+1</f>
        <v>2</v>
      </c>
      <c r="B8" s="337" t="s">
        <v>126</v>
      </c>
      <c r="C8" s="673"/>
      <c r="D8" s="338"/>
      <c r="E8" s="673"/>
      <c r="F8" s="673"/>
      <c r="G8" s="673"/>
      <c r="H8" s="673"/>
      <c r="I8" s="674"/>
      <c r="J8" s="339">
        <v>0</v>
      </c>
      <c r="K8" s="340" t="s">
        <v>76</v>
      </c>
      <c r="L8" s="341" t="s">
        <v>174</v>
      </c>
      <c r="M8" s="342" t="s">
        <v>174</v>
      </c>
    </row>
    <row r="9" spans="1:23" ht="16.5" customHeight="1" x14ac:dyDescent="0.3">
      <c r="A9" s="336">
        <f t="shared" si="0"/>
        <v>3</v>
      </c>
      <c r="B9" s="337" t="s">
        <v>1016</v>
      </c>
      <c r="C9" s="673"/>
      <c r="D9" s="338"/>
      <c r="E9" s="673"/>
      <c r="F9" s="673"/>
      <c r="G9" s="673"/>
      <c r="H9" s="673"/>
      <c r="I9" s="674"/>
      <c r="J9" s="339">
        <v>1</v>
      </c>
      <c r="K9" s="343" t="s">
        <v>958</v>
      </c>
      <c r="L9" s="341" t="s">
        <v>175</v>
      </c>
      <c r="M9" s="342" t="s">
        <v>175</v>
      </c>
    </row>
    <row r="10" spans="1:23" ht="16.5" customHeight="1" thickBot="1" x14ac:dyDescent="0.35">
      <c r="A10" s="336">
        <f t="shared" si="0"/>
        <v>4</v>
      </c>
      <c r="B10" s="337" t="s">
        <v>274</v>
      </c>
      <c r="C10" s="673"/>
      <c r="D10" s="338"/>
      <c r="E10" s="673"/>
      <c r="F10" s="673"/>
      <c r="G10" s="673"/>
      <c r="H10" s="673"/>
      <c r="I10" s="674"/>
      <c r="J10" s="339">
        <v>1</v>
      </c>
      <c r="K10" s="344" t="s">
        <v>958</v>
      </c>
      <c r="L10" s="341" t="s">
        <v>174</v>
      </c>
      <c r="M10" s="342" t="s">
        <v>174</v>
      </c>
      <c r="P10" s="3"/>
      <c r="Q10" s="3"/>
    </row>
    <row r="11" spans="1:23" ht="16.5" customHeight="1" x14ac:dyDescent="0.35">
      <c r="A11" s="336">
        <f t="shared" si="0"/>
        <v>5</v>
      </c>
      <c r="B11" s="337" t="s">
        <v>770</v>
      </c>
      <c r="C11" s="673"/>
      <c r="D11" s="338"/>
      <c r="E11" s="673"/>
      <c r="F11" s="673"/>
      <c r="G11" s="673"/>
      <c r="H11" s="673"/>
      <c r="I11" s="674"/>
      <c r="J11" s="336">
        <v>1</v>
      </c>
      <c r="K11" s="343" t="s">
        <v>958</v>
      </c>
      <c r="L11" s="345" t="s">
        <v>175</v>
      </c>
      <c r="M11" s="342" t="s">
        <v>175</v>
      </c>
      <c r="P11" s="229"/>
      <c r="Q11" s="297" t="s">
        <v>486</v>
      </c>
      <c r="R11" s="230"/>
      <c r="S11" s="218"/>
      <c r="T11" s="218"/>
      <c r="U11" s="218"/>
      <c r="V11" s="218"/>
      <c r="W11" s="219"/>
    </row>
    <row r="12" spans="1:23" ht="16.5" customHeight="1" thickBot="1" x14ac:dyDescent="0.35">
      <c r="A12" s="336">
        <f t="shared" si="0"/>
        <v>6</v>
      </c>
      <c r="B12" s="337" t="s">
        <v>771</v>
      </c>
      <c r="C12" s="673"/>
      <c r="D12" s="338"/>
      <c r="E12" s="673"/>
      <c r="F12" s="673"/>
      <c r="G12" s="673"/>
      <c r="H12" s="673"/>
      <c r="I12" s="674"/>
      <c r="J12" s="339">
        <v>1</v>
      </c>
      <c r="K12" s="343" t="s">
        <v>958</v>
      </c>
      <c r="L12" s="341" t="s">
        <v>175</v>
      </c>
      <c r="M12" s="342" t="s">
        <v>175</v>
      </c>
      <c r="P12" s="221"/>
      <c r="Q12" s="3"/>
      <c r="W12" s="220"/>
    </row>
    <row r="13" spans="1:23" ht="16.5" customHeight="1" thickBot="1" x14ac:dyDescent="0.35">
      <c r="A13" s="336">
        <f t="shared" si="0"/>
        <v>7</v>
      </c>
      <c r="B13" s="337" t="s">
        <v>759</v>
      </c>
      <c r="C13" s="673"/>
      <c r="D13" s="338"/>
      <c r="E13" s="673"/>
      <c r="F13" s="673"/>
      <c r="G13" s="673"/>
      <c r="H13" s="673"/>
      <c r="I13" s="674"/>
      <c r="J13" s="339">
        <v>1</v>
      </c>
      <c r="K13" s="346" t="s">
        <v>759</v>
      </c>
      <c r="L13" s="341" t="s">
        <v>175</v>
      </c>
      <c r="M13" s="342" t="s">
        <v>175</v>
      </c>
      <c r="P13" s="221"/>
      <c r="Q13" s="213"/>
      <c r="R13" s="228" t="s">
        <v>487</v>
      </c>
      <c r="W13" s="220"/>
    </row>
    <row r="14" spans="1:23" ht="16.5" customHeight="1" thickBot="1" x14ac:dyDescent="0.35">
      <c r="A14" s="336">
        <f t="shared" si="0"/>
        <v>8</v>
      </c>
      <c r="B14" s="337" t="s">
        <v>1027</v>
      </c>
      <c r="C14" s="673"/>
      <c r="D14" s="338"/>
      <c r="E14" s="673"/>
      <c r="F14" s="673"/>
      <c r="G14" s="673"/>
      <c r="H14" s="673"/>
      <c r="I14" s="674"/>
      <c r="J14" s="339">
        <v>1</v>
      </c>
      <c r="K14" s="343" t="s">
        <v>958</v>
      </c>
      <c r="L14" s="341" t="s">
        <v>175</v>
      </c>
      <c r="M14" s="342" t="s">
        <v>175</v>
      </c>
      <c r="P14" s="221"/>
      <c r="Q14" s="214"/>
      <c r="R14" s="228" t="s">
        <v>492</v>
      </c>
      <c r="W14" s="220"/>
    </row>
    <row r="15" spans="1:23" ht="16.5" customHeight="1" x14ac:dyDescent="0.3">
      <c r="A15" s="336">
        <f t="shared" si="0"/>
        <v>9</v>
      </c>
      <c r="B15" s="337" t="s">
        <v>812</v>
      </c>
      <c r="C15" s="673"/>
      <c r="D15" s="338"/>
      <c r="E15" s="673"/>
      <c r="F15" s="673"/>
      <c r="G15" s="673"/>
      <c r="H15" s="673"/>
      <c r="I15" s="674"/>
      <c r="J15" s="339">
        <v>1</v>
      </c>
      <c r="K15" s="347" t="s">
        <v>958</v>
      </c>
      <c r="L15" s="341" t="str">
        <f>IF(Préstamos!B6+Préstamos!C6=0,"NO","SÍ")</f>
        <v>NO</v>
      </c>
      <c r="M15" s="342" t="str">
        <f>L15</f>
        <v>NO</v>
      </c>
      <c r="P15" s="221"/>
      <c r="Q15" s="3"/>
      <c r="R15" s="25"/>
      <c r="W15" s="220"/>
    </row>
    <row r="16" spans="1:23" ht="16.5" customHeight="1" x14ac:dyDescent="0.3">
      <c r="A16" s="336">
        <f t="shared" si="0"/>
        <v>10</v>
      </c>
      <c r="B16" s="337" t="s">
        <v>813</v>
      </c>
      <c r="C16" s="673"/>
      <c r="D16" s="338"/>
      <c r="E16" s="673"/>
      <c r="F16" s="673"/>
      <c r="G16" s="673"/>
      <c r="H16" s="673"/>
      <c r="I16" s="674"/>
      <c r="J16" s="339">
        <v>1</v>
      </c>
      <c r="K16" s="347" t="s">
        <v>958</v>
      </c>
      <c r="L16" s="341" t="str">
        <f>IF(Leasing!B7+Leasing!C7=0,"NO","SÍ")</f>
        <v>NO</v>
      </c>
      <c r="M16" s="342" t="str">
        <f>L16</f>
        <v>NO</v>
      </c>
      <c r="P16" s="221"/>
      <c r="Q16" s="3"/>
      <c r="R16" s="25"/>
      <c r="W16" s="220"/>
    </row>
    <row r="17" spans="1:23" ht="16.5" customHeight="1" thickBot="1" x14ac:dyDescent="0.35">
      <c r="A17" s="336">
        <f t="shared" si="0"/>
        <v>11</v>
      </c>
      <c r="B17" s="337" t="s">
        <v>659</v>
      </c>
      <c r="C17" s="673"/>
      <c r="D17" s="338"/>
      <c r="E17" s="673"/>
      <c r="F17" s="673"/>
      <c r="G17" s="673"/>
      <c r="H17" s="673"/>
      <c r="I17" s="674"/>
      <c r="J17" s="339">
        <v>1</v>
      </c>
      <c r="K17" s="347" t="s">
        <v>958</v>
      </c>
      <c r="L17" s="341" t="str">
        <f>IF(Renting!B7+Renting!C7=0,"NO","SÍ")</f>
        <v>NO</v>
      </c>
      <c r="M17" s="342" t="str">
        <f>L17</f>
        <v>NO</v>
      </c>
      <c r="P17" s="221"/>
      <c r="Q17" s="3"/>
      <c r="R17" s="25"/>
      <c r="W17" s="220"/>
    </row>
    <row r="18" spans="1:23" ht="16.5" customHeight="1" thickBot="1" x14ac:dyDescent="0.35">
      <c r="A18" s="336">
        <f t="shared" si="0"/>
        <v>12</v>
      </c>
      <c r="B18" s="337" t="s">
        <v>321</v>
      </c>
      <c r="C18" s="673"/>
      <c r="D18" s="338"/>
      <c r="E18" s="673"/>
      <c r="F18" s="673"/>
      <c r="G18" s="673"/>
      <c r="H18" s="673"/>
      <c r="I18" s="674"/>
      <c r="J18" s="339">
        <v>1</v>
      </c>
      <c r="K18" s="343" t="s">
        <v>958</v>
      </c>
      <c r="L18" s="341" t="s">
        <v>175</v>
      </c>
      <c r="M18" s="342" t="s">
        <v>175</v>
      </c>
      <c r="P18" s="221"/>
      <c r="Q18" s="226"/>
      <c r="R18" s="228" t="s">
        <v>495</v>
      </c>
      <c r="W18" s="220"/>
    </row>
    <row r="19" spans="1:23" ht="16.5" customHeight="1" thickBot="1" x14ac:dyDescent="0.35">
      <c r="A19" s="336">
        <f t="shared" si="0"/>
        <v>13</v>
      </c>
      <c r="B19" s="337" t="s">
        <v>760</v>
      </c>
      <c r="C19" s="673"/>
      <c r="D19" s="338"/>
      <c r="E19" s="673"/>
      <c r="F19" s="673"/>
      <c r="G19" s="673"/>
      <c r="H19" s="673"/>
      <c r="I19" s="674"/>
      <c r="J19" s="339">
        <v>2</v>
      </c>
      <c r="K19" s="348" t="s">
        <v>958</v>
      </c>
      <c r="L19" s="341" t="str">
        <f>IF(MAX(SUM(Plantilla!O16:O17),SUM(Plantilla!O27:O28),SUM(Plantilla!O38:O39),SUM(Plantilla!O49:O50),SUM(Plantilla!O60:O61))&gt;SUM('RR HH'!D7:D8),"SÍ","NO")</f>
        <v>NO</v>
      </c>
      <c r="M19" s="342" t="str">
        <f>L19</f>
        <v>NO</v>
      </c>
      <c r="P19" s="221"/>
      <c r="Q19" s="227"/>
      <c r="R19" s="228" t="s">
        <v>496</v>
      </c>
      <c r="W19" s="220"/>
    </row>
    <row r="20" spans="1:23" ht="16.5" customHeight="1" thickBot="1" x14ac:dyDescent="0.35">
      <c r="A20" s="336">
        <f t="shared" si="0"/>
        <v>14</v>
      </c>
      <c r="B20" s="337" t="s">
        <v>322</v>
      </c>
      <c r="C20" s="673"/>
      <c r="D20" s="338"/>
      <c r="E20" s="673"/>
      <c r="F20" s="673"/>
      <c r="G20" s="673"/>
      <c r="H20" s="673"/>
      <c r="I20" s="674"/>
      <c r="J20" s="339">
        <v>1</v>
      </c>
      <c r="K20" s="343" t="s">
        <v>958</v>
      </c>
      <c r="L20" s="341" t="s">
        <v>174</v>
      </c>
      <c r="M20" s="342" t="s">
        <v>174</v>
      </c>
      <c r="P20" s="221"/>
      <c r="Q20" s="266"/>
      <c r="R20" s="228" t="s">
        <v>686</v>
      </c>
      <c r="W20" s="220"/>
    </row>
    <row r="21" spans="1:23" ht="16.5" customHeight="1" thickBot="1" x14ac:dyDescent="0.35">
      <c r="A21" s="336">
        <f t="shared" si="0"/>
        <v>15</v>
      </c>
      <c r="B21" s="337" t="s">
        <v>323</v>
      </c>
      <c r="C21" s="673"/>
      <c r="D21" s="338"/>
      <c r="E21" s="673"/>
      <c r="F21" s="673"/>
      <c r="G21" s="673"/>
      <c r="H21" s="673"/>
      <c r="I21" s="674"/>
      <c r="J21" s="339">
        <v>1</v>
      </c>
      <c r="K21" s="343" t="s">
        <v>958</v>
      </c>
      <c r="L21" s="341" t="s">
        <v>175</v>
      </c>
      <c r="M21" s="342" t="s">
        <v>175</v>
      </c>
      <c r="P21" s="221"/>
      <c r="Q21" s="265"/>
      <c r="R21" s="228" t="s">
        <v>687</v>
      </c>
      <c r="W21" s="220"/>
    </row>
    <row r="22" spans="1:23" ht="16.5" customHeight="1" thickBot="1" x14ac:dyDescent="0.35">
      <c r="A22" s="336">
        <f t="shared" si="0"/>
        <v>16</v>
      </c>
      <c r="B22" s="337" t="s">
        <v>324</v>
      </c>
      <c r="C22" s="673"/>
      <c r="D22" s="338"/>
      <c r="E22" s="673"/>
      <c r="F22" s="673"/>
      <c r="G22" s="673"/>
      <c r="H22" s="673"/>
      <c r="I22" s="674"/>
      <c r="J22" s="339">
        <v>2</v>
      </c>
      <c r="K22" s="343" t="s">
        <v>958</v>
      </c>
      <c r="L22" s="341" t="s">
        <v>174</v>
      </c>
      <c r="M22" s="342" t="s">
        <v>174</v>
      </c>
      <c r="P22" s="221"/>
      <c r="Q22" s="263"/>
      <c r="R22" s="264" t="s">
        <v>685</v>
      </c>
      <c r="W22" s="220"/>
    </row>
    <row r="23" spans="1:23" ht="16.5" customHeight="1" thickBot="1" x14ac:dyDescent="0.35">
      <c r="A23" s="336">
        <f t="shared" si="0"/>
        <v>17</v>
      </c>
      <c r="B23" s="337" t="s">
        <v>325</v>
      </c>
      <c r="C23" s="673"/>
      <c r="D23" s="338"/>
      <c r="E23" s="673"/>
      <c r="F23" s="673"/>
      <c r="G23" s="673"/>
      <c r="H23" s="673"/>
      <c r="I23" s="674"/>
      <c r="J23" s="339">
        <v>1</v>
      </c>
      <c r="K23" s="349" t="s">
        <v>77</v>
      </c>
      <c r="L23" s="341" t="s">
        <v>175</v>
      </c>
      <c r="M23" s="342" t="s">
        <v>175</v>
      </c>
      <c r="P23" s="221"/>
      <c r="Q23" s="3"/>
      <c r="W23" s="220"/>
    </row>
    <row r="24" spans="1:23" ht="16.5" customHeight="1" thickBot="1" x14ac:dyDescent="0.35">
      <c r="A24" s="336">
        <f t="shared" si="0"/>
        <v>18</v>
      </c>
      <c r="B24" s="337" t="s">
        <v>177</v>
      </c>
      <c r="C24" s="673"/>
      <c r="D24" s="338"/>
      <c r="E24" s="673"/>
      <c r="F24" s="673"/>
      <c r="G24" s="673"/>
      <c r="H24" s="673"/>
      <c r="I24" s="674"/>
      <c r="J24" s="339">
        <v>1</v>
      </c>
      <c r="K24" s="347" t="s">
        <v>76</v>
      </c>
      <c r="L24" s="341" t="s">
        <v>174</v>
      </c>
      <c r="M24" s="342" t="s">
        <v>175</v>
      </c>
      <c r="P24" s="221"/>
      <c r="Q24" s="225"/>
      <c r="R24" s="228" t="s">
        <v>494</v>
      </c>
      <c r="W24" s="220"/>
    </row>
    <row r="25" spans="1:23" ht="16.5" customHeight="1" thickBot="1" x14ac:dyDescent="0.35">
      <c r="A25" s="336">
        <f>A23+1</f>
        <v>18</v>
      </c>
      <c r="B25" s="337" t="s">
        <v>326</v>
      </c>
      <c r="C25" s="673"/>
      <c r="D25" s="338"/>
      <c r="E25" s="673"/>
      <c r="F25" s="673"/>
      <c r="G25" s="673"/>
      <c r="H25" s="673"/>
      <c r="I25" s="674"/>
      <c r="J25" s="339">
        <v>1</v>
      </c>
      <c r="K25" s="346" t="s">
        <v>77</v>
      </c>
      <c r="L25" s="341" t="s">
        <v>175</v>
      </c>
      <c r="M25" s="342" t="s">
        <v>175</v>
      </c>
      <c r="P25" s="222"/>
      <c r="Q25" s="26"/>
      <c r="R25" s="223"/>
      <c r="S25" s="223"/>
      <c r="T25" s="223"/>
      <c r="U25" s="223"/>
      <c r="V25" s="223"/>
      <c r="W25" s="224"/>
    </row>
    <row r="26" spans="1:23" ht="16.5" customHeight="1" x14ac:dyDescent="0.3">
      <c r="A26" s="336">
        <f t="shared" si="0"/>
        <v>19</v>
      </c>
      <c r="B26" s="337" t="s">
        <v>244</v>
      </c>
      <c r="C26" s="673"/>
      <c r="D26" s="338"/>
      <c r="E26" s="673"/>
      <c r="F26" s="673"/>
      <c r="G26" s="673"/>
      <c r="H26" s="673"/>
      <c r="I26" s="674"/>
      <c r="J26" s="339">
        <v>1</v>
      </c>
      <c r="K26" s="349" t="s">
        <v>77</v>
      </c>
      <c r="L26" s="341" t="s">
        <v>175</v>
      </c>
      <c r="M26" s="342" t="s">
        <v>175</v>
      </c>
    </row>
    <row r="27" spans="1:23" ht="16.5" customHeight="1" x14ac:dyDescent="0.3">
      <c r="A27" s="336">
        <f t="shared" si="0"/>
        <v>20</v>
      </c>
      <c r="B27" s="337" t="s">
        <v>132</v>
      </c>
      <c r="C27" s="673"/>
      <c r="D27" s="338"/>
      <c r="E27" s="673"/>
      <c r="F27" s="673"/>
      <c r="G27" s="673"/>
      <c r="H27" s="673"/>
      <c r="I27" s="674"/>
      <c r="J27" s="339">
        <v>1</v>
      </c>
      <c r="K27" s="346" t="s">
        <v>77</v>
      </c>
      <c r="L27" s="341" t="s">
        <v>174</v>
      </c>
      <c r="M27" s="342" t="str">
        <f>IF(isoc&lt;&gt;0,"SÍ","NO")</f>
        <v>NO</v>
      </c>
    </row>
    <row r="28" spans="1:23" ht="16.5" customHeight="1" x14ac:dyDescent="0.3">
      <c r="A28" s="336">
        <f t="shared" si="0"/>
        <v>21</v>
      </c>
      <c r="B28" s="337" t="s">
        <v>150</v>
      </c>
      <c r="C28" s="673"/>
      <c r="D28" s="338"/>
      <c r="E28" s="673"/>
      <c r="F28" s="673"/>
      <c r="G28" s="673"/>
      <c r="H28" s="673"/>
      <c r="I28" s="674"/>
      <c r="J28" s="339">
        <v>1</v>
      </c>
      <c r="K28" s="346" t="s">
        <v>77</v>
      </c>
      <c r="L28" s="341" t="s">
        <v>174</v>
      </c>
      <c r="M28" s="342" t="str">
        <f>IF(irpf&lt;&gt;0,"SÍ","NO")</f>
        <v>SÍ</v>
      </c>
    </row>
    <row r="29" spans="1:23" ht="16.5" customHeight="1" x14ac:dyDescent="0.3">
      <c r="A29" s="336">
        <f t="shared" si="0"/>
        <v>22</v>
      </c>
      <c r="B29" s="337" t="s">
        <v>327</v>
      </c>
      <c r="C29" s="673"/>
      <c r="D29" s="338"/>
      <c r="E29" s="673"/>
      <c r="F29" s="673"/>
      <c r="G29" s="673"/>
      <c r="H29" s="673"/>
      <c r="I29" s="674"/>
      <c r="J29" s="339">
        <v>1</v>
      </c>
      <c r="K29" s="346" t="s">
        <v>77</v>
      </c>
      <c r="L29" s="341" t="s">
        <v>175</v>
      </c>
      <c r="M29" s="342" t="s">
        <v>175</v>
      </c>
    </row>
    <row r="30" spans="1:23" ht="16.5" customHeight="1" x14ac:dyDescent="0.3">
      <c r="A30" s="336">
        <f t="shared" si="0"/>
        <v>23</v>
      </c>
      <c r="B30" s="337" t="s">
        <v>328</v>
      </c>
      <c r="C30" s="673"/>
      <c r="D30" s="338"/>
      <c r="E30" s="673"/>
      <c r="F30" s="673"/>
      <c r="G30" s="673"/>
      <c r="H30" s="673"/>
      <c r="I30" s="674"/>
      <c r="J30" s="339">
        <v>1</v>
      </c>
      <c r="K30" s="347" t="s">
        <v>76</v>
      </c>
      <c r="L30" s="341" t="s">
        <v>175</v>
      </c>
      <c r="M30" s="342" t="s">
        <v>175</v>
      </c>
    </row>
    <row r="31" spans="1:23" ht="16.5" customHeight="1" x14ac:dyDescent="0.3">
      <c r="A31" s="336">
        <f t="shared" si="0"/>
        <v>24</v>
      </c>
      <c r="B31" s="337" t="s">
        <v>329</v>
      </c>
      <c r="C31" s="673"/>
      <c r="D31" s="338"/>
      <c r="E31" s="673"/>
      <c r="F31" s="673"/>
      <c r="G31" s="673"/>
      <c r="H31" s="673"/>
      <c r="I31" s="674"/>
      <c r="J31" s="339">
        <v>1</v>
      </c>
      <c r="K31" s="349" t="s">
        <v>77</v>
      </c>
      <c r="L31" s="341" t="s">
        <v>175</v>
      </c>
      <c r="M31" s="342" t="s">
        <v>175</v>
      </c>
    </row>
    <row r="32" spans="1:23" ht="16.5" customHeight="1" x14ac:dyDescent="0.3">
      <c r="A32" s="336">
        <f t="shared" si="0"/>
        <v>25</v>
      </c>
      <c r="B32" s="337" t="s">
        <v>1000</v>
      </c>
      <c r="C32" s="673"/>
      <c r="D32" s="338"/>
      <c r="E32" s="673"/>
      <c r="F32" s="673"/>
      <c r="G32" s="673"/>
      <c r="H32" s="673"/>
      <c r="I32" s="674"/>
      <c r="J32" s="339">
        <v>1</v>
      </c>
      <c r="K32" s="349" t="s">
        <v>77</v>
      </c>
      <c r="L32" s="341" t="s">
        <v>175</v>
      </c>
      <c r="M32" s="342" t="s">
        <v>175</v>
      </c>
    </row>
    <row r="33" spans="1:13" ht="16.5" customHeight="1" x14ac:dyDescent="0.3">
      <c r="A33" s="336">
        <f t="shared" si="0"/>
        <v>26</v>
      </c>
      <c r="B33" s="337" t="s">
        <v>330</v>
      </c>
      <c r="C33" s="673"/>
      <c r="D33" s="338"/>
      <c r="E33" s="673"/>
      <c r="F33" s="673"/>
      <c r="G33" s="673"/>
      <c r="H33" s="673"/>
      <c r="I33" s="674"/>
      <c r="J33" s="339">
        <v>1</v>
      </c>
      <c r="K33" s="346" t="s">
        <v>77</v>
      </c>
      <c r="L33" s="341" t="s">
        <v>174</v>
      </c>
      <c r="M33" s="342" t="s">
        <v>175</v>
      </c>
    </row>
    <row r="34" spans="1:13" ht="16.5" customHeight="1" x14ac:dyDescent="0.3">
      <c r="A34" s="336">
        <f t="shared" si="0"/>
        <v>27</v>
      </c>
      <c r="B34" s="337" t="s">
        <v>761</v>
      </c>
      <c r="C34" s="673"/>
      <c r="D34" s="338"/>
      <c r="E34" s="673"/>
      <c r="F34" s="673"/>
      <c r="G34" s="673"/>
      <c r="H34" s="673"/>
      <c r="I34" s="674"/>
      <c r="J34" s="339">
        <v>1</v>
      </c>
      <c r="K34" s="350" t="s">
        <v>762</v>
      </c>
      <c r="L34" s="341" t="s">
        <v>174</v>
      </c>
      <c r="M34" s="342" t="s">
        <v>174</v>
      </c>
    </row>
    <row r="35" spans="1:13" ht="16.5" customHeight="1" x14ac:dyDescent="0.3">
      <c r="A35" s="336">
        <f t="shared" si="0"/>
        <v>28</v>
      </c>
      <c r="B35" s="337" t="s">
        <v>65</v>
      </c>
      <c r="C35" s="673"/>
      <c r="D35" s="338"/>
      <c r="E35" s="673"/>
      <c r="F35" s="673"/>
      <c r="G35" s="673"/>
      <c r="H35" s="673"/>
      <c r="I35" s="674"/>
      <c r="J35" s="339">
        <v>1</v>
      </c>
      <c r="K35" s="346" t="s">
        <v>76</v>
      </c>
      <c r="L35" s="341" t="s">
        <v>174</v>
      </c>
      <c r="M35" s="342" t="s">
        <v>174</v>
      </c>
    </row>
    <row r="36" spans="1:13" ht="16.5" customHeight="1" x14ac:dyDescent="0.3">
      <c r="A36" s="336">
        <f t="shared" si="0"/>
        <v>29</v>
      </c>
      <c r="B36" s="337" t="s">
        <v>763</v>
      </c>
      <c r="C36" s="673"/>
      <c r="D36" s="673"/>
      <c r="E36" s="673"/>
      <c r="F36" s="673"/>
      <c r="G36" s="673"/>
      <c r="H36" s="673"/>
      <c r="I36" s="674"/>
      <c r="J36" s="339">
        <v>1</v>
      </c>
      <c r="K36" s="351" t="s">
        <v>76</v>
      </c>
      <c r="L36" s="341" t="s">
        <v>174</v>
      </c>
      <c r="M36" s="342" t="s">
        <v>174</v>
      </c>
    </row>
    <row r="37" spans="1:13" ht="16.5" customHeight="1" x14ac:dyDescent="0.3">
      <c r="A37" s="336">
        <f t="shared" si="0"/>
        <v>30</v>
      </c>
      <c r="B37" s="337" t="s">
        <v>757</v>
      </c>
      <c r="C37" s="673"/>
      <c r="D37" s="673"/>
      <c r="E37" s="673"/>
      <c r="F37" s="673"/>
      <c r="G37" s="673"/>
      <c r="H37" s="673"/>
      <c r="I37" s="674"/>
      <c r="J37" s="339">
        <v>1</v>
      </c>
      <c r="K37" s="351" t="s">
        <v>76</v>
      </c>
      <c r="L37" s="341" t="s">
        <v>174</v>
      </c>
      <c r="M37" s="342" t="s">
        <v>174</v>
      </c>
    </row>
    <row r="38" spans="1:13" ht="16.5" customHeight="1" x14ac:dyDescent="0.3">
      <c r="A38" s="336">
        <f t="shared" si="0"/>
        <v>31</v>
      </c>
      <c r="B38" s="337" t="s">
        <v>647</v>
      </c>
      <c r="C38" s="673"/>
      <c r="D38" s="673"/>
      <c r="E38" s="673"/>
      <c r="F38" s="673"/>
      <c r="G38" s="673"/>
      <c r="H38" s="673"/>
      <c r="I38" s="674"/>
      <c r="J38" s="339">
        <v>1</v>
      </c>
      <c r="K38" s="351" t="s">
        <v>76</v>
      </c>
      <c r="L38" s="341" t="s">
        <v>174</v>
      </c>
      <c r="M38" s="342" t="s">
        <v>174</v>
      </c>
    </row>
    <row r="39" spans="1:13" ht="16.5" customHeight="1" thickBot="1" x14ac:dyDescent="0.35">
      <c r="A39" s="336">
        <f t="shared" si="0"/>
        <v>32</v>
      </c>
      <c r="B39" s="352" t="s">
        <v>619</v>
      </c>
      <c r="C39" s="675"/>
      <c r="D39" s="675"/>
      <c r="E39" s="675"/>
      <c r="F39" s="675"/>
      <c r="G39" s="675"/>
      <c r="H39" s="675"/>
      <c r="I39" s="676"/>
      <c r="J39" s="354">
        <v>1</v>
      </c>
      <c r="K39" s="355" t="s">
        <v>76</v>
      </c>
      <c r="L39" s="356" t="s">
        <v>174</v>
      </c>
      <c r="M39" s="357" t="s">
        <v>174</v>
      </c>
    </row>
    <row r="40" spans="1:13" ht="18" thickBot="1" x14ac:dyDescent="0.35">
      <c r="A40" s="303"/>
      <c r="B40" s="303"/>
      <c r="C40" s="303"/>
      <c r="D40" s="303"/>
      <c r="E40" s="303"/>
      <c r="F40" s="303"/>
      <c r="G40" s="303"/>
      <c r="H40" s="303"/>
      <c r="I40" s="303"/>
      <c r="J40" s="303"/>
      <c r="K40" s="299"/>
      <c r="L40" s="299"/>
      <c r="M40" s="303"/>
    </row>
    <row r="41" spans="1:13" ht="17.25" x14ac:dyDescent="0.3">
      <c r="A41" s="303"/>
      <c r="B41" s="303"/>
      <c r="C41" s="303"/>
      <c r="D41" s="303"/>
      <c r="E41" s="303"/>
      <c r="F41" s="303"/>
      <c r="G41" s="358"/>
      <c r="H41" s="330"/>
      <c r="I41" s="359" t="s">
        <v>1073</v>
      </c>
      <c r="J41" s="360">
        <f>SUM(J7:J40)</f>
        <v>34</v>
      </c>
      <c r="K41" s="299"/>
      <c r="L41" s="332">
        <f>SUMIF(L7:L35,"SÍ",$J7:$J35)</f>
        <v>14</v>
      </c>
      <c r="M41" s="361">
        <f>SUMIF(M7:M35,"SÍ",$J7:$J35)</f>
        <v>18</v>
      </c>
    </row>
    <row r="42" spans="1:13" ht="18" thickBot="1" x14ac:dyDescent="0.35">
      <c r="A42" s="303"/>
      <c r="B42" s="303"/>
      <c r="C42" s="303"/>
      <c r="D42" s="303"/>
      <c r="E42" s="303"/>
      <c r="F42" s="303"/>
      <c r="G42" s="362"/>
      <c r="H42" s="353"/>
      <c r="I42" s="363" t="s">
        <v>660</v>
      </c>
      <c r="J42" s="364">
        <f>COUNT(J7:J40)</f>
        <v>33</v>
      </c>
      <c r="K42" s="299"/>
      <c r="L42" s="356" t="s">
        <v>176</v>
      </c>
      <c r="M42" s="357" t="s">
        <v>176</v>
      </c>
    </row>
    <row r="43" spans="1:13" ht="17.25" x14ac:dyDescent="0.3">
      <c r="A43" s="303"/>
      <c r="B43" s="303"/>
      <c r="C43" s="303"/>
      <c r="D43" s="303"/>
      <c r="E43" s="303"/>
      <c r="F43" s="303"/>
      <c r="G43" s="303"/>
      <c r="H43" s="303"/>
      <c r="I43" s="303"/>
      <c r="J43" s="303"/>
    </row>
    <row r="44" spans="1:13" ht="17.25" x14ac:dyDescent="0.3">
      <c r="A44" s="303"/>
      <c r="B44" s="303"/>
      <c r="C44" s="303"/>
      <c r="D44" s="303"/>
      <c r="E44" s="303"/>
      <c r="F44" s="303"/>
      <c r="G44" s="303"/>
      <c r="H44" s="303"/>
      <c r="I44" s="303"/>
      <c r="J44" s="303"/>
    </row>
    <row r="49" spans="1:13" s="33" customFormat="1" ht="17.25" x14ac:dyDescent="0.3">
      <c r="A49" s="27">
        <v>15</v>
      </c>
      <c r="B49" s="28" t="s">
        <v>1072</v>
      </c>
      <c r="C49" s="29"/>
      <c r="D49" s="30"/>
      <c r="E49" s="29"/>
      <c r="F49" s="29"/>
      <c r="G49" s="29"/>
      <c r="H49" s="29"/>
      <c r="I49" s="29"/>
      <c r="J49" s="27">
        <v>1</v>
      </c>
      <c r="K49" s="31" t="s">
        <v>77</v>
      </c>
      <c r="L49" s="32" t="s">
        <v>175</v>
      </c>
      <c r="M49" s="32" t="s">
        <v>175</v>
      </c>
    </row>
    <row r="50" spans="1:13" s="33" customFormat="1" ht="17.25" x14ac:dyDescent="0.3">
      <c r="A50" s="27">
        <v>16</v>
      </c>
      <c r="B50" s="28" t="s">
        <v>1017</v>
      </c>
      <c r="C50" s="29"/>
      <c r="D50" s="30"/>
      <c r="E50" s="29"/>
      <c r="F50" s="29"/>
      <c r="G50" s="29"/>
      <c r="H50" s="29"/>
      <c r="I50" s="29"/>
      <c r="J50" s="27">
        <v>1</v>
      </c>
      <c r="K50" s="31" t="s">
        <v>77</v>
      </c>
      <c r="L50" s="32" t="s">
        <v>174</v>
      </c>
      <c r="M50" s="32" t="s">
        <v>175</v>
      </c>
    </row>
    <row r="51" spans="1:13" s="33" customFormat="1" ht="17.25" x14ac:dyDescent="0.3">
      <c r="A51" s="27">
        <v>17</v>
      </c>
      <c r="B51" s="28" t="s">
        <v>1018</v>
      </c>
      <c r="C51" s="29"/>
      <c r="D51" s="30"/>
      <c r="E51" s="29"/>
      <c r="F51" s="29"/>
      <c r="G51" s="29"/>
      <c r="H51" s="29"/>
      <c r="I51" s="29"/>
      <c r="J51" s="27">
        <v>1</v>
      </c>
      <c r="K51" s="31" t="s">
        <v>77</v>
      </c>
      <c r="L51" s="32" t="s">
        <v>174</v>
      </c>
      <c r="M51" s="32" t="s">
        <v>175</v>
      </c>
    </row>
    <row r="52" spans="1:13" s="33" customFormat="1" ht="17.25" x14ac:dyDescent="0.3">
      <c r="A52" s="27">
        <v>18</v>
      </c>
      <c r="B52" s="28" t="s">
        <v>1019</v>
      </c>
      <c r="C52" s="29"/>
      <c r="D52" s="30"/>
      <c r="E52" s="29"/>
      <c r="F52" s="29"/>
      <c r="G52" s="29"/>
      <c r="H52" s="29"/>
      <c r="I52" s="29"/>
      <c r="J52" s="27">
        <v>1</v>
      </c>
      <c r="K52" s="31" t="s">
        <v>77</v>
      </c>
      <c r="L52" s="32" t="s">
        <v>174</v>
      </c>
      <c r="M52" s="32" t="s">
        <v>175</v>
      </c>
    </row>
  </sheetData>
  <sheetProtection sheet="1" objects="1" scenarios="1" formatCells="0" formatColumns="0"/>
  <phoneticPr fontId="13" type="noConversion"/>
  <hyperlinks>
    <hyperlink ref="B9" location="'Datos Básicos'!A1" display="'Datos Básicos'!A1" xr:uid="{00000000-0004-0000-0500-000000000000}"/>
    <hyperlink ref="B11" location="'Inv. Iniciales ANC'!A1" display="Inversiones Iniciales Activos No Corrientes" xr:uid="{00000000-0004-0000-0500-000001000000}"/>
    <hyperlink ref="B14" location="'Financiación Inicial'!A1" display="'Financiación Inicial'!A1" xr:uid="{00000000-0004-0000-0500-000002000000}"/>
    <hyperlink ref="B15" location="Préstamos!A1" display="Prestamos: cuadro de amortizaciones" xr:uid="{00000000-0004-0000-0500-000003000000}"/>
    <hyperlink ref="B49" location="'Bal. Inicial Previo'!A1" display="'Bal. Inicial Previo'!A1" xr:uid="{00000000-0004-0000-0500-000004000000}"/>
    <hyperlink ref="B50" location="'Bal. Año 0'!A1" display="'Bal. Año 0'!A1" xr:uid="{00000000-0004-0000-0500-000005000000}"/>
    <hyperlink ref="B51" location="'Bal. Año 1'!A1" display="'Bal. Año 1'!A1" xr:uid="{00000000-0004-0000-0500-000006000000}"/>
    <hyperlink ref="B52" location="'Bal. Año 2'!A1" display="'Bal. Año 2'!A1" xr:uid="{00000000-0004-0000-0500-000007000000}"/>
    <hyperlink ref="B23" location="'Balances anuales'!A1" display="Balances Anuales Previsionales: Comparativa" xr:uid="{00000000-0004-0000-0500-000008000000}"/>
    <hyperlink ref="B21" location="'Precios-CV'!A1" display="Precios de Venta y Coste por familias" xr:uid="{00000000-0004-0000-0500-000009000000}"/>
    <hyperlink ref="B22" location="'Estimacion Ventas'!A1" display="Estimación de Ventas: Datos" xr:uid="{00000000-0004-0000-0500-00000A000000}"/>
    <hyperlink ref="B26" location="'PyG anuales'!A1" display="Cuentas de Resultados: Comparativa" xr:uid="{00000000-0004-0000-0500-00000B000000}"/>
    <hyperlink ref="B18" location="'RR HH'!A1" display="'RR HH'!A1" xr:uid="{00000000-0004-0000-0500-00000C000000}"/>
    <hyperlink ref="B32" location="'P. Equilibrio'!A1" display="'P. Equilibrio'!A1" xr:uid="{00000000-0004-0000-0500-00000D000000}"/>
    <hyperlink ref="B33" location="'Ratios Básicos'!A1" display="'Ratios Básicos'!A1" xr:uid="{00000000-0004-0000-0500-00000E000000}"/>
    <hyperlink ref="B35" location="'Datos Evaluación'!A1" display="'Datos Evaluación'!A1" xr:uid="{00000000-0004-0000-0500-00000F000000}"/>
    <hyperlink ref="B20" location="'Datos Gastos Fijos'!A1" display="Gastos Fijos: Datos" xr:uid="{00000000-0004-0000-0500-000010000000}"/>
    <hyperlink ref="B8" location="'Condiciones de Uso'!A1" display="'Condiciones de Uso'!A1" xr:uid="{00000000-0004-0000-0500-000011000000}"/>
    <hyperlink ref="B27" location="Imp.Sociedades!A1" display="Impuesto de sociedades" xr:uid="{00000000-0004-0000-0500-000012000000}"/>
    <hyperlink ref="B28" location="'IRPF Prof y Autónomos'!A1" display="I.R.P.F. De Profesionales y Autónomos" xr:uid="{00000000-0004-0000-0500-000013000000}"/>
    <hyperlink ref="B24" location="Amortizaciones!A1" display="Amortizaciones!A1" xr:uid="{00000000-0004-0000-0500-000014000000}"/>
    <hyperlink ref="B10" location="Parametros!A5" display="Parámetros" xr:uid="{00000000-0004-0000-0500-000015000000}"/>
    <hyperlink ref="B25" location="'Resumen Ventas 5 años'!Área_de_impresión" display="Ventas Anuales: resúmen" xr:uid="{00000000-0004-0000-0500-000016000000}"/>
    <hyperlink ref="B29" location="'Resumen Gastos Fijos'!A1" display="Gastos Fijos Anuales: Resumen" xr:uid="{00000000-0004-0000-0500-000017000000}"/>
    <hyperlink ref="B30" location="'Gastos Financieros'!A1" display="Ingresos y Gastos Financieros" xr:uid="{00000000-0004-0000-0500-000018000000}"/>
    <hyperlink ref="B31" location="'Resumen Tesorerias'!A1" display="Tesoerías Mensuales: Resúmen" xr:uid="{00000000-0004-0000-0500-000019000000}"/>
    <hyperlink ref="B12" location="'Inversiones AC'!A1" display="Inversiones Activos Circulantes" xr:uid="{00000000-0004-0000-0500-00001A000000}"/>
    <hyperlink ref="B13" location="Incentivos!A1" display="Incentivos" xr:uid="{00000000-0004-0000-0500-00001B000000}"/>
    <hyperlink ref="B19" location="Plantilla!A1" display="Plantilla Detallada por meses" xr:uid="{00000000-0004-0000-0500-00001C000000}"/>
    <hyperlink ref="B34" location="'Notas Ratios'!A1" display="Notas de Ratios" xr:uid="{00000000-0004-0000-0500-00001D000000}"/>
    <hyperlink ref="B36" location="ACTIVO!A1" display="ACTIVO" xr:uid="{00000000-0004-0000-0500-00001E000000}"/>
    <hyperlink ref="B37" location="PASIVO!A1" display="PASIVO" xr:uid="{00000000-0004-0000-0500-00001F000000}"/>
    <hyperlink ref="B38" location="DEBE!A1" display="DEBE" xr:uid="{00000000-0004-0000-0500-000020000000}"/>
    <hyperlink ref="B39" location="HABER!A1" display="HABER" xr:uid="{00000000-0004-0000-0500-000021000000}"/>
    <hyperlink ref="B16" location="Leasing!A1" display="Leasing: Cálculos detallados" xr:uid="{00000000-0004-0000-0500-000022000000}"/>
    <hyperlink ref="B17" location="Renting!A1" display="Renting: Cálculos detallados" xr:uid="{00000000-0004-0000-0500-000023000000}"/>
  </hyperlinks>
  <pageMargins left="1" right="0.61" top="0.78740157480314965" bottom="0.39370078740157483" header="0" footer="0.19685039370078741"/>
  <pageSetup paperSize="9" orientation="portrait" horizontalDpi="300" verticalDpi="300" r:id="rId1"/>
  <headerFooter alignWithMargins="0">
    <oddFooter>&amp;A</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tabColor rgb="FFA8DDD6"/>
    <pageSetUpPr fitToPage="1"/>
  </sheetPr>
  <dimension ref="A1:V65"/>
  <sheetViews>
    <sheetView showGridLines="0" workbookViewId="0">
      <selection activeCell="B10" sqref="B10:I10"/>
    </sheetView>
  </sheetViews>
  <sheetFormatPr baseColWidth="10" defaultRowHeight="19.5" x14ac:dyDescent="0.3"/>
  <cols>
    <col min="1" max="1" width="23.125" style="4" customWidth="1"/>
    <col min="2" max="2" width="9.375" style="3" customWidth="1"/>
    <col min="3" max="3" width="8.875" style="3" customWidth="1"/>
    <col min="4" max="4" width="9.25" style="3" customWidth="1"/>
    <col min="5" max="5" width="10.25" style="3" customWidth="1"/>
    <col min="6" max="7" width="9.625" style="3" customWidth="1"/>
    <col min="8" max="11" width="8.625" style="3" customWidth="1"/>
    <col min="12" max="12" width="10.25" style="3" customWidth="1"/>
    <col min="13" max="13" width="3.125" style="3" customWidth="1"/>
    <col min="14" max="20" width="11" style="2"/>
    <col min="21" max="21" width="21.75" style="2" bestFit="1" customWidth="1"/>
    <col min="22" max="16384" width="11" style="2"/>
  </cols>
  <sheetData>
    <row r="1" spans="1:22" ht="27.75" x14ac:dyDescent="0.3">
      <c r="A1" s="2234" t="s">
        <v>2</v>
      </c>
      <c r="B1" s="2251"/>
      <c r="C1" s="2251"/>
      <c r="D1" s="2251"/>
      <c r="E1" s="2251"/>
      <c r="F1" s="2251"/>
      <c r="G1" s="2251"/>
      <c r="H1" s="2251"/>
      <c r="I1" s="2251"/>
      <c r="J1" s="2251"/>
      <c r="K1" s="2233"/>
      <c r="L1" s="2233"/>
      <c r="M1" s="2233"/>
      <c r="N1" s="2233"/>
      <c r="O1" s="2233"/>
      <c r="P1" s="2233"/>
      <c r="Q1" s="2233"/>
      <c r="R1" s="2233"/>
      <c r="S1" s="2233"/>
      <c r="T1" s="299"/>
      <c r="V1" s="1075"/>
    </row>
    <row r="2" spans="1:22" x14ac:dyDescent="0.3">
      <c r="A2" s="301"/>
      <c r="B2" s="301"/>
      <c r="C2" s="301"/>
      <c r="D2" s="301"/>
      <c r="E2" s="301"/>
      <c r="F2" s="301"/>
      <c r="G2" s="301"/>
      <c r="H2" s="301"/>
      <c r="I2" s="301"/>
      <c r="K2" s="4"/>
      <c r="T2" s="299"/>
      <c r="V2" s="299"/>
    </row>
    <row r="3" spans="1:22" x14ac:dyDescent="0.3">
      <c r="A3" s="301"/>
      <c r="B3" s="301"/>
      <c r="C3" s="301"/>
      <c r="D3" s="301"/>
      <c r="E3" s="301"/>
      <c r="F3" s="301"/>
      <c r="G3" s="301"/>
      <c r="H3" s="301"/>
      <c r="I3" s="301"/>
      <c r="K3" s="4"/>
      <c r="T3" s="299"/>
      <c r="V3" s="299"/>
    </row>
    <row r="4" spans="1:22" ht="20.25" thickBot="1" x14ac:dyDescent="0.35">
      <c r="A4" s="301"/>
      <c r="B4" s="301"/>
      <c r="C4" s="301"/>
      <c r="D4" s="301"/>
      <c r="E4" s="301"/>
      <c r="F4" s="301"/>
      <c r="G4" s="301"/>
      <c r="H4" s="301"/>
      <c r="I4" s="301"/>
      <c r="K4" s="4"/>
      <c r="T4" s="299"/>
      <c r="V4" s="299"/>
    </row>
    <row r="5" spans="1:22" ht="22.5" x14ac:dyDescent="0.3">
      <c r="A5" s="2218" t="s">
        <v>396</v>
      </c>
      <c r="B5" s="2493" t="s">
        <v>1243</v>
      </c>
      <c r="C5" s="2493"/>
      <c r="D5" s="2493"/>
      <c r="E5" s="2493"/>
      <c r="F5" s="2493"/>
      <c r="G5" s="2493"/>
      <c r="H5" s="2493"/>
      <c r="I5" s="2493"/>
      <c r="K5" s="4"/>
      <c r="L5" s="2485" t="s">
        <v>479</v>
      </c>
      <c r="M5" s="2486"/>
      <c r="N5" s="2486"/>
      <c r="O5" s="2486"/>
      <c r="P5" s="2486"/>
      <c r="Q5" s="2486"/>
      <c r="R5" s="2486"/>
      <c r="S5" s="2487"/>
      <c r="T5" s="367"/>
      <c r="V5" s="367"/>
    </row>
    <row r="6" spans="1:22" ht="30.75" thickBot="1" x14ac:dyDescent="0.35">
      <c r="A6" s="1190"/>
      <c r="B6" s="2492" t="s">
        <v>1283</v>
      </c>
      <c r="C6" s="2492"/>
      <c r="D6" s="2492"/>
      <c r="E6" s="2492"/>
      <c r="F6" s="2492"/>
      <c r="G6" s="2492"/>
      <c r="H6" s="2492"/>
      <c r="I6" s="2492"/>
      <c r="K6" s="4"/>
      <c r="L6" s="1193"/>
      <c r="S6" s="1194"/>
      <c r="T6" s="299"/>
      <c r="U6" s="1184"/>
      <c r="V6" s="299"/>
    </row>
    <row r="7" spans="1:22" ht="20.25" thickBot="1" x14ac:dyDescent="0.35">
      <c r="A7" s="298"/>
      <c r="B7" s="299"/>
      <c r="C7" s="299"/>
      <c r="D7" s="299"/>
      <c r="E7" s="299"/>
      <c r="F7" s="299"/>
      <c r="G7" s="299"/>
      <c r="H7" s="299"/>
      <c r="I7" s="299"/>
      <c r="L7" s="1193"/>
      <c r="M7" s="213"/>
      <c r="N7" s="2084" t="s">
        <v>480</v>
      </c>
      <c r="O7" s="299"/>
      <c r="P7" s="3"/>
      <c r="Q7" s="3"/>
      <c r="R7" s="3"/>
      <c r="S7" s="2085"/>
      <c r="T7" s="299"/>
      <c r="V7" s="299"/>
    </row>
    <row r="8" spans="1:22" ht="23.25" customHeight="1" thickBot="1" x14ac:dyDescent="0.35">
      <c r="A8" s="2090" t="s">
        <v>397</v>
      </c>
      <c r="B8" s="2494"/>
      <c r="C8" s="2494"/>
      <c r="D8" s="2494"/>
      <c r="E8" s="2494"/>
      <c r="F8" s="2494"/>
      <c r="G8" s="2494"/>
      <c r="H8" s="2494"/>
      <c r="I8" s="2494"/>
      <c r="L8" s="1193"/>
      <c r="N8" s="2086"/>
      <c r="O8" s="3"/>
      <c r="P8" s="3"/>
      <c r="Q8" s="3"/>
      <c r="R8" s="3"/>
      <c r="S8" s="2085"/>
    </row>
    <row r="9" spans="1:22" ht="18" thickBot="1" x14ac:dyDescent="0.35">
      <c r="A9" s="300"/>
      <c r="B9" s="299"/>
      <c r="C9" s="299"/>
      <c r="D9" s="299"/>
      <c r="E9" s="299"/>
      <c r="F9" s="299"/>
      <c r="G9" s="299"/>
      <c r="H9" s="299"/>
      <c r="I9" s="299"/>
      <c r="L9" s="1195"/>
      <c r="M9" s="214"/>
      <c r="N9" s="2087" t="s">
        <v>481</v>
      </c>
      <c r="O9" s="299"/>
      <c r="P9" s="299"/>
      <c r="Q9" s="3"/>
      <c r="R9" s="3"/>
      <c r="S9" s="2085"/>
    </row>
    <row r="10" spans="1:22" ht="26.25" customHeight="1" thickBot="1" x14ac:dyDescent="0.35">
      <c r="A10" s="1191" t="s">
        <v>1035</v>
      </c>
      <c r="B10" s="2495"/>
      <c r="C10" s="2495"/>
      <c r="D10" s="2495"/>
      <c r="E10" s="2495"/>
      <c r="F10" s="2495"/>
      <c r="G10" s="2495"/>
      <c r="H10" s="2495"/>
      <c r="I10" s="2495"/>
      <c r="L10" s="1195"/>
      <c r="M10" s="215"/>
      <c r="N10" s="2087" t="s">
        <v>482</v>
      </c>
      <c r="O10" s="299"/>
      <c r="P10" s="299"/>
      <c r="Q10" s="3"/>
      <c r="R10" s="3"/>
      <c r="S10" s="2085"/>
    </row>
    <row r="11" spans="1:22" ht="22.5" customHeight="1" thickBot="1" x14ac:dyDescent="0.35">
      <c r="A11" s="299"/>
      <c r="B11" s="299"/>
      <c r="C11" s="299"/>
      <c r="D11" s="299"/>
      <c r="E11" s="299"/>
      <c r="F11" s="299"/>
      <c r="G11" s="299"/>
      <c r="H11" s="299"/>
      <c r="I11" s="299"/>
      <c r="L11" s="1195"/>
      <c r="N11" s="2088"/>
      <c r="O11" s="3"/>
      <c r="P11" s="3"/>
      <c r="Q11" s="3"/>
      <c r="R11" s="3"/>
      <c r="S11" s="2085"/>
    </row>
    <row r="12" spans="1:22" ht="20.25" thickBot="1" x14ac:dyDescent="0.35">
      <c r="A12" s="301"/>
      <c r="B12" s="299"/>
      <c r="C12" s="299"/>
      <c r="D12" s="299"/>
      <c r="E12" s="299"/>
      <c r="F12" s="299"/>
      <c r="G12" s="299"/>
      <c r="H12" s="299"/>
      <c r="I12" s="299"/>
      <c r="L12" s="1195"/>
      <c r="M12" s="216"/>
      <c r="N12" s="2087" t="s">
        <v>483</v>
      </c>
      <c r="O12" s="3"/>
      <c r="P12" s="3"/>
      <c r="Q12" s="3"/>
      <c r="R12" s="3"/>
      <c r="S12" s="2085"/>
    </row>
    <row r="13" spans="1:22" ht="20.25" thickBot="1" x14ac:dyDescent="0.35">
      <c r="A13" s="2219" t="s">
        <v>882</v>
      </c>
      <c r="B13" s="2491">
        <v>45461</v>
      </c>
      <c r="C13" s="2491"/>
      <c r="D13" s="299"/>
      <c r="E13" s="299"/>
      <c r="F13" s="2496" t="s">
        <v>715</v>
      </c>
      <c r="G13" s="2496"/>
      <c r="H13" s="2496"/>
      <c r="I13" s="1192" t="s">
        <v>174</v>
      </c>
      <c r="L13" s="1195"/>
      <c r="M13" s="228"/>
      <c r="N13" s="2088"/>
      <c r="O13" s="3"/>
      <c r="P13" s="3"/>
      <c r="Q13" s="3"/>
      <c r="R13" s="3"/>
      <c r="S13" s="2085"/>
    </row>
    <row r="14" spans="1:22" ht="18" thickBot="1" x14ac:dyDescent="0.35">
      <c r="A14" s="302"/>
      <c r="B14" s="299"/>
      <c r="C14" s="299"/>
      <c r="D14" s="299"/>
      <c r="E14" s="299"/>
      <c r="F14" s="299"/>
      <c r="G14" s="299"/>
      <c r="H14" s="299"/>
      <c r="I14" s="299"/>
      <c r="L14" s="1195"/>
      <c r="M14" s="217"/>
      <c r="N14" s="2087" t="s">
        <v>484</v>
      </c>
      <c r="O14" s="3"/>
      <c r="P14" s="3"/>
      <c r="Q14" s="3"/>
      <c r="R14" s="3"/>
      <c r="S14" s="2085"/>
    </row>
    <row r="15" spans="1:22" ht="18" thickBot="1" x14ac:dyDescent="0.35">
      <c r="A15" s="303"/>
      <c r="B15" s="303"/>
      <c r="C15" s="303"/>
      <c r="D15" s="299"/>
      <c r="E15" s="299"/>
      <c r="F15" s="299"/>
      <c r="G15" s="299"/>
      <c r="H15" s="299"/>
      <c r="I15" s="299"/>
      <c r="L15" s="1196"/>
      <c r="M15" s="1197"/>
      <c r="N15" s="1198"/>
      <c r="O15" s="1198"/>
      <c r="P15" s="1198"/>
      <c r="Q15" s="1198"/>
      <c r="R15" s="1198"/>
      <c r="S15" s="1199"/>
    </row>
    <row r="16" spans="1:22" x14ac:dyDescent="0.3">
      <c r="A16" s="2220"/>
      <c r="B16" s="2221" t="s">
        <v>485</v>
      </c>
      <c r="C16" s="2222">
        <f>IF($B16="Año 0",1,2)</f>
        <v>1</v>
      </c>
      <c r="D16" s="2222">
        <f t="shared" ref="D16:F17" si="0">C16+1</f>
        <v>2</v>
      </c>
      <c r="E16" s="2222">
        <f t="shared" si="0"/>
        <v>3</v>
      </c>
      <c r="F16" s="2223">
        <f t="shared" si="0"/>
        <v>4</v>
      </c>
      <c r="G16" s="304"/>
      <c r="H16" s="304"/>
      <c r="I16" s="299"/>
    </row>
    <row r="17" spans="1:19" ht="20.25" thickBot="1" x14ac:dyDescent="0.35">
      <c r="A17" s="2224" t="s">
        <v>943</v>
      </c>
      <c r="B17" s="2091">
        <v>2026</v>
      </c>
      <c r="C17" s="2092">
        <f>B17+1</f>
        <v>2027</v>
      </c>
      <c r="D17" s="2092">
        <f t="shared" si="0"/>
        <v>2028</v>
      </c>
      <c r="E17" s="2092">
        <f t="shared" si="0"/>
        <v>2029</v>
      </c>
      <c r="F17" s="2093">
        <f t="shared" si="0"/>
        <v>2030</v>
      </c>
      <c r="G17" s="304"/>
      <c r="H17" s="305"/>
      <c r="I17" s="299"/>
      <c r="K17" s="21"/>
    </row>
    <row r="18" spans="1:19" ht="20.25" thickBot="1" x14ac:dyDescent="0.35">
      <c r="A18" s="301"/>
      <c r="B18" s="299"/>
      <c r="C18" s="299"/>
      <c r="D18" s="299"/>
      <c r="E18" s="299"/>
      <c r="F18" s="299"/>
      <c r="G18" s="299"/>
      <c r="H18" s="299"/>
      <c r="I18" s="299"/>
    </row>
    <row r="19" spans="1:19" ht="27" customHeight="1" thickBot="1" x14ac:dyDescent="0.35">
      <c r="A19" s="2217" t="s">
        <v>1050</v>
      </c>
      <c r="B19" s="2225" t="s">
        <v>1052</v>
      </c>
      <c r="C19" s="1200">
        <v>1</v>
      </c>
      <c r="D19" s="1201" t="str">
        <f>"    del "&amp;B16&amp;"  =  mes de "</f>
        <v xml:space="preserve">    del Año 0  =  mes de </v>
      </c>
      <c r="E19" s="1202"/>
      <c r="F19" s="1202"/>
      <c r="G19" s="1203" t="str">
        <f>CONCATENATE(TEXT(DATE('Datos Básicos'!B17,mes0+MONTH(Parametros!A46)-1,10),"mmmm")," de ",'Datos Básicos'!B17)</f>
        <v>enero de 2026</v>
      </c>
      <c r="H19" s="1203"/>
      <c r="I19" s="2094"/>
      <c r="L19" s="2485" t="s">
        <v>486</v>
      </c>
      <c r="M19" s="2486"/>
      <c r="N19" s="2486"/>
      <c r="O19" s="2486"/>
      <c r="P19" s="2486"/>
      <c r="Q19" s="2486"/>
      <c r="R19" s="2486"/>
      <c r="S19" s="2487"/>
    </row>
    <row r="20" spans="1:19" ht="24.75" customHeight="1" thickBot="1" x14ac:dyDescent="0.35">
      <c r="A20" s="306"/>
      <c r="B20" s="306"/>
      <c r="C20" s="306"/>
      <c r="D20" s="299"/>
      <c r="E20" s="299"/>
      <c r="F20" s="299"/>
      <c r="G20" s="304"/>
      <c r="H20" s="305"/>
      <c r="I20" s="299"/>
      <c r="J20" s="299"/>
      <c r="L20" s="1195"/>
      <c r="S20" s="1194"/>
    </row>
    <row r="21" spans="1:19" ht="20.25" thickBot="1" x14ac:dyDescent="0.35">
      <c r="A21" s="306"/>
      <c r="B21" s="306"/>
      <c r="C21" s="306"/>
      <c r="D21" s="299"/>
      <c r="E21" s="299"/>
      <c r="F21" s="299"/>
      <c r="G21" s="304"/>
      <c r="H21" s="305"/>
      <c r="I21" s="299"/>
      <c r="J21" s="299"/>
      <c r="L21" s="1195"/>
      <c r="M21" s="213"/>
      <c r="N21" s="2084" t="s">
        <v>487</v>
      </c>
      <c r="O21" s="2084"/>
      <c r="P21" s="2084"/>
      <c r="Q21" s="2084"/>
      <c r="R21" s="2084"/>
      <c r="S21" s="2089"/>
    </row>
    <row r="22" spans="1:19" ht="23.25" customHeight="1" thickBot="1" x14ac:dyDescent="0.35">
      <c r="A22" s="2226" t="s">
        <v>149</v>
      </c>
      <c r="B22" s="2488" t="s">
        <v>238</v>
      </c>
      <c r="C22" s="2489"/>
      <c r="D22" s="2489"/>
      <c r="E22" s="2489"/>
      <c r="F22" s="2489"/>
      <c r="G22" s="2489"/>
      <c r="H22" s="2489"/>
      <c r="I22" s="2490"/>
      <c r="J22" s="299"/>
      <c r="L22" s="1195"/>
      <c r="M22" s="214"/>
      <c r="N22" s="2084" t="s">
        <v>492</v>
      </c>
      <c r="O22" s="2084"/>
      <c r="P22" s="2084"/>
      <c r="Q22" s="2084"/>
      <c r="R22" s="2084"/>
      <c r="S22" s="2089"/>
    </row>
    <row r="23" spans="1:19" ht="20.25" thickBot="1" x14ac:dyDescent="0.35">
      <c r="A23" s="306"/>
      <c r="B23" s="306"/>
      <c r="C23" s="306"/>
      <c r="D23" s="2397"/>
      <c r="E23" s="2397"/>
      <c r="F23" s="2397"/>
      <c r="G23" s="2398"/>
      <c r="H23" s="2399"/>
      <c r="I23" s="2397"/>
      <c r="J23" s="2397"/>
      <c r="L23" s="1195"/>
      <c r="N23" s="2084"/>
      <c r="O23" s="2084"/>
      <c r="P23" s="2084"/>
      <c r="Q23" s="2084"/>
      <c r="R23" s="2084"/>
      <c r="S23" s="2089"/>
    </row>
    <row r="24" spans="1:19" ht="19.5" customHeight="1" thickBot="1" x14ac:dyDescent="0.35">
      <c r="A24" s="2227" t="s">
        <v>5</v>
      </c>
      <c r="B24" s="2228"/>
      <c r="C24" s="299"/>
      <c r="D24" s="2083"/>
      <c r="E24" s="2083"/>
      <c r="F24" s="2227" t="s">
        <v>80</v>
      </c>
      <c r="G24" s="2409"/>
      <c r="H24" s="2409"/>
      <c r="I24" s="2228"/>
      <c r="J24" s="2083"/>
      <c r="L24" s="1195"/>
      <c r="M24" s="226"/>
      <c r="N24" s="2084" t="s">
        <v>495</v>
      </c>
      <c r="O24" s="2084"/>
      <c r="P24" s="2084"/>
      <c r="Q24" s="2084"/>
      <c r="R24" s="2084"/>
      <c r="S24" s="2089"/>
    </row>
    <row r="25" spans="1:19" ht="25.5" customHeight="1" thickBot="1" x14ac:dyDescent="0.35">
      <c r="A25" s="2229" t="s">
        <v>398</v>
      </c>
      <c r="B25" s="1204">
        <f>VLOOKUP(B22,$A$35:$E$50,3,0)</f>
        <v>0</v>
      </c>
      <c r="C25" s="299"/>
      <c r="D25" s="2338"/>
      <c r="E25" s="2083"/>
      <c r="F25" s="2410" t="s">
        <v>82</v>
      </c>
      <c r="G25" s="2411"/>
      <c r="H25" s="2412"/>
      <c r="I25" s="2413">
        <f>VLOOKUP(B22,$A$35:$E$50,4,0)</f>
        <v>0.2</v>
      </c>
      <c r="J25" s="2083"/>
      <c r="L25" s="1195"/>
      <c r="M25" s="227"/>
      <c r="N25" s="2084" t="s">
        <v>496</v>
      </c>
      <c r="O25" s="2084"/>
      <c r="P25" s="2084"/>
      <c r="Q25" s="2084"/>
      <c r="R25" s="2084"/>
      <c r="S25" s="2089"/>
    </row>
    <row r="26" spans="1:19" ht="33" thickBot="1" x14ac:dyDescent="0.35">
      <c r="A26" s="2230" t="s">
        <v>1049</v>
      </c>
      <c r="B26" s="1204">
        <f>VLOOKUP(B22,$A$35:$G$51,7,0)</f>
        <v>0</v>
      </c>
      <c r="C26" s="299"/>
      <c r="D26" s="2338"/>
      <c r="E26" s="2083"/>
      <c r="F26" s="2410" t="s">
        <v>81</v>
      </c>
      <c r="G26" s="2411"/>
      <c r="H26" s="2412"/>
      <c r="I26" s="2413">
        <f>VLOOKUP(B22,$A$35:$E$50,5,0)</f>
        <v>0</v>
      </c>
      <c r="J26" s="2083"/>
      <c r="L26" s="1195"/>
      <c r="M26" s="266"/>
      <c r="N26" s="2084" t="s">
        <v>686</v>
      </c>
      <c r="O26" s="2084"/>
      <c r="P26" s="2084"/>
      <c r="Q26" s="2084"/>
      <c r="R26" s="2084"/>
      <c r="S26" s="2089"/>
    </row>
    <row r="27" spans="1:19" ht="25.5" customHeight="1" thickBot="1" x14ac:dyDescent="0.35">
      <c r="A27" s="308"/>
      <c r="B27" s="299"/>
      <c r="C27" s="299"/>
      <c r="D27" s="2338"/>
      <c r="E27" s="2083"/>
      <c r="F27" s="2406" t="s">
        <v>185</v>
      </c>
      <c r="G27" s="2407"/>
      <c r="H27" s="2407"/>
      <c r="I27" s="2408">
        <v>0.5</v>
      </c>
      <c r="J27" s="2400">
        <f>I27*I26</f>
        <v>0</v>
      </c>
      <c r="L27" s="1195"/>
      <c r="M27" s="265"/>
      <c r="N27" s="2084" t="s">
        <v>687</v>
      </c>
      <c r="O27" s="2084"/>
      <c r="P27" s="2084"/>
      <c r="Q27" s="2084"/>
      <c r="R27" s="2084"/>
      <c r="S27" s="2089"/>
    </row>
    <row r="28" spans="1:19" ht="20.25" thickBot="1" x14ac:dyDescent="0.35">
      <c r="A28" s="301"/>
      <c r="B28" s="299"/>
      <c r="C28" s="299"/>
      <c r="D28" s="2083"/>
      <c r="E28" s="2401" t="str">
        <f>IF(AND(B22="Empr. Individual (Rec. Equiv.)",MAX(Parametros!E24:F31,Parametros!F33,'Inversiones AC'!C11:C13)&gt;0),"Recargo de Equivalencia: Los datos de IVA deben ser todos 0 y considerarse en los precios de venta o de coste","")</f>
        <v/>
      </c>
      <c r="F28" s="2083"/>
      <c r="G28" s="2083"/>
      <c r="H28" s="2083"/>
      <c r="I28" s="2083"/>
      <c r="J28" s="2083"/>
      <c r="L28" s="1195"/>
      <c r="M28" s="263"/>
      <c r="N28" s="2084" t="s">
        <v>685</v>
      </c>
      <c r="O28" s="2084"/>
      <c r="P28" s="2084"/>
      <c r="Q28" s="2084"/>
      <c r="R28" s="2084"/>
      <c r="S28" s="2089"/>
    </row>
    <row r="29" spans="1:19" ht="21" customHeight="1" thickBot="1" x14ac:dyDescent="0.35">
      <c r="A29" s="2231" t="s">
        <v>337</v>
      </c>
      <c r="B29" s="2377"/>
      <c r="C29" s="2378">
        <v>0.21</v>
      </c>
      <c r="D29" s="2083"/>
      <c r="E29" s="2402"/>
      <c r="F29" s="2083"/>
      <c r="G29" s="2083"/>
      <c r="H29" s="2083"/>
      <c r="I29" s="2083"/>
      <c r="J29" s="2083"/>
      <c r="L29" s="1195"/>
      <c r="N29" s="2084"/>
      <c r="O29" s="2084"/>
      <c r="P29" s="2084"/>
      <c r="Q29" s="2084"/>
      <c r="R29" s="2084"/>
      <c r="S29" s="2089"/>
    </row>
    <row r="30" spans="1:19" ht="24" customHeight="1" thickBot="1" x14ac:dyDescent="0.35">
      <c r="A30" s="2231" t="s">
        <v>338</v>
      </c>
      <c r="B30" s="2377"/>
      <c r="C30" s="2378">
        <v>0.21</v>
      </c>
      <c r="D30" s="2083"/>
      <c r="E30" s="2403"/>
      <c r="F30" s="2083"/>
      <c r="G30" s="2083"/>
      <c r="H30" s="2404"/>
      <c r="I30" s="2405"/>
      <c r="J30" s="2083"/>
      <c r="L30" s="1195"/>
      <c r="M30" s="225"/>
      <c r="N30" s="2084" t="s">
        <v>494</v>
      </c>
      <c r="O30" s="2084"/>
      <c r="P30" s="2084"/>
      <c r="Q30" s="2084"/>
      <c r="R30" s="2084"/>
      <c r="S30" s="2089"/>
    </row>
    <row r="31" spans="1:19" ht="18" customHeight="1" thickBot="1" x14ac:dyDescent="0.35">
      <c r="A31" s="299"/>
      <c r="B31" s="299"/>
      <c r="C31" s="299"/>
      <c r="D31" s="307"/>
      <c r="E31" s="299"/>
      <c r="F31" s="299"/>
      <c r="G31" s="299"/>
      <c r="H31" s="299"/>
      <c r="I31" s="299"/>
      <c r="J31" s="299"/>
      <c r="K31" s="2"/>
      <c r="L31" s="1196"/>
      <c r="M31" s="1197"/>
      <c r="N31" s="1198"/>
      <c r="O31" s="1198"/>
      <c r="P31" s="1198"/>
      <c r="Q31" s="1198"/>
      <c r="R31" s="1198"/>
      <c r="S31" s="1199"/>
    </row>
    <row r="32" spans="1:19" x14ac:dyDescent="0.3">
      <c r="A32" s="2082"/>
      <c r="B32" s="2083"/>
      <c r="C32" s="2083"/>
      <c r="D32" s="2083"/>
      <c r="E32" s="2083"/>
      <c r="F32" s="2083"/>
      <c r="G32" s="2083"/>
      <c r="H32" s="2083"/>
      <c r="I32" s="2083"/>
      <c r="J32" s="299"/>
      <c r="K32" s="2"/>
      <c r="L32" s="2"/>
      <c r="M32" s="2"/>
      <c r="Q32" s="2095"/>
    </row>
    <row r="33" spans="1:18" s="2459" customFormat="1" x14ac:dyDescent="0.3">
      <c r="A33" s="2082">
        <f>VLOOKUP(B22,A35:H50,8,0)</f>
        <v>1</v>
      </c>
      <c r="B33" s="2083"/>
      <c r="C33" s="2083"/>
      <c r="D33" s="2083"/>
      <c r="E33" s="2083"/>
      <c r="F33" s="2083"/>
      <c r="G33" s="2083"/>
      <c r="H33" s="2083"/>
      <c r="I33" s="2083"/>
      <c r="J33" s="2397"/>
      <c r="K33" s="2457"/>
      <c r="L33" s="2457"/>
      <c r="O33" s="2465"/>
      <c r="P33" s="2460"/>
      <c r="Q33" s="2464"/>
      <c r="R33" s="2460"/>
    </row>
    <row r="34" spans="1:18" s="2459" customFormat="1" ht="30" x14ac:dyDescent="0.3">
      <c r="A34" s="2082"/>
      <c r="B34" s="2083"/>
      <c r="C34" s="2479" t="s">
        <v>241</v>
      </c>
      <c r="D34" s="2479" t="s">
        <v>242</v>
      </c>
      <c r="E34" s="2479" t="s">
        <v>243</v>
      </c>
      <c r="F34" s="2479" t="s">
        <v>180</v>
      </c>
      <c r="G34" s="2479" t="s">
        <v>490</v>
      </c>
      <c r="H34" s="2083"/>
      <c r="I34" s="2397"/>
      <c r="J34" s="2397"/>
      <c r="K34" s="2457"/>
      <c r="L34" s="2457"/>
      <c r="M34" s="2458"/>
      <c r="P34" s="2460"/>
      <c r="Q34" s="2464"/>
      <c r="R34" s="2460"/>
    </row>
    <row r="35" spans="1:18" s="2459" customFormat="1" ht="17.25" x14ac:dyDescent="0.3">
      <c r="A35" s="2480" t="s">
        <v>332</v>
      </c>
      <c r="B35" s="2083"/>
      <c r="C35" s="2481">
        <v>0.25</v>
      </c>
      <c r="D35" s="2481">
        <v>0</v>
      </c>
      <c r="E35" s="2481">
        <v>0</v>
      </c>
      <c r="F35" s="2481">
        <v>0</v>
      </c>
      <c r="G35" s="2481">
        <v>0.19</v>
      </c>
      <c r="H35" s="2083">
        <v>0</v>
      </c>
      <c r="I35" s="2397"/>
      <c r="J35" s="2397"/>
      <c r="K35" s="2457"/>
      <c r="L35" s="2457"/>
      <c r="M35" s="2458"/>
      <c r="P35" s="2460"/>
      <c r="Q35" s="2460"/>
      <c r="R35" s="2460"/>
    </row>
    <row r="36" spans="1:18" s="2459" customFormat="1" x14ac:dyDescent="0.3">
      <c r="A36" s="2480" t="s">
        <v>402</v>
      </c>
      <c r="B36" s="2083"/>
      <c r="C36" s="2481">
        <v>0.25</v>
      </c>
      <c r="D36" s="2481">
        <v>0</v>
      </c>
      <c r="E36" s="2481">
        <v>0</v>
      </c>
      <c r="F36" s="2481">
        <v>0</v>
      </c>
      <c r="G36" s="2481">
        <v>0.19</v>
      </c>
      <c r="H36" s="2083">
        <v>0</v>
      </c>
      <c r="I36" s="2397"/>
      <c r="J36" s="2397"/>
      <c r="K36" s="2457"/>
      <c r="L36" s="2457"/>
      <c r="M36" s="2458"/>
      <c r="R36" s="2461"/>
    </row>
    <row r="37" spans="1:18" s="2459" customFormat="1" ht="17.25" x14ac:dyDescent="0.3">
      <c r="A37" s="2480" t="s">
        <v>238</v>
      </c>
      <c r="B37" s="2083"/>
      <c r="C37" s="2481">
        <v>0</v>
      </c>
      <c r="D37" s="2481">
        <v>0.2</v>
      </c>
      <c r="E37" s="2481">
        <v>0</v>
      </c>
      <c r="F37" s="2481">
        <v>0</v>
      </c>
      <c r="G37" s="2481">
        <v>0</v>
      </c>
      <c r="H37" s="2083">
        <v>1</v>
      </c>
      <c r="I37" s="2397"/>
      <c r="J37" s="2397"/>
      <c r="K37" s="2457"/>
      <c r="L37" s="2457"/>
      <c r="M37" s="2458"/>
    </row>
    <row r="38" spans="1:18" s="2459" customFormat="1" ht="17.25" x14ac:dyDescent="0.3">
      <c r="A38" s="2480" t="s">
        <v>239</v>
      </c>
      <c r="B38" s="2083"/>
      <c r="C38" s="2481">
        <v>0</v>
      </c>
      <c r="D38" s="2481">
        <v>0.2</v>
      </c>
      <c r="E38" s="2481">
        <v>0</v>
      </c>
      <c r="F38" s="2481">
        <v>0</v>
      </c>
      <c r="G38" s="2481">
        <v>0</v>
      </c>
      <c r="H38" s="2083">
        <v>1</v>
      </c>
      <c r="I38" s="2397"/>
      <c r="J38" s="2397"/>
      <c r="K38" s="2457"/>
      <c r="L38" s="2457"/>
      <c r="M38" s="2458"/>
    </row>
    <row r="39" spans="1:18" s="2459" customFormat="1" ht="17.25" x14ac:dyDescent="0.3">
      <c r="A39" s="2480" t="s">
        <v>401</v>
      </c>
      <c r="B39" s="2083"/>
      <c r="C39" s="2481">
        <v>0</v>
      </c>
      <c r="D39" s="2481">
        <v>0.2</v>
      </c>
      <c r="E39" s="2481">
        <v>0</v>
      </c>
      <c r="F39" s="2481">
        <v>0</v>
      </c>
      <c r="G39" s="2481">
        <v>0</v>
      </c>
      <c r="H39" s="2083">
        <v>0</v>
      </c>
      <c r="I39" s="2397"/>
      <c r="J39" s="2397"/>
      <c r="K39" s="2457"/>
      <c r="L39" s="2457"/>
      <c r="M39" s="2458"/>
    </row>
    <row r="40" spans="1:18" s="2459" customFormat="1" ht="17.25" x14ac:dyDescent="0.3">
      <c r="A40" s="2480" t="s">
        <v>403</v>
      </c>
      <c r="B40" s="2083"/>
      <c r="C40" s="2481">
        <v>0</v>
      </c>
      <c r="D40" s="2481">
        <v>0.2</v>
      </c>
      <c r="E40" s="2481">
        <v>0</v>
      </c>
      <c r="F40" s="2481">
        <v>0</v>
      </c>
      <c r="G40" s="2481">
        <v>0</v>
      </c>
      <c r="H40" s="2083">
        <v>0</v>
      </c>
      <c r="I40" s="2397"/>
      <c r="J40" s="2397"/>
      <c r="K40" s="2457"/>
      <c r="L40" s="2457"/>
      <c r="M40" s="2458"/>
    </row>
    <row r="41" spans="1:18" s="2459" customFormat="1" ht="17.25" x14ac:dyDescent="0.3">
      <c r="A41" s="2480" t="s">
        <v>745</v>
      </c>
      <c r="B41" s="2083"/>
      <c r="C41" s="2481">
        <v>0</v>
      </c>
      <c r="D41" s="2481">
        <v>0.2</v>
      </c>
      <c r="E41" s="2481">
        <v>0.21</v>
      </c>
      <c r="F41" s="2481">
        <v>0</v>
      </c>
      <c r="G41" s="2481">
        <v>0</v>
      </c>
      <c r="H41" s="2083">
        <v>1</v>
      </c>
      <c r="I41" s="2397"/>
      <c r="J41" s="2397"/>
      <c r="K41" s="2457"/>
      <c r="L41" s="2457"/>
      <c r="M41" s="2458"/>
    </row>
    <row r="42" spans="1:18" s="2459" customFormat="1" ht="17.25" x14ac:dyDescent="0.3">
      <c r="A42" s="2480" t="s">
        <v>259</v>
      </c>
      <c r="B42" s="2083"/>
      <c r="C42" s="2481">
        <v>0</v>
      </c>
      <c r="D42" s="2481">
        <v>0.2</v>
      </c>
      <c r="E42" s="2481">
        <v>0.21</v>
      </c>
      <c r="F42" s="2481">
        <v>0</v>
      </c>
      <c r="G42" s="2481">
        <v>0</v>
      </c>
      <c r="H42" s="2083">
        <v>0</v>
      </c>
      <c r="I42" s="2397"/>
      <c r="J42" s="2397"/>
      <c r="K42" s="2457"/>
      <c r="L42" s="2457"/>
      <c r="M42" s="2458"/>
    </row>
    <row r="43" spans="1:18" s="2459" customFormat="1" ht="17.25" x14ac:dyDescent="0.3">
      <c r="A43" s="2480" t="s">
        <v>333</v>
      </c>
      <c r="B43" s="2083"/>
      <c r="C43" s="2481">
        <v>0.25</v>
      </c>
      <c r="D43" s="2481">
        <v>0</v>
      </c>
      <c r="E43" s="2481">
        <v>0</v>
      </c>
      <c r="F43" s="2481">
        <v>0</v>
      </c>
      <c r="G43" s="2481">
        <v>0.19</v>
      </c>
      <c r="H43" s="2083">
        <v>0</v>
      </c>
      <c r="I43" s="2397"/>
      <c r="J43" s="2397"/>
      <c r="K43" s="2457"/>
      <c r="L43" s="2457"/>
      <c r="M43" s="2458"/>
    </row>
    <row r="44" spans="1:18" s="2459" customFormat="1" ht="17.25" x14ac:dyDescent="0.3">
      <c r="A44" s="2480" t="s">
        <v>334</v>
      </c>
      <c r="B44" s="2083"/>
      <c r="C44" s="2481">
        <v>0.25</v>
      </c>
      <c r="D44" s="2481">
        <v>0</v>
      </c>
      <c r="E44" s="2481">
        <v>0</v>
      </c>
      <c r="F44" s="2481">
        <v>0</v>
      </c>
      <c r="G44" s="2481">
        <v>0.19</v>
      </c>
      <c r="H44" s="2083">
        <v>0</v>
      </c>
      <c r="I44" s="2397"/>
      <c r="J44" s="2397"/>
      <c r="K44" s="2457"/>
      <c r="L44" s="2457"/>
      <c r="M44" s="2458"/>
    </row>
    <row r="45" spans="1:18" s="2459" customFormat="1" ht="17.25" x14ac:dyDescent="0.3">
      <c r="A45" s="2480" t="s">
        <v>489</v>
      </c>
      <c r="B45" s="2083"/>
      <c r="C45" s="2481">
        <v>0.2</v>
      </c>
      <c r="D45" s="2481">
        <v>0</v>
      </c>
      <c r="E45" s="2481">
        <v>0</v>
      </c>
      <c r="F45" s="2481">
        <v>0</v>
      </c>
      <c r="G45" s="2481">
        <v>0.14000000000000001</v>
      </c>
      <c r="H45" s="2083">
        <v>0</v>
      </c>
      <c r="I45" s="2397"/>
      <c r="J45" s="2397"/>
      <c r="K45" s="2457"/>
      <c r="L45" s="2457"/>
      <c r="M45" s="2458"/>
    </row>
    <row r="46" spans="1:18" s="2459" customFormat="1" ht="17.25" x14ac:dyDescent="0.3">
      <c r="A46" s="2480" t="s">
        <v>1114</v>
      </c>
      <c r="B46" s="2083"/>
      <c r="C46" s="2481">
        <v>0.2</v>
      </c>
      <c r="D46" s="2481">
        <v>0</v>
      </c>
      <c r="E46" s="2481">
        <v>0</v>
      </c>
      <c r="F46" s="2481">
        <v>0</v>
      </c>
      <c r="G46" s="2481">
        <v>0.14000000000000001</v>
      </c>
      <c r="H46" s="2083">
        <v>0</v>
      </c>
      <c r="I46" s="2397"/>
      <c r="J46" s="2397"/>
      <c r="K46" s="2457"/>
      <c r="L46" s="2457"/>
      <c r="M46" s="2458"/>
    </row>
    <row r="47" spans="1:18" s="2459" customFormat="1" ht="17.25" x14ac:dyDescent="0.3">
      <c r="A47" s="2480" t="s">
        <v>488</v>
      </c>
      <c r="B47" s="2083"/>
      <c r="C47" s="2481">
        <v>0.1</v>
      </c>
      <c r="D47" s="2481">
        <v>0</v>
      </c>
      <c r="E47" s="2481">
        <v>0</v>
      </c>
      <c r="F47" s="2481">
        <v>0</v>
      </c>
      <c r="G47" s="2481">
        <v>0.14000000000000001</v>
      </c>
      <c r="H47" s="2083">
        <v>0</v>
      </c>
      <c r="I47" s="2397"/>
      <c r="J47" s="2397"/>
      <c r="K47" s="2457"/>
      <c r="L47" s="2457"/>
      <c r="M47" s="2458"/>
    </row>
    <row r="48" spans="1:18" s="2459" customFormat="1" ht="17.25" x14ac:dyDescent="0.3">
      <c r="A48" s="2480" t="s">
        <v>335</v>
      </c>
      <c r="B48" s="2083"/>
      <c r="C48" s="2481">
        <v>0.25</v>
      </c>
      <c r="D48" s="2481">
        <v>0</v>
      </c>
      <c r="E48" s="2481">
        <v>0</v>
      </c>
      <c r="F48" s="2481">
        <v>0</v>
      </c>
      <c r="G48" s="2481">
        <v>0.19</v>
      </c>
      <c r="H48" s="2083">
        <v>0</v>
      </c>
      <c r="I48" s="2397"/>
      <c r="J48" s="2397"/>
      <c r="K48" s="2457"/>
      <c r="L48" s="2457"/>
      <c r="M48" s="2458"/>
    </row>
    <row r="49" spans="1:13" s="2459" customFormat="1" ht="17.25" x14ac:dyDescent="0.3">
      <c r="A49" s="2480" t="s">
        <v>240</v>
      </c>
      <c r="B49" s="2083"/>
      <c r="C49" s="2481">
        <v>0.1</v>
      </c>
      <c r="D49" s="2481">
        <v>0</v>
      </c>
      <c r="E49" s="2481">
        <v>0</v>
      </c>
      <c r="F49" s="2481">
        <v>0</v>
      </c>
      <c r="G49" s="2481">
        <v>0.19</v>
      </c>
      <c r="H49" s="2083">
        <v>0</v>
      </c>
      <c r="I49" s="2397"/>
      <c r="J49" s="2397"/>
      <c r="K49" s="2457"/>
      <c r="L49" s="2457"/>
      <c r="M49" s="2458"/>
    </row>
    <row r="50" spans="1:13" s="2459" customFormat="1" ht="17.25" x14ac:dyDescent="0.3">
      <c r="A50" s="2480" t="s">
        <v>336</v>
      </c>
      <c r="B50" s="2083"/>
      <c r="C50" s="2481">
        <v>0.25</v>
      </c>
      <c r="D50" s="2481">
        <v>0</v>
      </c>
      <c r="E50" s="2481">
        <v>0</v>
      </c>
      <c r="F50" s="2481">
        <v>0</v>
      </c>
      <c r="G50" s="2481">
        <v>0.19</v>
      </c>
      <c r="H50" s="2083">
        <v>0</v>
      </c>
      <c r="I50" s="2397"/>
      <c r="J50" s="2397"/>
      <c r="K50" s="2457"/>
      <c r="L50" s="2457"/>
      <c r="M50" s="2458"/>
    </row>
    <row r="51" spans="1:13" s="2459" customFormat="1" ht="17.25" x14ac:dyDescent="0.3">
      <c r="A51" s="2455"/>
      <c r="B51" s="2397"/>
      <c r="C51" s="2397"/>
      <c r="D51" s="2397"/>
      <c r="E51" s="2476"/>
      <c r="F51" s="2476"/>
      <c r="G51" s="2397"/>
      <c r="H51" s="2397"/>
      <c r="I51" s="2397"/>
      <c r="J51" s="2397"/>
      <c r="K51" s="2457"/>
      <c r="L51" s="2457"/>
      <c r="M51" s="2458"/>
    </row>
    <row r="52" spans="1:13" s="2459" customFormat="1" ht="17.25" x14ac:dyDescent="0.3">
      <c r="A52" s="2455"/>
      <c r="B52" s="2397"/>
      <c r="C52" s="2397"/>
      <c r="D52" s="2397"/>
      <c r="E52" s="2397"/>
      <c r="F52" s="2397"/>
      <c r="G52" s="2397"/>
      <c r="H52" s="2397"/>
      <c r="I52" s="2397"/>
      <c r="J52" s="2397"/>
      <c r="K52" s="2457"/>
      <c r="L52" s="2457"/>
      <c r="M52" s="2458"/>
    </row>
    <row r="53" spans="1:13" s="2459" customFormat="1" ht="17.25" x14ac:dyDescent="0.3">
      <c r="A53" s="2455"/>
      <c r="B53" s="2397"/>
      <c r="C53" s="2397"/>
      <c r="D53" s="2397"/>
      <c r="E53" s="2397"/>
      <c r="F53" s="2397"/>
      <c r="G53" s="2397"/>
      <c r="H53" s="2397"/>
      <c r="I53" s="2397"/>
      <c r="J53" s="2397"/>
      <c r="K53" s="2457"/>
      <c r="L53" s="2457"/>
      <c r="M53" s="2458"/>
    </row>
    <row r="54" spans="1:13" s="2459" customFormat="1" ht="17.25" x14ac:dyDescent="0.3">
      <c r="A54" s="2397" t="s">
        <v>345</v>
      </c>
      <c r="B54" s="2397"/>
      <c r="C54" s="2397"/>
      <c r="D54" s="2477">
        <f>VLOOKUP(B22,$A$35:$F$50,6,0)</f>
        <v>0</v>
      </c>
      <c r="E54" s="2397"/>
      <c r="F54" s="2397"/>
      <c r="G54" s="2397"/>
      <c r="H54" s="2397"/>
      <c r="I54" s="2397"/>
      <c r="J54" s="2397"/>
      <c r="K54" s="2457"/>
      <c r="L54" s="2457"/>
      <c r="M54" s="2458"/>
    </row>
    <row r="55" spans="1:13" s="2459" customFormat="1" ht="17.25" x14ac:dyDescent="0.3">
      <c r="A55" s="2397"/>
      <c r="B55" s="2397"/>
      <c r="C55" s="2397"/>
      <c r="D55" s="2397"/>
      <c r="E55" s="2397"/>
      <c r="F55" s="2397"/>
      <c r="G55" s="2397"/>
      <c r="H55" s="2397"/>
      <c r="I55" s="2397"/>
      <c r="J55" s="2397"/>
      <c r="K55" s="2457"/>
      <c r="L55" s="2457"/>
      <c r="M55" s="2458"/>
    </row>
    <row r="56" spans="1:13" s="2459" customFormat="1" x14ac:dyDescent="0.3">
      <c r="A56" s="2478"/>
      <c r="B56" s="2397"/>
      <c r="C56" s="2397"/>
      <c r="D56" s="2397"/>
      <c r="E56" s="2397"/>
      <c r="F56" s="2397"/>
      <c r="G56" s="2397"/>
      <c r="H56" s="2397"/>
      <c r="I56" s="2397"/>
      <c r="J56" s="2397"/>
      <c r="K56" s="2457"/>
      <c r="L56" s="2457"/>
      <c r="M56" s="2458"/>
    </row>
    <row r="57" spans="1:13" s="2459" customFormat="1" x14ac:dyDescent="0.3">
      <c r="A57" s="2478"/>
      <c r="B57" s="2397"/>
      <c r="C57" s="2397"/>
      <c r="D57" s="2397"/>
      <c r="E57" s="2397"/>
      <c r="F57" s="2397"/>
      <c r="G57" s="2397"/>
      <c r="H57" s="2397"/>
      <c r="I57" s="2397"/>
      <c r="J57" s="2397"/>
      <c r="K57" s="2457"/>
      <c r="L57" s="2457"/>
      <c r="M57" s="2458"/>
    </row>
    <row r="58" spans="1:13" s="2459" customFormat="1" x14ac:dyDescent="0.3">
      <c r="A58" s="2082"/>
      <c r="B58" s="2083"/>
      <c r="C58" s="2083"/>
      <c r="D58" s="2083"/>
      <c r="E58" s="2083"/>
      <c r="F58" s="2083"/>
      <c r="G58" s="2083"/>
      <c r="H58" s="2083"/>
      <c r="I58" s="2083"/>
      <c r="J58" s="2397"/>
      <c r="K58" s="2457"/>
      <c r="L58" s="2457"/>
      <c r="M58" s="2458"/>
    </row>
    <row r="59" spans="1:13" s="2459" customFormat="1" x14ac:dyDescent="0.3">
      <c r="A59" s="2082"/>
      <c r="B59" s="2083"/>
      <c r="C59" s="2083"/>
      <c r="D59" s="2083"/>
      <c r="E59" s="2083"/>
      <c r="F59" s="2083"/>
      <c r="G59" s="2083"/>
      <c r="H59" s="2083"/>
      <c r="I59" s="2083"/>
      <c r="J59" s="2397"/>
      <c r="K59" s="2457"/>
      <c r="L59" s="2457"/>
      <c r="M59" s="2458"/>
    </row>
    <row r="60" spans="1:13" s="2459" customFormat="1" x14ac:dyDescent="0.3">
      <c r="A60" s="2082"/>
      <c r="B60" s="2083"/>
      <c r="C60" s="2083"/>
      <c r="D60" s="2083"/>
      <c r="E60" s="2083"/>
      <c r="F60" s="2083"/>
      <c r="G60" s="2083"/>
      <c r="H60" s="2083"/>
      <c r="I60" s="2083"/>
      <c r="J60" s="2397"/>
      <c r="K60" s="2457"/>
      <c r="L60" s="2457"/>
      <c r="M60" s="2458"/>
    </row>
    <row r="61" spans="1:13" s="2459" customFormat="1" x14ac:dyDescent="0.3">
      <c r="A61" s="2462"/>
      <c r="B61" s="2457"/>
      <c r="C61" s="2457"/>
      <c r="D61" s="2457"/>
      <c r="E61" s="2457"/>
      <c r="F61" s="2457"/>
      <c r="G61" s="2457"/>
      <c r="H61" s="2457"/>
      <c r="I61" s="2457"/>
      <c r="J61" s="2457"/>
      <c r="K61" s="2457"/>
      <c r="L61" s="2457"/>
      <c r="M61" s="2458"/>
    </row>
    <row r="62" spans="1:13" s="2459" customFormat="1" x14ac:dyDescent="0.3">
      <c r="A62" s="2462"/>
      <c r="B62" s="2457"/>
      <c r="C62" s="2457"/>
      <c r="D62" s="2457"/>
      <c r="E62" s="2457"/>
      <c r="F62" s="2457"/>
      <c r="G62" s="2457"/>
      <c r="H62" s="2457"/>
      <c r="I62" s="2457"/>
      <c r="J62" s="2457"/>
      <c r="K62" s="2457"/>
      <c r="L62" s="2457"/>
      <c r="M62" s="2458"/>
    </row>
    <row r="63" spans="1:13" s="2459" customFormat="1" x14ac:dyDescent="0.3">
      <c r="A63" s="2463"/>
      <c r="B63" s="2458"/>
      <c r="C63" s="2458"/>
      <c r="D63" s="2458"/>
      <c r="E63" s="2458"/>
      <c r="F63" s="2458"/>
      <c r="G63" s="2458"/>
      <c r="H63" s="2458"/>
      <c r="I63" s="2458"/>
      <c r="J63" s="2458"/>
      <c r="K63" s="2458"/>
      <c r="L63" s="2458"/>
      <c r="M63" s="2458"/>
    </row>
    <row r="64" spans="1:13" s="201" customFormat="1" x14ac:dyDescent="0.3">
      <c r="A64" s="199"/>
      <c r="B64" s="200"/>
      <c r="C64" s="200"/>
      <c r="D64" s="200"/>
      <c r="E64" s="200"/>
      <c r="F64" s="200"/>
      <c r="G64" s="200"/>
      <c r="H64" s="200"/>
      <c r="I64" s="200"/>
      <c r="J64" s="200"/>
      <c r="K64" s="200"/>
      <c r="L64" s="200"/>
      <c r="M64" s="200"/>
    </row>
    <row r="65" spans="1:13" s="204" customFormat="1" x14ac:dyDescent="0.3">
      <c r="A65" s="202"/>
      <c r="B65" s="203"/>
      <c r="C65" s="203"/>
      <c r="D65" s="203"/>
      <c r="E65" s="203"/>
      <c r="F65" s="203"/>
      <c r="G65" s="203"/>
      <c r="H65" s="203"/>
      <c r="I65" s="203"/>
      <c r="J65" s="203"/>
      <c r="K65" s="203"/>
      <c r="L65" s="203"/>
      <c r="M65" s="203"/>
    </row>
  </sheetData>
  <sheetProtection sheet="1" formatCells="0" formatColumns="0"/>
  <dataConsolidate/>
  <mergeCells count="9">
    <mergeCell ref="L5:S5"/>
    <mergeCell ref="L19:S19"/>
    <mergeCell ref="B22:I22"/>
    <mergeCell ref="B13:C13"/>
    <mergeCell ref="B6:I6"/>
    <mergeCell ref="B5:I5"/>
    <mergeCell ref="B8:I8"/>
    <mergeCell ref="B10:I10"/>
    <mergeCell ref="F13:H13"/>
  </mergeCells>
  <phoneticPr fontId="13" type="noConversion"/>
  <conditionalFormatting sqref="A24:B26 R36">
    <cfRule type="expression" dxfId="46" priority="5" stopIfTrue="1">
      <formula>isoc=0</formula>
    </cfRule>
  </conditionalFormatting>
  <conditionalFormatting sqref="F24:I26">
    <cfRule type="expression" dxfId="45" priority="4" stopIfTrue="1">
      <formula>irpf=0</formula>
    </cfRule>
  </conditionalFormatting>
  <conditionalFormatting sqref="F27:I27">
    <cfRule type="expression" dxfId="44" priority="3" stopIfTrue="1">
      <formula>$I$26=0</formula>
    </cfRule>
  </conditionalFormatting>
  <dataValidations xWindow="404" yWindow="494" count="12">
    <dataValidation type="list" allowBlank="1" showInputMessage="1" showErrorMessage="1" prompt="Normalmente será el 18%, excepto que se esté exento, en recargo de equivalencia o IVA en módulos._x000a_En estos casos se debe incluir el IVA dentro de los precios de coste y de venta como._x000a_O bien que se quiera realizar la simulación sin tener en cuenta el IVA." sqref="Q33:Q34" xr:uid="{00000000-0002-0000-0600-000000000000}">
      <formula1>"18%,8%,4%,0%"</formula1>
    </dataValidation>
    <dataValidation type="decimal" allowBlank="1" showInputMessage="1" showErrorMessage="1" prompt="Tipo (%) de retenciones a cuenta (entre 0% y 40%) Debe ser el 18% normalmente para la mayoría de los casos." sqref="R36" xr:uid="{00000000-0002-0000-0600-000001000000}">
      <formula1>0</formula1>
      <formula2>0.4</formula2>
    </dataValidation>
    <dataValidation type="decimal" allowBlank="1" showInputMessage="1" showErrorMessage="1" sqref="B25" xr:uid="{00000000-0002-0000-0600-000002000000}">
      <formula1>0</formula1>
      <formula2>0.4</formula2>
    </dataValidation>
    <dataValidation type="list" allowBlank="1" showInputMessage="1" showErrorMessage="1" sqref="B22" xr:uid="{00000000-0002-0000-0600-000003000000}">
      <formula1>$A$35:$A$50</formula1>
    </dataValidation>
    <dataValidation type="whole" allowBlank="1" showInputMessage="1" showErrorMessage="1" sqref="B17" xr:uid="{00000000-0002-0000-0600-000004000000}">
      <formula1>1999</formula1>
      <formula2>2100</formula2>
    </dataValidation>
    <dataValidation type="list" allowBlank="1" showInputMessage="1" showErrorMessage="1" sqref="B16" xr:uid="{00000000-0002-0000-0600-000005000000}">
      <formula1>"Año 0,Año 1"</formula1>
    </dataValidation>
    <dataValidation type="list" allowBlank="1" showInputMessage="1" showErrorMessage="1" sqref="C19" xr:uid="{00000000-0002-0000-0600-000006000000}">
      <formula1>"1,2,3,4,5,6,7,8,9,10,11,12"</formula1>
    </dataValidation>
    <dataValidation type="list" allowBlank="1" showInputMessage="1" showErrorMessage="1" sqref="I13" xr:uid="{00000000-0002-0000-0600-000007000000}">
      <formula1>"SI,NO"</formula1>
    </dataValidation>
    <dataValidation type="textLength" allowBlank="1" showInputMessage="1" showErrorMessage="1" sqref="B5:B6" xr:uid="{00000000-0002-0000-0600-000008000000}">
      <formula1>0</formula1>
      <formula2>50</formula2>
    </dataValidation>
    <dataValidation type="date" allowBlank="1" showInputMessage="1" showErrorMessage="1" sqref="B13:C13" xr:uid="{00000000-0002-0000-0600-000009000000}">
      <formula1>36161</formula1>
      <formula2>73415</formula2>
    </dataValidation>
    <dataValidation type="list" allowBlank="1" showInputMessage="1" showErrorMessage="1" sqref="A10" xr:uid="{00000000-0002-0000-0600-00000A000000}">
      <formula1>"Promotor:,Promotora:,Promotores:,Promotoras:"</formula1>
    </dataValidation>
    <dataValidation type="list" allowBlank="1" showInputMessage="1" showErrorMessage="1" sqref="C29:C30" xr:uid="{00000000-0002-0000-0600-00000B000000}">
      <formula1>"21%,10%,4%,0%"</formula1>
    </dataValidation>
  </dataValidations>
  <pageMargins left="0.61" right="0.61" top="0.78740157480314965" bottom="0.95" header="0" footer="0.19685039370078741"/>
  <pageSetup paperSize="9" scale="86" orientation="portrait" horizontalDpi="300" verticalDpi="300" r:id="rId1"/>
  <headerFooter alignWithMargins="0">
    <oddFooter>&amp;A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8">
    <pageSetUpPr fitToPage="1"/>
  </sheetPr>
  <dimension ref="A1:O59"/>
  <sheetViews>
    <sheetView showGridLines="0" workbookViewId="0"/>
  </sheetViews>
  <sheetFormatPr baseColWidth="10" defaultRowHeight="19.5" x14ac:dyDescent="0.3"/>
  <cols>
    <col min="1" max="1" width="23.125" style="301" customWidth="1"/>
    <col min="2" max="2" width="15.5" style="299" customWidth="1"/>
    <col min="3" max="3" width="10" style="299" customWidth="1"/>
    <col min="4" max="4" width="10.125" style="299" customWidth="1"/>
    <col min="5" max="5" width="10.25" style="299" customWidth="1"/>
    <col min="6" max="6" width="10.75" style="299" customWidth="1"/>
    <col min="7" max="7" width="11.25" style="299" customWidth="1"/>
    <col min="8" max="8" width="11.125" style="299" customWidth="1"/>
    <col min="9" max="10" width="10.125" style="299" customWidth="1"/>
    <col min="11" max="11" width="21.75" style="299" bestFit="1" customWidth="1"/>
    <col min="12" max="12" width="10.125" style="299" customWidth="1"/>
    <col min="13" max="13" width="9.125" style="299" bestFit="1" customWidth="1"/>
    <col min="14" max="14" width="8" style="299" bestFit="1" customWidth="1"/>
    <col min="15" max="16384" width="11" style="303"/>
  </cols>
  <sheetData>
    <row r="1" spans="1:14" ht="30" customHeight="1" x14ac:dyDescent="0.45">
      <c r="A1" s="1205" t="s">
        <v>1085</v>
      </c>
      <c r="B1" s="1206"/>
      <c r="C1" s="1206"/>
      <c r="D1" s="1206"/>
      <c r="E1" s="1206"/>
      <c r="F1" s="1206"/>
      <c r="G1" s="1206"/>
      <c r="H1" s="1206"/>
      <c r="I1" s="2255"/>
      <c r="K1" s="2"/>
      <c r="L1" s="365"/>
    </row>
    <row r="2" spans="1:14" ht="27.75" x14ac:dyDescent="0.45">
      <c r="A2" s="365">
        <f>'Datos Básicos'!B8</f>
        <v>0</v>
      </c>
      <c r="K2" s="2"/>
      <c r="L2" s="1075"/>
    </row>
    <row r="3" spans="1:14" x14ac:dyDescent="0.3">
      <c r="K3" s="2"/>
    </row>
    <row r="4" spans="1:14" s="366" customFormat="1" ht="22.5" customHeight="1" x14ac:dyDescent="0.3">
      <c r="I4" s="367"/>
      <c r="J4" s="367"/>
      <c r="K4" s="2"/>
      <c r="L4" s="367"/>
      <c r="M4" s="367"/>
      <c r="N4" s="367"/>
    </row>
    <row r="5" spans="1:14" ht="20.25" thickBot="1" x14ac:dyDescent="0.35">
      <c r="F5" s="368"/>
      <c r="G5" s="368"/>
      <c r="K5" s="1183"/>
    </row>
    <row r="6" spans="1:14" ht="20.25" thickBot="1" x14ac:dyDescent="0.35">
      <c r="A6" s="1907" t="s">
        <v>186</v>
      </c>
      <c r="B6" s="1908"/>
      <c r="C6" s="1909"/>
      <c r="E6" s="1911" t="s">
        <v>30</v>
      </c>
      <c r="F6" s="1910" t="s">
        <v>46</v>
      </c>
      <c r="G6" s="1207" t="str">
        <f>IF(F6="Euros","€",IF(F6="Pesetas","Ptas.",IF(F6="Dólares","US $","UK £")))</f>
        <v>€</v>
      </c>
      <c r="K6" s="2"/>
    </row>
    <row r="7" spans="1:14" x14ac:dyDescent="0.3">
      <c r="A7" s="1904"/>
      <c r="B7" s="1905" t="s">
        <v>110</v>
      </c>
      <c r="C7" s="1906">
        <v>7.0000000000000007E-2</v>
      </c>
    </row>
    <row r="8" spans="1:14" ht="20.25" thickBot="1" x14ac:dyDescent="0.35">
      <c r="A8" s="1211"/>
      <c r="B8" s="1212" t="s">
        <v>109</v>
      </c>
      <c r="C8" s="1213">
        <v>0</v>
      </c>
      <c r="E8" s="369" t="s">
        <v>45</v>
      </c>
      <c r="F8" s="369"/>
      <c r="G8" s="369"/>
      <c r="H8" s="370"/>
    </row>
    <row r="9" spans="1:14" ht="21.75" thickBot="1" x14ac:dyDescent="0.35">
      <c r="E9" s="371" t="s">
        <v>29</v>
      </c>
      <c r="F9" s="372">
        <v>166.386</v>
      </c>
      <c r="G9" s="373" t="s">
        <v>4</v>
      </c>
      <c r="H9" s="370"/>
    </row>
    <row r="10" spans="1:14" ht="18" thickBot="1" x14ac:dyDescent="0.35">
      <c r="A10" s="2497" t="s">
        <v>700</v>
      </c>
      <c r="B10" s="2498"/>
      <c r="C10" s="1912">
        <v>2000</v>
      </c>
    </row>
    <row r="11" spans="1:14" ht="20.25" thickBot="1" x14ac:dyDescent="0.35"/>
    <row r="12" spans="1:14" ht="22.5" customHeight="1" x14ac:dyDescent="0.3">
      <c r="A12" s="1913" t="s">
        <v>31</v>
      </c>
      <c r="B12" s="1930" t="str">
        <f>'Datos Básicos'!B16</f>
        <v>Año 0</v>
      </c>
      <c r="C12" s="1932">
        <f>'Datos Básicos'!C16</f>
        <v>1</v>
      </c>
      <c r="D12" s="1932">
        <f t="shared" ref="D12:F13" si="0">C12+1</f>
        <v>2</v>
      </c>
      <c r="E12" s="1932">
        <f t="shared" si="0"/>
        <v>3</v>
      </c>
      <c r="F12" s="1933">
        <f t="shared" si="0"/>
        <v>4</v>
      </c>
    </row>
    <row r="13" spans="1:14" ht="18.75" customHeight="1" x14ac:dyDescent="0.3">
      <c r="A13" s="1914" t="s">
        <v>32</v>
      </c>
      <c r="B13" s="1931">
        <f>'Datos Básicos'!B17</f>
        <v>2026</v>
      </c>
      <c r="C13" s="1931">
        <f>B13+1</f>
        <v>2027</v>
      </c>
      <c r="D13" s="1931">
        <f t="shared" si="0"/>
        <v>2028</v>
      </c>
      <c r="E13" s="1931">
        <f t="shared" si="0"/>
        <v>2029</v>
      </c>
      <c r="F13" s="1934">
        <f t="shared" si="0"/>
        <v>2030</v>
      </c>
    </row>
    <row r="14" spans="1:14" ht="20.25" thickBot="1" x14ac:dyDescent="0.35">
      <c r="A14" s="1210" t="s">
        <v>33</v>
      </c>
      <c r="B14" s="2391"/>
      <c r="C14" s="1208">
        <v>0.02</v>
      </c>
      <c r="D14" s="1208">
        <f>C14</f>
        <v>0.02</v>
      </c>
      <c r="E14" s="1208">
        <f>D14</f>
        <v>0.02</v>
      </c>
      <c r="F14" s="1209">
        <f>E14</f>
        <v>0.02</v>
      </c>
    </row>
    <row r="15" spans="1:14" ht="20.25" thickBot="1" x14ac:dyDescent="0.35"/>
    <row r="16" spans="1:14" ht="18.75" customHeight="1" thickBot="1" x14ac:dyDescent="0.35">
      <c r="A16" s="1916"/>
      <c r="B16" s="1917" t="s">
        <v>399</v>
      </c>
      <c r="C16" s="1915">
        <v>0.02</v>
      </c>
    </row>
    <row r="17" spans="1:14" ht="20.25" thickBot="1" x14ac:dyDescent="0.35"/>
    <row r="18" spans="1:14" ht="19.5" customHeight="1" thickBot="1" x14ac:dyDescent="0.35">
      <c r="A18" s="1916"/>
      <c r="B18" s="1917" t="s">
        <v>384</v>
      </c>
      <c r="C18" s="1214">
        <v>0</v>
      </c>
      <c r="D18" s="303"/>
      <c r="E18" s="303"/>
    </row>
    <row r="21" spans="1:14" ht="20.25" thickBot="1" x14ac:dyDescent="0.35"/>
    <row r="22" spans="1:14" s="366" customFormat="1" ht="30" customHeight="1" x14ac:dyDescent="0.25">
      <c r="A22" s="1935" t="s">
        <v>393</v>
      </c>
      <c r="B22" s="1936"/>
      <c r="C22" s="1936"/>
      <c r="D22" s="1936"/>
      <c r="E22" s="1936"/>
      <c r="F22" s="1937"/>
      <c r="G22" s="367"/>
      <c r="H22" s="367"/>
      <c r="I22" s="367"/>
      <c r="J22" s="367"/>
      <c r="K22" s="367"/>
      <c r="L22" s="367"/>
      <c r="M22" s="367"/>
      <c r="N22" s="367"/>
    </row>
    <row r="23" spans="1:14" ht="34.5" x14ac:dyDescent="0.3">
      <c r="A23" s="1918" t="s">
        <v>1070</v>
      </c>
      <c r="B23" s="1919"/>
      <c r="C23" s="1919"/>
      <c r="D23" s="1920"/>
      <c r="E23" s="1921" t="s">
        <v>1014</v>
      </c>
      <c r="F23" s="1922" t="s">
        <v>55</v>
      </c>
    </row>
    <row r="24" spans="1:14" x14ac:dyDescent="0.3">
      <c r="A24" s="2499" t="str">
        <f>IF('Precios Venta y P. Cobros'!A11="","",'Precios Venta y P. Cobros'!A11)</f>
        <v/>
      </c>
      <c r="B24" s="2500"/>
      <c r="C24" s="2500"/>
      <c r="D24" s="2500"/>
      <c r="E24" s="1215">
        <v>0.21</v>
      </c>
      <c r="F24" s="1216">
        <v>0.21</v>
      </c>
    </row>
    <row r="25" spans="1:14" x14ac:dyDescent="0.3">
      <c r="A25" s="2499" t="str">
        <f>IF('Precios Venta y P. Cobros'!A12="","",'Precios Venta y P. Cobros'!A12)</f>
        <v/>
      </c>
      <c r="B25" s="2500"/>
      <c r="C25" s="2500"/>
      <c r="D25" s="2500"/>
      <c r="E25" s="1215">
        <v>0.21</v>
      </c>
      <c r="F25" s="1216">
        <v>0.21</v>
      </c>
    </row>
    <row r="26" spans="1:14" x14ac:dyDescent="0.3">
      <c r="A26" s="2499" t="str">
        <f>IF('Precios Venta y P. Cobros'!A13="","",'Precios Venta y P. Cobros'!A13)</f>
        <v/>
      </c>
      <c r="B26" s="2500"/>
      <c r="C26" s="2500"/>
      <c r="D26" s="2500"/>
      <c r="E26" s="1215">
        <v>0.21</v>
      </c>
      <c r="F26" s="1216">
        <v>0.21</v>
      </c>
    </row>
    <row r="27" spans="1:14" x14ac:dyDescent="0.3">
      <c r="A27" s="2499" t="str">
        <f>IF('Precios Venta y P. Cobros'!A14="","",'Precios Venta y P. Cobros'!A14)</f>
        <v/>
      </c>
      <c r="B27" s="2500"/>
      <c r="C27" s="2500"/>
      <c r="D27" s="2500"/>
      <c r="E27" s="1215">
        <v>0.21</v>
      </c>
      <c r="F27" s="1216">
        <v>0.21</v>
      </c>
    </row>
    <row r="28" spans="1:14" x14ac:dyDescent="0.3">
      <c r="A28" s="2499" t="str">
        <f>IF('Precios Venta y P. Cobros'!A15="","",'Precios Venta y P. Cobros'!A15)</f>
        <v/>
      </c>
      <c r="B28" s="2500"/>
      <c r="C28" s="2500"/>
      <c r="D28" s="2500"/>
      <c r="E28" s="1215">
        <v>0.21</v>
      </c>
      <c r="F28" s="1216">
        <v>0.21</v>
      </c>
    </row>
    <row r="29" spans="1:14" x14ac:dyDescent="0.3">
      <c r="A29" s="2499" t="str">
        <f>IF('Precios Venta y P. Cobros'!A16="","",'Precios Venta y P. Cobros'!A16)</f>
        <v/>
      </c>
      <c r="B29" s="2500"/>
      <c r="C29" s="2500"/>
      <c r="D29" s="2500"/>
      <c r="E29" s="1215">
        <v>0</v>
      </c>
      <c r="F29" s="1216">
        <v>0</v>
      </c>
    </row>
    <row r="30" spans="1:14" x14ac:dyDescent="0.3">
      <c r="A30" s="2499" t="str">
        <f>IF('Precios Venta y P. Cobros'!A17="","",'Precios Venta y P. Cobros'!A17)</f>
        <v/>
      </c>
      <c r="B30" s="2500"/>
      <c r="C30" s="2500"/>
      <c r="D30" s="2500"/>
      <c r="E30" s="1215">
        <v>0</v>
      </c>
      <c r="F30" s="1216">
        <v>0</v>
      </c>
    </row>
    <row r="31" spans="1:14" ht="20.25" thickBot="1" x14ac:dyDescent="0.35">
      <c r="A31" s="2501" t="str">
        <f>IF('Precios Venta y P. Cobros'!A18="","",'Precios Venta y P. Cobros'!A18)</f>
        <v/>
      </c>
      <c r="B31" s="2502"/>
      <c r="C31" s="2502"/>
      <c r="D31" s="2502"/>
      <c r="E31" s="1217">
        <v>0</v>
      </c>
      <c r="F31" s="1218">
        <v>0</v>
      </c>
    </row>
    <row r="32" spans="1:14" ht="20.25" thickBot="1" x14ac:dyDescent="0.35">
      <c r="D32" s="307"/>
    </row>
    <row r="33" spans="1:14" ht="20.25" thickBot="1" x14ac:dyDescent="0.35">
      <c r="E33" s="368" t="s">
        <v>1071</v>
      </c>
      <c r="F33" s="1219">
        <v>0.21</v>
      </c>
    </row>
    <row r="34" spans="1:14" ht="20.25" thickBot="1" x14ac:dyDescent="0.35">
      <c r="F34" s="368"/>
      <c r="G34" s="368"/>
    </row>
    <row r="35" spans="1:14" ht="20.25" thickBot="1" x14ac:dyDescent="0.35">
      <c r="E35" s="374" t="s">
        <v>6</v>
      </c>
      <c r="F35" s="1220" t="s">
        <v>188</v>
      </c>
      <c r="G35" s="368"/>
    </row>
    <row r="37" spans="1:14" ht="20.25" thickBot="1" x14ac:dyDescent="0.35"/>
    <row r="38" spans="1:14" ht="22.5" x14ac:dyDescent="0.35">
      <c r="A38" s="1927" t="s">
        <v>275</v>
      </c>
      <c r="B38" s="1928"/>
      <c r="C38" s="1928"/>
      <c r="D38" s="1928"/>
      <c r="E38" s="1928"/>
      <c r="F38" s="1929"/>
      <c r="G38" s="375" t="str">
        <f>IF(AND(SUM(B42:D42)&gt;0,SUM('Datos Básicos'!I26:I29)&gt;0),"Empresario individual o profesional: NO PUEDE HABER DIVIDENDOS","")</f>
        <v/>
      </c>
    </row>
    <row r="39" spans="1:14" x14ac:dyDescent="0.3">
      <c r="A39" s="1923" t="s">
        <v>53</v>
      </c>
      <c r="B39" s="1924" t="str">
        <f>B12</f>
        <v>Año 0</v>
      </c>
      <c r="C39" s="1925">
        <f>C12</f>
        <v>1</v>
      </c>
      <c r="D39" s="1925">
        <f>D12</f>
        <v>2</v>
      </c>
      <c r="E39" s="1925">
        <f>E12</f>
        <v>3</v>
      </c>
      <c r="F39" s="1926">
        <f>F12</f>
        <v>4</v>
      </c>
    </row>
    <row r="40" spans="1:14" ht="20.25" thickBot="1" x14ac:dyDescent="0.35">
      <c r="A40" s="1229" t="s">
        <v>54</v>
      </c>
      <c r="B40" s="1227">
        <f>'Datos Básicos'!B17</f>
        <v>2026</v>
      </c>
      <c r="C40" s="1227">
        <f>B40+1</f>
        <v>2027</v>
      </c>
      <c r="D40" s="1227">
        <f>C40+1</f>
        <v>2028</v>
      </c>
      <c r="E40" s="1227">
        <f>D40+1</f>
        <v>2029</v>
      </c>
      <c r="F40" s="1228">
        <f>E40+1</f>
        <v>2030</v>
      </c>
    </row>
    <row r="41" spans="1:14" ht="19.5" customHeight="1" x14ac:dyDescent="0.3">
      <c r="A41" s="1224" t="s">
        <v>1028</v>
      </c>
      <c r="B41" s="1225">
        <v>1</v>
      </c>
      <c r="C41" s="1225">
        <f>B41</f>
        <v>1</v>
      </c>
      <c r="D41" s="1225">
        <f>C41</f>
        <v>1</v>
      </c>
      <c r="E41" s="1225">
        <f>D41</f>
        <v>1</v>
      </c>
      <c r="F41" s="1226">
        <f>E41</f>
        <v>1</v>
      </c>
    </row>
    <row r="42" spans="1:14" ht="19.5" customHeight="1" thickBot="1" x14ac:dyDescent="0.35">
      <c r="A42" s="1221" t="s">
        <v>1029</v>
      </c>
      <c r="B42" s="1222">
        <f>1-B41</f>
        <v>0</v>
      </c>
      <c r="C42" s="1222">
        <f>1-C41</f>
        <v>0</v>
      </c>
      <c r="D42" s="1222">
        <f>1-D41</f>
        <v>0</v>
      </c>
      <c r="E42" s="1222">
        <f>1-E41</f>
        <v>0</v>
      </c>
      <c r="F42" s="1223">
        <f>1-F41</f>
        <v>0</v>
      </c>
    </row>
    <row r="43" spans="1:14" x14ac:dyDescent="0.3">
      <c r="A43" s="376"/>
      <c r="B43" s="377"/>
    </row>
    <row r="44" spans="1:14" s="378" customFormat="1" ht="17.25" x14ac:dyDescent="0.3">
      <c r="C44" s="379"/>
      <c r="D44" s="379"/>
      <c r="E44" s="379"/>
      <c r="F44" s="379"/>
      <c r="G44" s="379"/>
      <c r="H44" s="379"/>
      <c r="I44" s="379"/>
      <c r="J44" s="379"/>
      <c r="K44" s="379"/>
      <c r="L44" s="379"/>
      <c r="M44" s="379"/>
      <c r="N44" s="379"/>
    </row>
    <row r="45" spans="1:14" s="378" customFormat="1" ht="17.25" x14ac:dyDescent="0.3">
      <c r="C45" s="379"/>
      <c r="D45" s="379"/>
      <c r="E45" s="379"/>
      <c r="F45" s="379"/>
      <c r="G45" s="379"/>
      <c r="H45" s="379"/>
      <c r="I45" s="379"/>
      <c r="J45" s="379"/>
      <c r="K45" s="379"/>
      <c r="L45" s="379"/>
      <c r="M45" s="379"/>
      <c r="N45" s="379"/>
    </row>
    <row r="46" spans="1:14" s="311" customFormat="1" x14ac:dyDescent="0.3">
      <c r="A46" s="380">
        <f>DATE(B13,1,8)</f>
        <v>46030</v>
      </c>
      <c r="B46" s="381" t="str">
        <f>TEXT(A46,"mmmm")</f>
        <v>enero</v>
      </c>
      <c r="C46" s="310"/>
      <c r="D46" s="310"/>
      <c r="E46" s="310"/>
      <c r="F46" s="310"/>
      <c r="G46" s="310"/>
      <c r="H46" s="310"/>
      <c r="I46" s="310"/>
      <c r="J46" s="310"/>
      <c r="K46" s="310"/>
      <c r="L46" s="310"/>
      <c r="M46" s="310"/>
      <c r="N46" s="310"/>
    </row>
    <row r="47" spans="1:14" s="311" customFormat="1" x14ac:dyDescent="0.3">
      <c r="A47" s="380">
        <f t="shared" ref="A47:A57" si="1">A46+30</f>
        <v>46060</v>
      </c>
      <c r="B47" s="381" t="str">
        <f t="shared" ref="B47:B57" si="2">TEXT(A47,"mmmm")</f>
        <v>febrero</v>
      </c>
      <c r="C47" s="310"/>
      <c r="D47" s="310"/>
      <c r="E47" s="310"/>
      <c r="F47" s="310"/>
      <c r="G47" s="310"/>
      <c r="H47" s="310"/>
      <c r="I47" s="310"/>
      <c r="J47" s="310"/>
      <c r="K47" s="310"/>
      <c r="L47" s="310"/>
      <c r="M47" s="310"/>
      <c r="N47" s="310"/>
    </row>
    <row r="48" spans="1:14" s="311" customFormat="1" x14ac:dyDescent="0.3">
      <c r="A48" s="380">
        <f t="shared" si="1"/>
        <v>46090</v>
      </c>
      <c r="B48" s="381" t="str">
        <f t="shared" si="2"/>
        <v>marzo</v>
      </c>
      <c r="C48" s="310"/>
      <c r="D48" s="310"/>
      <c r="E48" s="310"/>
      <c r="F48" s="310"/>
      <c r="G48" s="310"/>
      <c r="H48" s="310"/>
      <c r="I48" s="310"/>
      <c r="J48" s="310"/>
      <c r="K48" s="310"/>
      <c r="L48" s="310"/>
      <c r="M48" s="310"/>
      <c r="N48" s="310"/>
    </row>
    <row r="49" spans="1:15" s="311" customFormat="1" x14ac:dyDescent="0.3">
      <c r="A49" s="380">
        <f t="shared" si="1"/>
        <v>46120</v>
      </c>
      <c r="B49" s="381" t="str">
        <f t="shared" si="2"/>
        <v>abril</v>
      </c>
      <c r="C49" s="310"/>
      <c r="D49" s="310"/>
      <c r="E49" s="310"/>
      <c r="F49" s="310"/>
      <c r="G49" s="310"/>
      <c r="H49" s="310"/>
      <c r="I49" s="310"/>
      <c r="J49" s="310"/>
      <c r="K49" s="310"/>
      <c r="L49" s="310"/>
      <c r="M49" s="310"/>
      <c r="N49" s="310"/>
    </row>
    <row r="50" spans="1:15" s="311" customFormat="1" x14ac:dyDescent="0.3">
      <c r="A50" s="380">
        <f t="shared" si="1"/>
        <v>46150</v>
      </c>
      <c r="B50" s="381" t="str">
        <f t="shared" si="2"/>
        <v>mayo</v>
      </c>
      <c r="C50" s="310"/>
      <c r="D50" s="310"/>
      <c r="E50" s="310"/>
      <c r="F50" s="310"/>
      <c r="G50" s="310"/>
      <c r="H50" s="310"/>
      <c r="I50" s="310"/>
      <c r="J50" s="310"/>
      <c r="K50" s="310"/>
      <c r="L50" s="310"/>
      <c r="M50" s="310"/>
      <c r="N50" s="310"/>
    </row>
    <row r="51" spans="1:15" s="311" customFormat="1" x14ac:dyDescent="0.3">
      <c r="A51" s="380">
        <f t="shared" si="1"/>
        <v>46180</v>
      </c>
      <c r="B51" s="381" t="str">
        <f t="shared" si="2"/>
        <v>junio</v>
      </c>
      <c r="C51" s="310"/>
      <c r="D51" s="310"/>
      <c r="E51" s="310"/>
      <c r="F51" s="310"/>
      <c r="G51" s="310"/>
      <c r="H51" s="310"/>
      <c r="I51" s="310"/>
      <c r="J51" s="310"/>
      <c r="K51" s="310"/>
      <c r="L51" s="310"/>
      <c r="M51" s="310"/>
      <c r="N51" s="310"/>
    </row>
    <row r="52" spans="1:15" s="311" customFormat="1" x14ac:dyDescent="0.3">
      <c r="A52" s="380">
        <f t="shared" si="1"/>
        <v>46210</v>
      </c>
      <c r="B52" s="381" t="str">
        <f t="shared" si="2"/>
        <v>julio</v>
      </c>
      <c r="C52" s="310"/>
      <c r="D52" s="310"/>
      <c r="E52" s="310"/>
      <c r="F52" s="310"/>
      <c r="G52" s="310"/>
      <c r="H52" s="310"/>
      <c r="I52" s="310"/>
      <c r="J52" s="310"/>
      <c r="K52" s="310"/>
      <c r="L52" s="310"/>
      <c r="M52" s="310"/>
      <c r="N52" s="310"/>
    </row>
    <row r="53" spans="1:15" s="311" customFormat="1" x14ac:dyDescent="0.3">
      <c r="A53" s="380">
        <f t="shared" si="1"/>
        <v>46240</v>
      </c>
      <c r="B53" s="381" t="str">
        <f t="shared" si="2"/>
        <v>agosto</v>
      </c>
      <c r="C53" s="310"/>
      <c r="D53" s="310"/>
      <c r="E53" s="310"/>
      <c r="F53" s="310"/>
      <c r="G53" s="310"/>
      <c r="H53" s="310"/>
      <c r="I53" s="310"/>
      <c r="J53" s="310"/>
      <c r="K53" s="310"/>
      <c r="L53" s="310"/>
      <c r="M53" s="310"/>
      <c r="N53" s="310"/>
    </row>
    <row r="54" spans="1:15" s="311" customFormat="1" x14ac:dyDescent="0.3">
      <c r="A54" s="380">
        <f t="shared" si="1"/>
        <v>46270</v>
      </c>
      <c r="B54" s="381" t="str">
        <f t="shared" si="2"/>
        <v>septiembre</v>
      </c>
      <c r="C54" s="310"/>
      <c r="D54" s="310"/>
      <c r="E54" s="310"/>
      <c r="F54" s="310"/>
      <c r="G54" s="310"/>
      <c r="H54" s="310"/>
      <c r="I54" s="310"/>
      <c r="J54" s="310"/>
      <c r="K54" s="310"/>
      <c r="L54" s="310"/>
      <c r="M54" s="310"/>
      <c r="N54" s="310"/>
    </row>
    <row r="55" spans="1:15" s="311" customFormat="1" x14ac:dyDescent="0.3">
      <c r="A55" s="380">
        <f t="shared" si="1"/>
        <v>46300</v>
      </c>
      <c r="B55" s="381" t="str">
        <f t="shared" si="2"/>
        <v>octubre</v>
      </c>
      <c r="C55" s="310"/>
      <c r="D55" s="310"/>
      <c r="E55" s="310"/>
      <c r="F55" s="310"/>
      <c r="G55" s="310"/>
      <c r="H55" s="310"/>
      <c r="I55" s="310"/>
      <c r="J55" s="310"/>
      <c r="K55" s="310"/>
      <c r="L55" s="310"/>
      <c r="M55" s="310"/>
      <c r="N55" s="310"/>
    </row>
    <row r="56" spans="1:15" s="311" customFormat="1" x14ac:dyDescent="0.3">
      <c r="A56" s="380">
        <f t="shared" si="1"/>
        <v>46330</v>
      </c>
      <c r="B56" s="381" t="str">
        <f t="shared" si="2"/>
        <v>noviembre</v>
      </c>
      <c r="C56" s="310"/>
      <c r="D56" s="310" t="s">
        <v>339</v>
      </c>
      <c r="E56" s="310"/>
      <c r="F56" s="310"/>
      <c r="G56" s="310"/>
      <c r="H56" s="310"/>
      <c r="I56" s="310"/>
      <c r="J56" s="310"/>
      <c r="K56" s="310"/>
      <c r="L56" s="310"/>
      <c r="M56" s="310"/>
      <c r="N56" s="310"/>
    </row>
    <row r="57" spans="1:15" s="383" customFormat="1" x14ac:dyDescent="0.3">
      <c r="A57" s="380">
        <f t="shared" si="1"/>
        <v>46360</v>
      </c>
      <c r="B57" s="381" t="str">
        <f t="shared" si="2"/>
        <v>diciembre</v>
      </c>
      <c r="C57" s="370"/>
      <c r="D57" s="382" t="str">
        <f>B46</f>
        <v>enero</v>
      </c>
      <c r="E57" s="382" t="str">
        <f>B47</f>
        <v>febrero</v>
      </c>
      <c r="F57" s="382" t="str">
        <f>B48</f>
        <v>marzo</v>
      </c>
      <c r="G57" s="382" t="str">
        <f>B49</f>
        <v>abril</v>
      </c>
      <c r="H57" s="382" t="str">
        <f>B50</f>
        <v>mayo</v>
      </c>
      <c r="I57" s="382" t="str">
        <f>B51</f>
        <v>junio</v>
      </c>
      <c r="J57" s="382" t="str">
        <f>B52</f>
        <v>julio</v>
      </c>
      <c r="K57" s="382" t="str">
        <f>B53</f>
        <v>agosto</v>
      </c>
      <c r="L57" s="382" t="str">
        <f>B54</f>
        <v>septiembre</v>
      </c>
      <c r="M57" s="382" t="str">
        <f>B55</f>
        <v>octubre</v>
      </c>
      <c r="N57" s="382" t="str">
        <f>B56</f>
        <v>noviembre</v>
      </c>
      <c r="O57" s="382" t="str">
        <f>B57</f>
        <v>diciembre</v>
      </c>
    </row>
    <row r="58" spans="1:15" s="383" customFormat="1" x14ac:dyDescent="0.3">
      <c r="A58" s="384"/>
      <c r="B58" s="370"/>
      <c r="C58" s="370"/>
      <c r="D58" s="370"/>
      <c r="E58" s="370"/>
      <c r="F58" s="370"/>
      <c r="G58" s="370"/>
      <c r="H58" s="370"/>
      <c r="I58" s="370"/>
      <c r="J58" s="370"/>
      <c r="K58" s="370"/>
      <c r="L58" s="370"/>
      <c r="M58" s="370"/>
      <c r="N58" s="370"/>
      <c r="O58" s="370"/>
    </row>
    <row r="59" spans="1:15" x14ac:dyDescent="0.3">
      <c r="O59" s="299"/>
    </row>
  </sheetData>
  <sheetProtection sheet="1" objects="1" scenarios="1" formatCells="0" formatColumns="0"/>
  <dataConsolidate/>
  <mergeCells count="9">
    <mergeCell ref="A10:B10"/>
    <mergeCell ref="A30:D30"/>
    <mergeCell ref="A31:D31"/>
    <mergeCell ref="A29:D29"/>
    <mergeCell ref="A24:D24"/>
    <mergeCell ref="A26:D26"/>
    <mergeCell ref="A27:D27"/>
    <mergeCell ref="A28:D28"/>
    <mergeCell ref="A25:D25"/>
  </mergeCells>
  <phoneticPr fontId="13" type="noConversion"/>
  <dataValidations xWindow="607" yWindow="447" count="9">
    <dataValidation type="list" allowBlank="1" showInputMessage="1" showErrorMessage="1" sqref="F6" xr:uid="{00000000-0002-0000-0700-000000000000}">
      <formula1>"Pesetas,Euros,Dólares,Libras"</formula1>
    </dataValidation>
    <dataValidation type="list" allowBlank="1" showInputMessage="1" showErrorMessage="1" sqref="F35" xr:uid="{00000000-0002-0000-0700-000001000000}">
      <formula1>"Si,No"</formula1>
    </dataValidation>
    <dataValidation allowBlank="1" showInputMessage="1" showErrorMessage="1" prompt="Los nombres de las familias de productos o servicios se introducen en la hoja de &lt;Precios-C.V.&gt;" sqref="A24:D31" xr:uid="{00000000-0002-0000-0700-000002000000}"/>
    <dataValidation type="list" allowBlank="1" showErrorMessage="1" prompt="Normalmente será el 18%, excepto que se esté exento, en recargo de equivalencia o IVA en módulos._x000a_En estos casos se debe incluir el IVA dentro de los precios de coste y de venta como._x000a_O bien que se quiera realizar la simulación sin tener en cuenta el IVA." sqref="F33" xr:uid="{00000000-0002-0000-0700-000003000000}">
      <formula1>"21%,10%,4%,0%"</formula1>
    </dataValidation>
    <dataValidation type="decimal" allowBlank="1" showInputMessage="1" showErrorMessage="1" error="Es obligatorio destinar un mínimo del 10% de los beneficios a reservas." sqref="B41:F41" xr:uid="{00000000-0002-0000-0700-000004000000}">
      <formula1>0.1</formula1>
      <formula2>1</formula2>
    </dataValidation>
    <dataValidation type="decimal" allowBlank="1" showInputMessage="1" showErrorMessage="1" prompt="Tasa de  inflacción anual prevista (entre el 0% y el 25%)" sqref="C16" xr:uid="{00000000-0002-0000-0700-000005000000}">
      <formula1>0</formula1>
      <formula2>0.25</formula2>
    </dataValidation>
    <dataValidation type="whole" operator="greaterThanOrEqual" allowBlank="1" showInputMessage="1" showErrorMessage="1" sqref="C18" xr:uid="{00000000-0002-0000-0700-000006000000}">
      <formula1>0</formula1>
    </dataValidation>
    <dataValidation type="decimal" allowBlank="1" showInputMessage="1" showErrorMessage="1" prompt="Incremento de Gastos Fijos (entre el 0% y el 50%)" sqref="C14:F14" xr:uid="{00000000-0002-0000-0700-000007000000}">
      <formula1>0</formula1>
      <formula2>0.5</formula2>
    </dataValidation>
    <dataValidation type="list" allowBlank="1" showErrorMessage="1" sqref="E24:F31" xr:uid="{00000000-0002-0000-0700-000008000000}">
      <formula1>"21%,10%,4%,0%"</formula1>
    </dataValidation>
  </dataValidations>
  <printOptions horizontalCentered="1"/>
  <pageMargins left="0.59055118110236227" right="0.59055118110236227" top="0.78740157480314965" bottom="0.94488188976377963" header="0" footer="0.19685039370078741"/>
  <pageSetup paperSize="9" scale="89" orientation="portrait" horizontalDpi="300" verticalDpi="300" r:id="rId1"/>
  <headerFooter alignWithMargins="0">
    <oddFooter>&amp;A</oddFooter>
  </headerFooter>
  <cellWatches>
    <cellWatch r="E24"/>
  </cellWatche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36">
    <tabColor rgb="FF14A3A8"/>
    <pageSetUpPr fitToPage="1"/>
  </sheetPr>
  <dimension ref="A1:M23"/>
  <sheetViews>
    <sheetView showGridLines="0" workbookViewId="0"/>
  </sheetViews>
  <sheetFormatPr baseColWidth="10" defaultRowHeight="17.25" x14ac:dyDescent="0.3"/>
  <cols>
    <col min="1" max="1" width="32.875" style="307" customWidth="1"/>
    <col min="2" max="2" width="17" style="307" customWidth="1"/>
    <col min="3" max="3" width="14.875" style="395" customWidth="1"/>
    <col min="4" max="5" width="14.75" style="395" customWidth="1"/>
    <col min="6" max="6" width="15.125" style="395" customWidth="1"/>
    <col min="7" max="7" width="14.875" style="395" customWidth="1"/>
    <col min="8" max="10" width="14.25" style="394" bestFit="1" customWidth="1"/>
    <col min="11" max="11" width="14.25" style="394" customWidth="1"/>
    <col min="12" max="12" width="21.75" style="307" bestFit="1" customWidth="1"/>
    <col min="13" max="16384" width="11" style="307"/>
  </cols>
  <sheetData>
    <row r="1" spans="1:13" ht="30" customHeight="1" x14ac:dyDescent="0.45">
      <c r="A1" s="1205" t="s">
        <v>146</v>
      </c>
      <c r="B1" s="1205"/>
      <c r="C1" s="1438"/>
      <c r="D1" s="1438"/>
      <c r="E1" s="1438"/>
      <c r="F1" s="1438"/>
      <c r="G1" s="1438"/>
      <c r="H1" s="1438"/>
      <c r="I1" s="1439"/>
      <c r="J1" s="1439"/>
      <c r="K1" s="1439"/>
    </row>
    <row r="2" spans="1:13" ht="27.75" x14ac:dyDescent="0.45">
      <c r="A2" s="365">
        <f>'Datos Básicos'!B8</f>
        <v>0</v>
      </c>
      <c r="B2" s="365"/>
      <c r="C2" s="396"/>
      <c r="D2" s="396"/>
      <c r="E2" s="396"/>
      <c r="F2" s="396"/>
      <c r="G2" s="396"/>
      <c r="L2" s="1189"/>
      <c r="M2" s="1075"/>
    </row>
    <row r="3" spans="1:13" ht="22.5" customHeight="1" x14ac:dyDescent="0.3"/>
    <row r="4" spans="1:13" ht="22.5" customHeight="1" x14ac:dyDescent="0.3"/>
    <row r="5" spans="1:13" ht="22.5" customHeight="1" thickBot="1" x14ac:dyDescent="0.35"/>
    <row r="6" spans="1:13" s="397" customFormat="1" ht="30.75" customHeight="1" x14ac:dyDescent="0.3">
      <c r="A6" s="2503" t="s">
        <v>846</v>
      </c>
      <c r="B6" s="1800" t="s">
        <v>974</v>
      </c>
      <c r="C6" s="1801" t="s">
        <v>1059</v>
      </c>
      <c r="D6" s="1802" t="s">
        <v>688</v>
      </c>
      <c r="E6" s="1802" t="s">
        <v>147</v>
      </c>
      <c r="F6" s="1803" t="s">
        <v>1062</v>
      </c>
      <c r="G6" s="1803" t="s">
        <v>1062</v>
      </c>
      <c r="H6" s="1803" t="s">
        <v>1062</v>
      </c>
      <c r="I6" s="1803" t="s">
        <v>1062</v>
      </c>
      <c r="J6" s="1804" t="s">
        <v>1062</v>
      </c>
      <c r="K6" s="1142"/>
    </row>
    <row r="7" spans="1:13" s="397" customFormat="1" x14ac:dyDescent="0.3">
      <c r="A7" s="2504"/>
      <c r="B7" s="1834" t="s">
        <v>975</v>
      </c>
      <c r="C7" s="1835" t="s">
        <v>1060</v>
      </c>
      <c r="D7" s="1836" t="s">
        <v>976</v>
      </c>
      <c r="E7" s="1836" t="s">
        <v>148</v>
      </c>
      <c r="F7" s="1837">
        <f>'Datos Básicos'!B17</f>
        <v>2026</v>
      </c>
      <c r="G7" s="1837">
        <f>'Datos Básicos'!C17</f>
        <v>2027</v>
      </c>
      <c r="H7" s="1837">
        <f>'Datos Básicos'!D17</f>
        <v>2028</v>
      </c>
      <c r="I7" s="1837">
        <f>H7+1</f>
        <v>2029</v>
      </c>
      <c r="J7" s="1838">
        <f>I7+1</f>
        <v>2030</v>
      </c>
      <c r="K7" s="1143"/>
    </row>
    <row r="8" spans="1:13" s="303" customFormat="1" ht="27.75" customHeight="1" x14ac:dyDescent="0.3">
      <c r="A8" s="2044" t="s">
        <v>848</v>
      </c>
      <c r="B8" s="2045">
        <f>SUM(B9:B17)</f>
        <v>0</v>
      </c>
      <c r="C8" s="2045">
        <f>SUM(C9:C17)</f>
        <v>0</v>
      </c>
      <c r="D8" s="2046"/>
      <c r="E8" s="2046"/>
      <c r="F8" s="2047">
        <f>SUM(F10:F17)</f>
        <v>0</v>
      </c>
      <c r="G8" s="2047">
        <f>SUM(G10:G17)</f>
        <v>0</v>
      </c>
      <c r="H8" s="2047">
        <f>SUM(H10:H17)</f>
        <v>0</v>
      </c>
      <c r="I8" s="2047">
        <f>SUM(I10:I17)</f>
        <v>0</v>
      </c>
      <c r="J8" s="2048">
        <f>SUM(J10:J17)</f>
        <v>0</v>
      </c>
      <c r="K8" s="479"/>
    </row>
    <row r="9" spans="1:13" s="303" customFormat="1" ht="23.25" customHeight="1" x14ac:dyDescent="0.3">
      <c r="A9" s="1805" t="s">
        <v>1007</v>
      </c>
      <c r="B9" s="1254">
        <f>'Inv. Iniciales ANC'!B7</f>
        <v>0</v>
      </c>
      <c r="C9" s="1255"/>
      <c r="D9" s="1255"/>
      <c r="E9" s="1255"/>
      <c r="F9" s="1256"/>
      <c r="G9" s="1256"/>
      <c r="H9" s="1256"/>
      <c r="I9" s="1256"/>
      <c r="J9" s="1806"/>
      <c r="K9" s="479"/>
    </row>
    <row r="10" spans="1:13" ht="23.25" customHeight="1" x14ac:dyDescent="0.3">
      <c r="A10" s="1805" t="s">
        <v>357</v>
      </c>
      <c r="B10" s="1254">
        <f>'Inv. Iniciales ANC'!B10-B9</f>
        <v>0</v>
      </c>
      <c r="C10" s="1254">
        <f>'Inv. Iniciales ANC'!E10</f>
        <v>0</v>
      </c>
      <c r="D10" s="1257">
        <f>'Inv. Iniciales ANC'!D10</f>
        <v>25</v>
      </c>
      <c r="E10" s="1258">
        <f t="shared" ref="E10:E17" si="0">1/D10</f>
        <v>0.04</v>
      </c>
      <c r="F10" s="1259">
        <f t="shared" ref="F10:F17" si="1">IF(B10-C10&gt;B10/D10/12*(12+1-mes0),B10/D10/12*(12+1-mes0),IF(B10=C10/12*(12+1-mes0),0,B10-C10))</f>
        <v>0</v>
      </c>
      <c r="G10" s="1259">
        <f t="shared" ref="G10:G17" si="2">IF(B10-C10-$F10&gt;B10/D10,B10/D10,IF(B10=C10+$F10,0,B10-C10-$F10))</f>
        <v>0</v>
      </c>
      <c r="H10" s="1259">
        <f>IF($B10-SUM($C10,$F10:G10)&gt;$B10/$D10,$B10/$D10,IF($B10=SUM($C10,$F10:G10),0,$B10-SUM($C10,$F10:G10)))</f>
        <v>0</v>
      </c>
      <c r="I10" s="1259">
        <f>IF($B10-SUM($C10,$F10:H10)&gt;$B10/$D10,$B10/$D10,IF($B10=SUM($C10,$F10:H10),0,$B10-SUM($C10,$F10:H10)))</f>
        <v>0</v>
      </c>
      <c r="J10" s="1807">
        <f>IF($B10-SUM($C10,$F10:I10)&gt;$B10/$D10,$B10/$D10,IF($B10=SUM($C10,$F10:I10),0,$B10-SUM($C10,$F10:I10)))</f>
        <v>0</v>
      </c>
      <c r="K10" s="1140"/>
    </row>
    <row r="11" spans="1:13" ht="23.25" customHeight="1" x14ac:dyDescent="0.3">
      <c r="A11" s="1805" t="s">
        <v>273</v>
      </c>
      <c r="B11" s="1254">
        <f>'Inv. Iniciales ANC'!B19</f>
        <v>0</v>
      </c>
      <c r="C11" s="1254">
        <f>'Inv. Iniciales ANC'!E19</f>
        <v>0</v>
      </c>
      <c r="D11" s="1257">
        <f>'Inv. Iniciales ANC'!D19</f>
        <v>10</v>
      </c>
      <c r="E11" s="1258">
        <f>1/D11</f>
        <v>0.1</v>
      </c>
      <c r="F11" s="1259">
        <f>IF(B11-C11&gt;B11/D11/12*(12+1-mes0),B11/D11/12*(12+1-mes0),IF(B11=C11/12*(12+1-mes0),0,B11-C11))</f>
        <v>0</v>
      </c>
      <c r="G11" s="1259">
        <f>IF(B11-C11-$F11&gt;B11/D11,B11/D11,IF(B11=C11+$F11,0,B11-C11-$F11))</f>
        <v>0</v>
      </c>
      <c r="H11" s="1259">
        <f>IF($B11-SUM($C11,$F11:G11)&gt;$B11/$D11,$B11/$D11,IF($B11=SUM($C11,$F11:G11),0,$B11-SUM($C11,$F11:G11)))</f>
        <v>0</v>
      </c>
      <c r="I11" s="1259">
        <f>IF($B11-SUM($C11,$F11:H11)&gt;$B11/$D11,$B11/$D11,IF($B11=SUM($C11,$F11:H11),0,$B11-SUM($C11,$F11:H11)))</f>
        <v>0</v>
      </c>
      <c r="J11" s="1807">
        <f>IF($B11-SUM($C11,$F11:I11)&gt;$B11/$D11,$B11/$D11,IF($B11=SUM($C11,$F11:I11),0,$B11-SUM($C11,$F11:I11)))</f>
        <v>0</v>
      </c>
      <c r="K11" s="1140"/>
    </row>
    <row r="12" spans="1:13" ht="23.25" customHeight="1" x14ac:dyDescent="0.3">
      <c r="A12" s="1805" t="s">
        <v>849</v>
      </c>
      <c r="B12" s="1254">
        <f>'Inv. Iniciales ANC'!B25</f>
        <v>0</v>
      </c>
      <c r="C12" s="1254">
        <f>'Inv. Iniciales ANC'!E25</f>
        <v>0</v>
      </c>
      <c r="D12" s="1257">
        <f>'Inv. Iniciales ANC'!D25</f>
        <v>10</v>
      </c>
      <c r="E12" s="1258">
        <f t="shared" si="0"/>
        <v>0.1</v>
      </c>
      <c r="F12" s="1259">
        <f t="shared" si="1"/>
        <v>0</v>
      </c>
      <c r="G12" s="1259">
        <f t="shared" si="2"/>
        <v>0</v>
      </c>
      <c r="H12" s="1259">
        <f>IF($B12-SUM($C12,$F12:G12)&gt;$B12/$D12,$B12/$D12,IF($B12=SUM($C12,$F12:G12),0,$B12-SUM($C12,$F12:G12)))</f>
        <v>0</v>
      </c>
      <c r="I12" s="1259">
        <f>IF($B12-SUM($C12,$F12:H12)&gt;$B12/$D12,$B12/$D12,IF($B12=SUM($C12,$F12:H12),0,$B12-SUM($C12,$F12:H12)))</f>
        <v>0</v>
      </c>
      <c r="J12" s="1807">
        <f>IF($B12-SUM($C12,$F12:I12)&gt;$B12/$D12,$B12/$D12,IF($B12=SUM($C12,$F12:I12),0,$B12-SUM($C12,$F12:I12)))</f>
        <v>0</v>
      </c>
      <c r="K12" s="1140"/>
    </row>
    <row r="13" spans="1:13" ht="23.25" customHeight="1" x14ac:dyDescent="0.3">
      <c r="A13" s="1805" t="s">
        <v>394</v>
      </c>
      <c r="B13" s="1254">
        <f>'Inv. Iniciales ANC'!B30</f>
        <v>0</v>
      </c>
      <c r="C13" s="1254">
        <f>'Inv. Iniciales ANC'!E30</f>
        <v>0</v>
      </c>
      <c r="D13" s="1257">
        <f>'Inv. Iniciales ANC'!D30</f>
        <v>10</v>
      </c>
      <c r="E13" s="1258">
        <f t="shared" si="0"/>
        <v>0.1</v>
      </c>
      <c r="F13" s="1259">
        <f t="shared" si="1"/>
        <v>0</v>
      </c>
      <c r="G13" s="1259">
        <f t="shared" si="2"/>
        <v>0</v>
      </c>
      <c r="H13" s="1259">
        <f>IF($B13-SUM($C13,$F13:G13)&gt;$B13/$D13,$B13/$D13,IF($B13=SUM($C13,$F13:G13),0,$B13-SUM($C13,$F13:G13)))</f>
        <v>0</v>
      </c>
      <c r="I13" s="1259">
        <f>IF($B13-SUM($C13,$F13:H13)&gt;$B13/$D13,$B13/$D13,IF($B13=SUM($C13,$F13:H13),0,$B13-SUM($C13,$F13:H13)))</f>
        <v>0</v>
      </c>
      <c r="J13" s="1807">
        <f>IF($B13-SUM($C13,$F13:I13)&gt;$B13/$D13,$B13/$D13,IF($B13=SUM($C13,$F13:I13),0,$B13-SUM($C13,$F13:I13)))</f>
        <v>0</v>
      </c>
      <c r="K13" s="1140"/>
    </row>
    <row r="14" spans="1:13" ht="23.25" customHeight="1" x14ac:dyDescent="0.3">
      <c r="A14" s="1805" t="s">
        <v>850</v>
      </c>
      <c r="B14" s="1254">
        <f>'Inv. Iniciales ANC'!B36</f>
        <v>0</v>
      </c>
      <c r="C14" s="1254">
        <f>'Inv. Iniciales ANC'!E36</f>
        <v>0</v>
      </c>
      <c r="D14" s="1257">
        <f>'Inv. Iniciales ANC'!D36</f>
        <v>8</v>
      </c>
      <c r="E14" s="1258">
        <f t="shared" si="0"/>
        <v>0.125</v>
      </c>
      <c r="F14" s="1259">
        <f>IF(B14-C14&gt;B14/D14/12*(12+1-mes0),B14/D14/12*(12+1-mes0),IF(B14=C14/12*(12+1-mes0),0,B14-C14))</f>
        <v>0</v>
      </c>
      <c r="G14" s="1259">
        <f t="shared" si="2"/>
        <v>0</v>
      </c>
      <c r="H14" s="1259">
        <f>IF($B14-SUM($C14,$F14:G14)&gt;$B14/$D14,$B14/$D14,IF($B14=SUM($C14,$F14:G14),0,$B14-SUM($C14,$F14:G14)))</f>
        <v>0</v>
      </c>
      <c r="I14" s="1259">
        <f>IF($B14-SUM($C14,$F14:H14)&gt;$B14/$D14,$B14/$D14,IF($B14=SUM($C14,$F14:H14),0,$B14-SUM($C14,$F14:H14)))</f>
        <v>0</v>
      </c>
      <c r="J14" s="1807">
        <f>IF($B14-SUM($C14,$F14:I14)&gt;$B14/$D14,$B14/$D14,IF($B14=SUM($C14,$F14:I14),0,$B14-SUM($C14,$F14:I14)))</f>
        <v>0</v>
      </c>
      <c r="K14" s="1140"/>
    </row>
    <row r="15" spans="1:13" ht="23.25" customHeight="1" x14ac:dyDescent="0.3">
      <c r="A15" s="1805" t="s">
        <v>371</v>
      </c>
      <c r="B15" s="1254">
        <f>'Inv. Iniciales ANC'!B42</f>
        <v>0</v>
      </c>
      <c r="C15" s="1254">
        <f>'Inv. Iniciales ANC'!E42</f>
        <v>0</v>
      </c>
      <c r="D15" s="1257">
        <f>'Inv. Iniciales ANC'!D42</f>
        <v>8</v>
      </c>
      <c r="E15" s="1258">
        <f t="shared" si="0"/>
        <v>0.125</v>
      </c>
      <c r="F15" s="1259">
        <f t="shared" si="1"/>
        <v>0</v>
      </c>
      <c r="G15" s="1259">
        <f t="shared" si="2"/>
        <v>0</v>
      </c>
      <c r="H15" s="1259">
        <f>IF($B15-SUM($C15,$F15:G15)&gt;$B15/$D15,$B15/$D15,IF($B15=SUM($C15,$F15:G15),0,$B15-SUM($C15,$F15:G15)))</f>
        <v>0</v>
      </c>
      <c r="I15" s="1259">
        <f>IF($B15-SUM($C15,$F15:H15)&gt;$B15/$D15,$B15/$D15,IF($B15=SUM($C15,$F15:H15),0,$B15-SUM($C15,$F15:H15)))</f>
        <v>0</v>
      </c>
      <c r="J15" s="1807">
        <f>IF($B15-SUM($C15,$F15:I15)&gt;$B15/$D15,$B15/$D15,IF($B15=SUM($C15,$F15:I15),0,$B15-SUM($C15,$F15:I15)))</f>
        <v>0</v>
      </c>
      <c r="K15" s="1140"/>
    </row>
    <row r="16" spans="1:13" ht="23.25" customHeight="1" x14ac:dyDescent="0.3">
      <c r="A16" s="1805" t="s">
        <v>712</v>
      </c>
      <c r="B16" s="1254">
        <f>'Inv. Iniciales ANC'!B49</f>
        <v>0</v>
      </c>
      <c r="C16" s="1254">
        <f>'Inv. Iniciales ANC'!E49</f>
        <v>0</v>
      </c>
      <c r="D16" s="1257">
        <f>'Inv. Iniciales ANC'!D49</f>
        <v>5</v>
      </c>
      <c r="E16" s="1258">
        <f t="shared" si="0"/>
        <v>0.2</v>
      </c>
      <c r="F16" s="1259">
        <f t="shared" si="1"/>
        <v>0</v>
      </c>
      <c r="G16" s="1259">
        <f t="shared" si="2"/>
        <v>0</v>
      </c>
      <c r="H16" s="1259">
        <f>IF($B16-SUM($C16,$F16:G16)&gt;$B16/$D16,$B16/$D16,IF($B16=SUM($C16,$F16:G16),0,$B16-SUM($C16,$F16:G16)))</f>
        <v>0</v>
      </c>
      <c r="I16" s="1259">
        <f>IF($B16-SUM($C16,$F16:H16)&gt;$B16/$D16,$B16/$D16,IF($B16=SUM($C16,$F16:H16),0,$B16-SUM($C16,$F16:H16)))</f>
        <v>0</v>
      </c>
      <c r="J16" s="1807">
        <f>IF($B16-SUM($C16,$F16:I16)&gt;$B16/$D16,$B16/$D16,IF($B16=SUM($C16,$F16:I16),0,$B16-SUM($C16,$F16:I16)))</f>
        <v>0</v>
      </c>
      <c r="K16" s="1140"/>
    </row>
    <row r="17" spans="1:11" s="303" customFormat="1" ht="23.25" customHeight="1" thickBot="1" x14ac:dyDescent="0.35">
      <c r="A17" s="1808" t="s">
        <v>395</v>
      </c>
      <c r="B17" s="1809">
        <f>'Inv. Iniciales ANC'!B54</f>
        <v>0</v>
      </c>
      <c r="C17" s="1809">
        <f>'Inv. Iniciales ANC'!E54</f>
        <v>0</v>
      </c>
      <c r="D17" s="1810">
        <f>'Inv. Iniciales ANC'!D54</f>
        <v>5</v>
      </c>
      <c r="E17" s="1811">
        <f t="shared" si="0"/>
        <v>0.2</v>
      </c>
      <c r="F17" s="1812">
        <f t="shared" si="1"/>
        <v>0</v>
      </c>
      <c r="G17" s="1812">
        <f t="shared" si="2"/>
        <v>0</v>
      </c>
      <c r="H17" s="1812">
        <f>IF($B17-SUM($C17,$F17:G17)&gt;$B17/$D17,$B17/$D17,IF($B17=SUM($C17,$F17:G17),0,$B17-SUM($C17,$F17:G17)))</f>
        <v>0</v>
      </c>
      <c r="I17" s="1812">
        <f>IF($B17-SUM($C17,$F17:H17)&gt;$B17/$D17,$B17/$D17,IF($B17=SUM($C17,$F17:H17),0,$B17-SUM($C17,$F17:H17)))</f>
        <v>0</v>
      </c>
      <c r="J17" s="1813">
        <f>IF($B17-SUM($C17,$F17:I17)&gt;$B17/$D17,$B17/$D17,IF($B17=SUM($C17,$F17:I17),0,$B17-SUM($C17,$F17:I17)))</f>
        <v>0</v>
      </c>
      <c r="K17" s="1140"/>
    </row>
    <row r="18" spans="1:11" ht="18" customHeight="1" x14ac:dyDescent="0.3">
      <c r="C18" s="480"/>
      <c r="D18" s="480"/>
      <c r="E18" s="480"/>
      <c r="F18" s="394"/>
      <c r="G18" s="394"/>
    </row>
    <row r="19" spans="1:11" s="407" customFormat="1" ht="21.75" customHeight="1" x14ac:dyDescent="0.25">
      <c r="A19" s="2049" t="s">
        <v>861</v>
      </c>
      <c r="B19" s="2050">
        <f>'Inv. Iniciales ANC'!B62</f>
        <v>0</v>
      </c>
      <c r="C19" s="2050">
        <f>'Inv. Iniciales ANC'!E62</f>
        <v>0</v>
      </c>
      <c r="D19" s="2051">
        <f>'Inv. Iniciales ANC'!D62</f>
        <v>3</v>
      </c>
      <c r="E19" s="2052">
        <f>1/D19</f>
        <v>0.33333333333333331</v>
      </c>
      <c r="F19" s="2053">
        <f>IF(B19-C19&gt;B19/D19/12*(12+1-mes0),B19/D19/12*(12+1-mes0),IF(B19=C19/12*(12+1-mes0),0,B19-C19))</f>
        <v>0</v>
      </c>
      <c r="G19" s="2053">
        <f>IF(B19-C19-$F19&gt;B19/D19,B19/D19,IF(B19=C19+$F19,0,B19-C19-$F19))</f>
        <v>0</v>
      </c>
      <c r="H19" s="2053">
        <f>IF($B19-SUM($C19,$F19:G19)&gt;$B19/$D19,$B19/$D19,IF($B19=SUM($C19,$F19:G19),0,$B19-SUM($C19,$F19:G19)))</f>
        <v>0</v>
      </c>
      <c r="I19" s="2053">
        <f>IF($B19-SUM($C19,$F19:H19)&gt;$B19/$D19,$B19/$D19,IF($B19=SUM($C19,$F19:H19),0,$B19-SUM($C19,$F19:H19)))</f>
        <v>0</v>
      </c>
      <c r="J19" s="2053">
        <f>IF($B19-SUM($C19,$F19:I19)&gt;$B19/$D19,$B19/$D19,IF($B19=SUM($C19,$F19:I19),0,$B19-SUM($C19,$F19:I19)))</f>
        <v>0</v>
      </c>
      <c r="K19" s="1141"/>
    </row>
    <row r="20" spans="1:11" ht="18" thickBot="1" x14ac:dyDescent="0.35">
      <c r="B20" s="398"/>
      <c r="C20" s="398"/>
      <c r="D20" s="398"/>
      <c r="E20" s="398"/>
      <c r="F20" s="394"/>
      <c r="G20" s="394"/>
    </row>
    <row r="21" spans="1:11" ht="18" thickBot="1" x14ac:dyDescent="0.35">
      <c r="A21" s="2161" t="s">
        <v>865</v>
      </c>
      <c r="B21" s="2162">
        <f>B8+B19</f>
        <v>0</v>
      </c>
      <c r="C21" s="2163">
        <f>C8+C19</f>
        <v>0</v>
      </c>
      <c r="D21" s="2164"/>
      <c r="E21" s="2164" t="s">
        <v>765</v>
      </c>
      <c r="F21" s="2165">
        <f>F8+F19</f>
        <v>0</v>
      </c>
      <c r="G21" s="2165">
        <f>G8+G19</f>
        <v>0</v>
      </c>
      <c r="H21" s="2165">
        <f>H8+H19</f>
        <v>0</v>
      </c>
      <c r="I21" s="2165">
        <f>I8+I19</f>
        <v>0</v>
      </c>
      <c r="J21" s="2166">
        <f>J8+J19</f>
        <v>0</v>
      </c>
      <c r="K21" s="1144"/>
    </row>
    <row r="22" spans="1:11" ht="18" thickBot="1" x14ac:dyDescent="0.35"/>
    <row r="23" spans="1:11" ht="18" thickBot="1" x14ac:dyDescent="0.35">
      <c r="B23" s="1250"/>
      <c r="C23" s="1251" t="s">
        <v>296</v>
      </c>
      <c r="D23" s="1252" t="e">
        <f>SUMPRODUCT(B10:B19,D10:D19)/B21</f>
        <v>#DIV/0!</v>
      </c>
      <c r="E23" s="1253" t="s">
        <v>128</v>
      </c>
    </row>
  </sheetData>
  <sheetProtection sheet="1" objects="1" scenarios="1" formatCells="0" formatColumns="0"/>
  <mergeCells count="1">
    <mergeCell ref="A6:A7"/>
  </mergeCells>
  <phoneticPr fontId="13" type="noConversion"/>
  <dataValidations disablePrompts="1" xWindow="394" yWindow="538" count="1">
    <dataValidation type="whole" allowBlank="1" showInputMessage="1" showErrorMessage="1" sqref="C20:E20" xr:uid="{00000000-0002-0000-0800-000000000000}">
      <formula1>3</formula1>
      <formula2>35</formula2>
    </dataValidation>
  </dataValidations>
  <printOptions horizontalCentered="1" verticalCentered="1"/>
  <pageMargins left="0.56000000000000005" right="0.39370078740157483" top="0.39370078740157483" bottom="0.47244094488188981" header="0.27559055118110237" footer="0.31496062992125984"/>
  <pageSetup paperSize="9" scale="74" orientation="landscape" horizontalDpi="300" verticalDpi="300" r:id="rId1"/>
  <headerFooter alignWithMargins="0">
    <oddFooter>&amp;A</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63">
    <tabColor rgb="FFA8DDD6"/>
    <pageSetUpPr fitToPage="1"/>
  </sheetPr>
  <dimension ref="A1:M91"/>
  <sheetViews>
    <sheetView showGridLines="0" workbookViewId="0">
      <selection activeCell="B34" sqref="B34"/>
    </sheetView>
  </sheetViews>
  <sheetFormatPr baseColWidth="10" defaultRowHeight="17.25" x14ac:dyDescent="0.3"/>
  <cols>
    <col min="1" max="1" width="36.25" style="307" customWidth="1"/>
    <col min="2" max="2" width="10.375" style="307" customWidth="1"/>
    <col min="3" max="3" width="11" style="307"/>
    <col min="4" max="4" width="7.875" style="307" customWidth="1"/>
    <col min="5" max="5" width="11" style="307"/>
    <col min="6" max="6" width="3.375" style="307" customWidth="1"/>
    <col min="7" max="7" width="11.25" style="307" customWidth="1"/>
    <col min="8" max="8" width="3" style="307" customWidth="1"/>
    <col min="9" max="10" width="11" style="307"/>
    <col min="11" max="11" width="12.75" style="307" customWidth="1"/>
    <col min="12" max="12" width="21.625" style="307" bestFit="1" customWidth="1"/>
    <col min="13" max="16384" width="11" style="307"/>
  </cols>
  <sheetData>
    <row r="1" spans="1:13" ht="30" customHeight="1" x14ac:dyDescent="0.45">
      <c r="A1" s="2505" t="s">
        <v>772</v>
      </c>
      <c r="B1" s="2506"/>
      <c r="C1" s="2506"/>
      <c r="D1" s="2506"/>
      <c r="E1" s="2506"/>
      <c r="F1" s="2506"/>
      <c r="G1" s="2506"/>
      <c r="H1" s="2506"/>
      <c r="I1" s="2506"/>
      <c r="J1" s="2506"/>
      <c r="K1" s="2506"/>
      <c r="L1" s="2"/>
      <c r="M1" s="365"/>
    </row>
    <row r="2" spans="1:13" ht="24.75" x14ac:dyDescent="0.4">
      <c r="A2" s="385">
        <f>'Datos Básicos'!B8</f>
        <v>0</v>
      </c>
      <c r="K2" s="299"/>
      <c r="L2" s="2"/>
      <c r="M2" s="1075"/>
    </row>
    <row r="3" spans="1:13" ht="24.75" x14ac:dyDescent="0.4">
      <c r="A3" s="385"/>
      <c r="K3" s="299"/>
      <c r="L3" s="2"/>
      <c r="M3" s="1075"/>
    </row>
    <row r="4" spans="1:13" ht="24.75" x14ac:dyDescent="0.4">
      <c r="A4" s="385"/>
      <c r="K4" s="299"/>
      <c r="L4" s="2"/>
      <c r="M4" s="1075"/>
    </row>
    <row r="5" spans="1:13" ht="25.5" thickBot="1" x14ac:dyDescent="0.45">
      <c r="A5" s="385"/>
      <c r="K5" s="299"/>
      <c r="L5" s="2"/>
      <c r="M5" s="1075"/>
    </row>
    <row r="6" spans="1:13" ht="30.75" thickBot="1" x14ac:dyDescent="0.35">
      <c r="A6" s="1501" t="s">
        <v>773</v>
      </c>
      <c r="B6" s="1502" t="s">
        <v>152</v>
      </c>
      <c r="C6" s="1503" t="s">
        <v>346</v>
      </c>
      <c r="D6" s="2392" t="s">
        <v>347</v>
      </c>
      <c r="E6" s="1504" t="s">
        <v>348</v>
      </c>
      <c r="F6" s="386"/>
      <c r="G6" s="1508" t="s">
        <v>349</v>
      </c>
      <c r="H6" s="1273"/>
      <c r="I6" s="1506" t="s">
        <v>350</v>
      </c>
      <c r="J6" s="1504" t="s">
        <v>351</v>
      </c>
      <c r="K6" s="367"/>
      <c r="L6" s="2"/>
      <c r="M6" s="367"/>
    </row>
    <row r="7" spans="1:13" x14ac:dyDescent="0.3">
      <c r="A7" s="1496" t="s">
        <v>1007</v>
      </c>
      <c r="B7" s="1497">
        <v>0</v>
      </c>
      <c r="C7" s="1498">
        <v>0</v>
      </c>
      <c r="D7" s="1499"/>
      <c r="E7" s="1500"/>
      <c r="F7" s="386"/>
      <c r="G7" s="1507">
        <f>IF(E10=0,B7-I7,0)*Parametros!$F$33</f>
        <v>0</v>
      </c>
      <c r="H7" s="1274"/>
      <c r="I7" s="2379">
        <v>0</v>
      </c>
      <c r="J7" s="1505">
        <f>IF(B7*I7&gt;0,I7/B7,0)</f>
        <v>0</v>
      </c>
      <c r="K7" s="299"/>
      <c r="L7" s="1183"/>
      <c r="M7" s="299"/>
    </row>
    <row r="8" spans="1:13" x14ac:dyDescent="0.3">
      <c r="A8" s="1270" t="s">
        <v>355</v>
      </c>
      <c r="B8" s="1268">
        <v>0</v>
      </c>
      <c r="C8" s="1269">
        <v>0</v>
      </c>
      <c r="D8" s="1271">
        <v>30</v>
      </c>
      <c r="E8" s="1272">
        <f>IF(C8&gt;D8,B8,B8*C8/D8)</f>
        <v>0</v>
      </c>
      <c r="F8" s="388"/>
      <c r="G8" s="1276">
        <f>IF(E8=0,B8-I8,0)*Parametros!$F$33</f>
        <v>0</v>
      </c>
      <c r="H8" s="1274"/>
      <c r="I8" s="2380">
        <v>0</v>
      </c>
      <c r="J8" s="1277">
        <f>IF(B8*I8&gt;0,I8/B8,0)</f>
        <v>0</v>
      </c>
      <c r="K8" s="299"/>
      <c r="L8" s="2"/>
      <c r="M8" s="299"/>
    </row>
    <row r="9" spans="1:13" x14ac:dyDescent="0.3">
      <c r="A9" s="1270" t="s">
        <v>356</v>
      </c>
      <c r="B9" s="1268">
        <v>0</v>
      </c>
      <c r="C9" s="1269">
        <v>0</v>
      </c>
      <c r="D9" s="1271">
        <v>20</v>
      </c>
      <c r="E9" s="1272">
        <f>IF(C9&gt;D9,B9,B9*C9/D9)</f>
        <v>0</v>
      </c>
      <c r="F9" s="388"/>
      <c r="G9" s="1276">
        <f>IF(E9=0,B9-I9,0)*Parametros!$F$33</f>
        <v>0</v>
      </c>
      <c r="H9" s="1274"/>
      <c r="I9" s="2380">
        <v>0</v>
      </c>
      <c r="J9" s="1277">
        <f>IF(B9*I9&gt;0,I9/B9,0)</f>
        <v>0</v>
      </c>
      <c r="K9" s="387" t="str">
        <f>IF(I9&gt;B9,"ERROR EN APORTACION EN ESPECIE","")</f>
        <v/>
      </c>
    </row>
    <row r="10" spans="1:13" ht="18" thickBot="1" x14ac:dyDescent="0.35">
      <c r="A10" s="2186" t="s">
        <v>252</v>
      </c>
      <c r="B10" s="2187">
        <f>SUM(B7:B9)</f>
        <v>0</v>
      </c>
      <c r="C10" s="2188">
        <f>IF($B10-B7=0,0,SUMPRODUCT($B8:$B9,C8:C9)/($B10-B7))</f>
        <v>0</v>
      </c>
      <c r="D10" s="2189">
        <f>IF($B10-B7=0,AVERAGE(D8:D9),SUMPRODUCT($B8:$B9,D8:D9)/($B10-B7))</f>
        <v>25</v>
      </c>
      <c r="E10" s="2190">
        <f>SUM(E8:E9)</f>
        <v>0</v>
      </c>
      <c r="F10" s="389"/>
      <c r="G10" s="2191">
        <f>SUM(G7:G9)</f>
        <v>0</v>
      </c>
      <c r="H10" s="1275"/>
      <c r="I10" s="2192">
        <f>SUM(I7:I9)</f>
        <v>0</v>
      </c>
      <c r="J10" s="2193">
        <f>IF(B10&gt;0,I10/B10,0)</f>
        <v>0</v>
      </c>
    </row>
    <row r="11" spans="1:13" ht="9" customHeight="1" thickBot="1" x14ac:dyDescent="0.35">
      <c r="A11" s="477"/>
      <c r="B11" s="386"/>
      <c r="C11" s="386"/>
      <c r="D11" s="391"/>
      <c r="E11" s="386"/>
      <c r="F11" s="386"/>
      <c r="G11" s="391"/>
      <c r="H11" s="391"/>
      <c r="I11" s="1182"/>
      <c r="J11" s="1182"/>
    </row>
    <row r="12" spans="1:13" ht="30" customHeight="1" thickBot="1" x14ac:dyDescent="0.35">
      <c r="A12" s="1501" t="s">
        <v>273</v>
      </c>
      <c r="B12" s="1502" t="s">
        <v>152</v>
      </c>
      <c r="C12" s="1503" t="s">
        <v>278</v>
      </c>
      <c r="D12" s="2392" t="s">
        <v>1232</v>
      </c>
      <c r="E12" s="1504" t="s">
        <v>352</v>
      </c>
      <c r="F12" s="386"/>
      <c r="G12" s="1508" t="s">
        <v>349</v>
      </c>
      <c r="H12" s="1273"/>
      <c r="I12" s="1506" t="s">
        <v>353</v>
      </c>
      <c r="J12" s="1504" t="s">
        <v>354</v>
      </c>
    </row>
    <row r="13" spans="1:13" x14ac:dyDescent="0.3">
      <c r="A13" s="1270" t="s">
        <v>358</v>
      </c>
      <c r="B13" s="1268">
        <v>0</v>
      </c>
      <c r="C13" s="1269">
        <v>0</v>
      </c>
      <c r="D13" s="1269">
        <v>10</v>
      </c>
      <c r="E13" s="1272">
        <f t="shared" ref="E13:E18" si="0">IF(C13&gt;D13,B13,B13*C13/D13)</f>
        <v>0</v>
      </c>
      <c r="F13" s="388"/>
      <c r="G13" s="1276">
        <f>IF(E13=0,B13-I13,0)*Parametros!$F$33</f>
        <v>0</v>
      </c>
      <c r="H13" s="1180"/>
      <c r="I13" s="1278">
        <v>0</v>
      </c>
      <c r="J13" s="1279">
        <f t="shared" ref="J13:J18" si="1">IF(B13&gt;0,I13/B13,0)</f>
        <v>0</v>
      </c>
      <c r="K13" s="387" t="str">
        <f t="shared" ref="K13:K18" si="2">IF(I13&gt;B13,"ERROR EN APORTACION EN ESPECIE","")</f>
        <v/>
      </c>
    </row>
    <row r="14" spans="1:13" x14ac:dyDescent="0.3">
      <c r="A14" s="1270" t="s">
        <v>359</v>
      </c>
      <c r="B14" s="1268">
        <v>0</v>
      </c>
      <c r="C14" s="1269">
        <v>0</v>
      </c>
      <c r="D14" s="1269">
        <v>10</v>
      </c>
      <c r="E14" s="1272">
        <f t="shared" si="0"/>
        <v>0</v>
      </c>
      <c r="F14" s="388"/>
      <c r="G14" s="1276">
        <f>IF(E14=0,B14-I14,0)*Parametros!$F$33</f>
        <v>0</v>
      </c>
      <c r="H14" s="1180"/>
      <c r="I14" s="1278">
        <v>0</v>
      </c>
      <c r="J14" s="1279">
        <f t="shared" si="1"/>
        <v>0</v>
      </c>
      <c r="K14" s="387" t="str">
        <f t="shared" si="2"/>
        <v/>
      </c>
    </row>
    <row r="15" spans="1:13" x14ac:dyDescent="0.3">
      <c r="A15" s="1270" t="s">
        <v>360</v>
      </c>
      <c r="B15" s="1268">
        <v>0</v>
      </c>
      <c r="C15" s="1269">
        <v>0</v>
      </c>
      <c r="D15" s="1269">
        <v>10</v>
      </c>
      <c r="E15" s="1272">
        <f t="shared" si="0"/>
        <v>0</v>
      </c>
      <c r="F15" s="388"/>
      <c r="G15" s="1276">
        <f>IF(E15=0,B15-I15,0)*Parametros!$F$33</f>
        <v>0</v>
      </c>
      <c r="H15" s="1180"/>
      <c r="I15" s="1278">
        <v>0</v>
      </c>
      <c r="J15" s="1279">
        <f t="shared" si="1"/>
        <v>0</v>
      </c>
      <c r="K15" s="387" t="str">
        <f t="shared" si="2"/>
        <v/>
      </c>
    </row>
    <row r="16" spans="1:13" x14ac:dyDescent="0.3">
      <c r="A16" s="1270" t="s">
        <v>361</v>
      </c>
      <c r="B16" s="1268">
        <v>0</v>
      </c>
      <c r="C16" s="1269">
        <v>0</v>
      </c>
      <c r="D16" s="1269">
        <v>10</v>
      </c>
      <c r="E16" s="1272">
        <f t="shared" si="0"/>
        <v>0</v>
      </c>
      <c r="F16" s="388"/>
      <c r="G16" s="1276">
        <f>IF(E16=0,B16-I16,0)*Parametros!$F$33</f>
        <v>0</v>
      </c>
      <c r="H16" s="1180"/>
      <c r="I16" s="1278">
        <v>0</v>
      </c>
      <c r="J16" s="1279">
        <f t="shared" si="1"/>
        <v>0</v>
      </c>
      <c r="K16" s="387" t="str">
        <f t="shared" si="2"/>
        <v/>
      </c>
    </row>
    <row r="17" spans="1:13" x14ac:dyDescent="0.3">
      <c r="A17" s="1270" t="s">
        <v>362</v>
      </c>
      <c r="B17" s="1268">
        <v>0</v>
      </c>
      <c r="C17" s="1269">
        <v>0</v>
      </c>
      <c r="D17" s="1269">
        <v>10</v>
      </c>
      <c r="E17" s="1272">
        <f t="shared" si="0"/>
        <v>0</v>
      </c>
      <c r="F17" s="388"/>
      <c r="G17" s="1276">
        <f>IF(E17=0,B17-I17,0)*Parametros!$F$33</f>
        <v>0</v>
      </c>
      <c r="H17" s="1180"/>
      <c r="I17" s="1278">
        <v>0</v>
      </c>
      <c r="J17" s="1279">
        <f t="shared" si="1"/>
        <v>0</v>
      </c>
      <c r="K17" s="387" t="str">
        <f t="shared" si="2"/>
        <v/>
      </c>
    </row>
    <row r="18" spans="1:13" x14ac:dyDescent="0.3">
      <c r="A18" s="1270" t="s">
        <v>363</v>
      </c>
      <c r="B18" s="1268">
        <v>0</v>
      </c>
      <c r="C18" s="1269">
        <v>0</v>
      </c>
      <c r="D18" s="1269">
        <v>10</v>
      </c>
      <c r="E18" s="1272">
        <f t="shared" si="0"/>
        <v>0</v>
      </c>
      <c r="F18" s="388"/>
      <c r="G18" s="1276">
        <f>IF(E18=0,B18-I18,0)*Parametros!$F$33</f>
        <v>0</v>
      </c>
      <c r="H18" s="1180"/>
      <c r="I18" s="1278">
        <v>0</v>
      </c>
      <c r="J18" s="1279">
        <f t="shared" si="1"/>
        <v>0</v>
      </c>
      <c r="K18" s="387" t="str">
        <f t="shared" si="2"/>
        <v/>
      </c>
    </row>
    <row r="19" spans="1:13" ht="18" thickBot="1" x14ac:dyDescent="0.35">
      <c r="A19" s="2186" t="s">
        <v>251</v>
      </c>
      <c r="B19" s="2187">
        <f>SUM(B12:B18)</f>
        <v>0</v>
      </c>
      <c r="C19" s="2188">
        <f>IF($B19=0,0,SUMPRODUCT($B13:$B18,C13:C18)/$B19)</f>
        <v>0</v>
      </c>
      <c r="D19" s="2189">
        <f>IF($B19=0,AVERAGE(D13:D18),SUMPRODUCT($B13:$B18,D13:D18)/$B19)</f>
        <v>10</v>
      </c>
      <c r="E19" s="2190">
        <f>SUM(E13:E18)</f>
        <v>0</v>
      </c>
      <c r="F19" s="389"/>
      <c r="G19" s="2191">
        <f>SUM(G13:G18)</f>
        <v>0</v>
      </c>
      <c r="H19" s="1181"/>
      <c r="I19" s="2192">
        <f>SUM(I13:I18)</f>
        <v>0</v>
      </c>
      <c r="J19" s="2193">
        <f>IF(B19&gt;0,I19/B19,0)</f>
        <v>0</v>
      </c>
    </row>
    <row r="20" spans="1:13" ht="11.25" customHeight="1" thickBot="1" x14ac:dyDescent="0.35">
      <c r="A20" s="477"/>
      <c r="B20" s="386"/>
      <c r="C20" s="386"/>
      <c r="D20" s="391"/>
      <c r="E20" s="386"/>
      <c r="F20" s="386"/>
      <c r="G20" s="386"/>
      <c r="H20" s="386"/>
      <c r="I20" s="386"/>
      <c r="J20" s="386"/>
    </row>
    <row r="21" spans="1:13" ht="30.75" thickBot="1" x14ac:dyDescent="0.35">
      <c r="A21" s="1501" t="s">
        <v>849</v>
      </c>
      <c r="B21" s="1502" t="str">
        <f>B$12</f>
        <v>Importe</v>
      </c>
      <c r="C21" s="1503" t="str">
        <f>C$12</f>
        <v>antigüedad</v>
      </c>
      <c r="D21" s="1503" t="str">
        <f>D$12</f>
        <v>plazo amort.</v>
      </c>
      <c r="E21" s="1504" t="str">
        <f>E$12</f>
        <v>amort. previa</v>
      </c>
      <c r="F21" s="386"/>
      <c r="G21" s="1508" t="str">
        <f>G$12</f>
        <v>IVA soportado</v>
      </c>
      <c r="H21" s="1273"/>
      <c r="I21" s="1506" t="str">
        <f>I$12</f>
        <v>Ap. Especie</v>
      </c>
      <c r="J21" s="1504" t="str">
        <f>J$12</f>
        <v>% especie</v>
      </c>
    </row>
    <row r="22" spans="1:13" x14ac:dyDescent="0.3">
      <c r="A22" s="1270" t="s">
        <v>364</v>
      </c>
      <c r="B22" s="1268">
        <v>0</v>
      </c>
      <c r="C22" s="1269">
        <v>0</v>
      </c>
      <c r="D22" s="1269">
        <v>10</v>
      </c>
      <c r="E22" s="1272">
        <f>IF(C22&gt;D22,B22,B22*C22/D22)</f>
        <v>0</v>
      </c>
      <c r="F22" s="1179"/>
      <c r="G22" s="1276">
        <f>IF(E22=0,B22-I22,0)*Parametros!$F$33</f>
        <v>0</v>
      </c>
      <c r="H22" s="1180"/>
      <c r="I22" s="1278">
        <v>0</v>
      </c>
      <c r="J22" s="1279">
        <f>IF(B22*I22&gt;0,I22/B22,0)</f>
        <v>0</v>
      </c>
      <c r="K22" s="387" t="str">
        <f>IF(I22&gt;B22,"ERROR EN APORTACION EN ESPECIE","")</f>
        <v/>
      </c>
      <c r="L22" s="307" t="s">
        <v>247</v>
      </c>
    </row>
    <row r="23" spans="1:13" x14ac:dyDescent="0.3">
      <c r="A23" s="1270" t="s">
        <v>364</v>
      </c>
      <c r="B23" s="1268">
        <v>0</v>
      </c>
      <c r="C23" s="1269">
        <v>0</v>
      </c>
      <c r="D23" s="1269">
        <v>10</v>
      </c>
      <c r="E23" s="1272">
        <v>0</v>
      </c>
      <c r="F23" s="1179"/>
      <c r="G23" s="1276">
        <f>IF(E23=0,B23-I23,0)*Parametros!$F$33</f>
        <v>0</v>
      </c>
      <c r="H23" s="1180"/>
      <c r="I23" s="1278">
        <v>0</v>
      </c>
      <c r="J23" s="1279">
        <f>IF(B23*I23&gt;0,I23/B23,0)</f>
        <v>0</v>
      </c>
      <c r="K23" s="387" t="str">
        <f>IF(I23&gt;B23,"ERROR EN APORTACION EN ESPECIE","")</f>
        <v/>
      </c>
    </row>
    <row r="24" spans="1:13" x14ac:dyDescent="0.3">
      <c r="A24" s="1270" t="s">
        <v>364</v>
      </c>
      <c r="B24" s="1268">
        <v>0</v>
      </c>
      <c r="C24" s="1269">
        <v>0</v>
      </c>
      <c r="D24" s="1269">
        <v>10</v>
      </c>
      <c r="E24" s="1272">
        <f>IF(C24&gt;D24,B24,B24*C24/D24)</f>
        <v>0</v>
      </c>
      <c r="F24" s="1179"/>
      <c r="G24" s="1276">
        <f>IF(E24=0,B24-I24,0)*Parametros!$F$33</f>
        <v>0</v>
      </c>
      <c r="H24" s="1180"/>
      <c r="I24" s="1278">
        <v>0</v>
      </c>
      <c r="J24" s="1279">
        <f>IF(B24*I24&gt;0,I24/B24,0)</f>
        <v>0</v>
      </c>
      <c r="K24" s="387" t="str">
        <f>IF(I24&gt;B24,"ERROR EN APORTACION EN ESPECIE","")</f>
        <v/>
      </c>
    </row>
    <row r="25" spans="1:13" ht="18" thickBot="1" x14ac:dyDescent="0.35">
      <c r="A25" s="2186" t="s">
        <v>250</v>
      </c>
      <c r="B25" s="2187">
        <f>SUM(B22:B24)</f>
        <v>0</v>
      </c>
      <c r="C25" s="2188">
        <f>IF($B25=0,0,SUMPRODUCT($B22:$B24,C22:C24)/$B25)</f>
        <v>0</v>
      </c>
      <c r="D25" s="2189">
        <f>IF($B25=0,AVERAGE(D22:D24),SUMPRODUCT($B22:$B24,D22:D24)/$B25)</f>
        <v>10</v>
      </c>
      <c r="E25" s="2190">
        <f>SUM(E22:E24)</f>
        <v>0</v>
      </c>
      <c r="F25" s="1172"/>
      <c r="G25" s="2191">
        <f>SUM(G21:G24)</f>
        <v>0</v>
      </c>
      <c r="H25" s="1181"/>
      <c r="I25" s="2192">
        <f>SUM(I21:I24)</f>
        <v>0</v>
      </c>
      <c r="J25" s="2193">
        <f>IF(B25&gt;0,I25/B25,0)</f>
        <v>0</v>
      </c>
    </row>
    <row r="26" spans="1:13" ht="9" customHeight="1" thickBot="1" x14ac:dyDescent="0.35">
      <c r="A26" s="477"/>
      <c r="B26" s="391"/>
      <c r="C26" s="391"/>
      <c r="D26" s="391"/>
      <c r="E26" s="391"/>
      <c r="F26" s="391"/>
      <c r="G26" s="391"/>
      <c r="H26" s="391"/>
      <c r="I26" s="391"/>
      <c r="J26" s="391"/>
      <c r="M26" s="307" t="s">
        <v>247</v>
      </c>
    </row>
    <row r="27" spans="1:13" ht="30.75" thickBot="1" x14ac:dyDescent="0.35">
      <c r="A27" s="1501" t="s">
        <v>933</v>
      </c>
      <c r="B27" s="1502" t="str">
        <f>B$12</f>
        <v>Importe</v>
      </c>
      <c r="C27" s="1503" t="str">
        <f>C$12</f>
        <v>antigüedad</v>
      </c>
      <c r="D27" s="1503" t="str">
        <f>D$12</f>
        <v>plazo amort.</v>
      </c>
      <c r="E27" s="1504" t="str">
        <f>E$12</f>
        <v>amort. previa</v>
      </c>
      <c r="F27" s="386"/>
      <c r="G27" s="1508" t="str">
        <f>G$12</f>
        <v>IVA soportado</v>
      </c>
      <c r="H27" s="1273"/>
      <c r="I27" s="1506" t="str">
        <f>I$12</f>
        <v>Ap. Especie</v>
      </c>
      <c r="J27" s="1504" t="str">
        <f>J$12</f>
        <v>% especie</v>
      </c>
      <c r="M27" s="307" t="s">
        <v>247</v>
      </c>
    </row>
    <row r="28" spans="1:13" x14ac:dyDescent="0.3">
      <c r="A28" s="1270" t="s">
        <v>365</v>
      </c>
      <c r="B28" s="1281">
        <v>0</v>
      </c>
      <c r="C28" s="1269">
        <v>0</v>
      </c>
      <c r="D28" s="1269">
        <v>10</v>
      </c>
      <c r="E28" s="1272">
        <f>IF(C28&gt;D28,B28,B28*C28/D28)</f>
        <v>0</v>
      </c>
      <c r="F28" s="1179"/>
      <c r="G28" s="1276">
        <f>IF(E28=0,B28-I28,0)*Parametros!$F$33</f>
        <v>0</v>
      </c>
      <c r="H28" s="1180"/>
      <c r="I28" s="1278">
        <v>0</v>
      </c>
      <c r="J28" s="1279">
        <f>IF(B28*I28&gt;0,I28/B28,0)</f>
        <v>0</v>
      </c>
      <c r="K28" s="387" t="str">
        <f>IF(I28&gt;B28,"ERROR EN APORTACION EN ESPECIE","")</f>
        <v/>
      </c>
    </row>
    <row r="29" spans="1:13" x14ac:dyDescent="0.3">
      <c r="A29" s="1280" t="s">
        <v>366</v>
      </c>
      <c r="B29" s="1281">
        <v>0</v>
      </c>
      <c r="C29" s="1269">
        <v>0</v>
      </c>
      <c r="D29" s="1269">
        <v>10</v>
      </c>
      <c r="E29" s="1282">
        <f>IF(C29&gt;D29,B29,B29*C29/D29)</f>
        <v>0</v>
      </c>
      <c r="F29" s="1179"/>
      <c r="G29" s="1276">
        <f>IF(E29=0,B29-I29,0)*Parametros!$F$33</f>
        <v>0</v>
      </c>
      <c r="H29" s="1180"/>
      <c r="I29" s="1278">
        <v>0</v>
      </c>
      <c r="J29" s="1279">
        <f>IF(B29*I29&gt;0,I29/B29,0)</f>
        <v>0</v>
      </c>
      <c r="K29" s="387" t="str">
        <f>IF(I29&gt;B29,"ERROR EN APORTACION EN ESPECIE","")</f>
        <v/>
      </c>
    </row>
    <row r="30" spans="1:13" ht="18" thickBot="1" x14ac:dyDescent="0.35">
      <c r="A30" s="2186" t="s">
        <v>249</v>
      </c>
      <c r="B30" s="2187">
        <f>SUM(B27:B29)</f>
        <v>0</v>
      </c>
      <c r="C30" s="2188">
        <f>IF($B30=0,0,SUMPRODUCT($B27:$B29,C27:C29)/$B30)</f>
        <v>0</v>
      </c>
      <c r="D30" s="2189">
        <f>IF($B30=0,AVERAGE(D28:D29),SUMPRODUCT($B28:$B29,D28:D29)/$B30)</f>
        <v>10</v>
      </c>
      <c r="E30" s="2190">
        <f>SUM(E28:E29)</f>
        <v>0</v>
      </c>
      <c r="F30" s="1172"/>
      <c r="G30" s="2191">
        <f>SUM(G27:G29)</f>
        <v>0</v>
      </c>
      <c r="H30" s="1181"/>
      <c r="I30" s="2192">
        <f>SUM(I27:I29)</f>
        <v>0</v>
      </c>
      <c r="J30" s="2193">
        <f>IF(B30&gt;0,I30/B30,0)</f>
        <v>0</v>
      </c>
    </row>
    <row r="31" spans="1:13" ht="11.25" customHeight="1" thickBot="1" x14ac:dyDescent="0.35">
      <c r="A31" s="477"/>
      <c r="B31" s="391"/>
      <c r="C31" s="391"/>
      <c r="D31" s="391"/>
      <c r="E31" s="391"/>
      <c r="F31" s="391"/>
      <c r="G31" s="391"/>
      <c r="H31" s="391"/>
      <c r="I31" s="391"/>
      <c r="J31" s="391"/>
    </row>
    <row r="32" spans="1:13" ht="30.75" thickBot="1" x14ac:dyDescent="0.35">
      <c r="A32" s="1501" t="s">
        <v>850</v>
      </c>
      <c r="B32" s="1502" t="str">
        <f>B$12</f>
        <v>Importe</v>
      </c>
      <c r="C32" s="1503" t="str">
        <f>C$12</f>
        <v>antigüedad</v>
      </c>
      <c r="D32" s="1503" t="str">
        <f>D$12</f>
        <v>plazo amort.</v>
      </c>
      <c r="E32" s="1504" t="str">
        <f>E$12</f>
        <v>amort. previa</v>
      </c>
      <c r="F32" s="386"/>
      <c r="G32" s="1508" t="str">
        <f>G$12</f>
        <v>IVA soportado</v>
      </c>
      <c r="H32" s="1273"/>
      <c r="I32" s="1506" t="str">
        <f>I$12</f>
        <v>Ap. Especie</v>
      </c>
      <c r="J32" s="1504" t="str">
        <f>J$12</f>
        <v>% especie</v>
      </c>
    </row>
    <row r="33" spans="1:11" x14ac:dyDescent="0.3">
      <c r="A33" s="1270" t="s">
        <v>368</v>
      </c>
      <c r="B33" s="1268">
        <v>0</v>
      </c>
      <c r="C33" s="1269">
        <v>0</v>
      </c>
      <c r="D33" s="1269">
        <v>8</v>
      </c>
      <c r="E33" s="1272">
        <f>IF(C33&gt;D33,B33,B33*C33/D33)</f>
        <v>0</v>
      </c>
      <c r="F33" s="1179"/>
      <c r="G33" s="1276">
        <f>IF(E33=0,B33-I33,0)*Parametros!$F$33</f>
        <v>0</v>
      </c>
      <c r="H33" s="1180"/>
      <c r="I33" s="1278">
        <v>0</v>
      </c>
      <c r="J33" s="1279">
        <f>IF(B33*I33&gt;0,I33/B33,0)</f>
        <v>0</v>
      </c>
      <c r="K33" s="387" t="str">
        <f>IF(I33&gt;B33,"ERROR EN APORTACION EN ESPECIE","")</f>
        <v/>
      </c>
    </row>
    <row r="34" spans="1:11" x14ac:dyDescent="0.3">
      <c r="A34" s="1270" t="s">
        <v>369</v>
      </c>
      <c r="B34" s="1268">
        <v>0</v>
      </c>
      <c r="C34" s="1269">
        <v>0</v>
      </c>
      <c r="D34" s="1269">
        <v>8</v>
      </c>
      <c r="E34" s="1272">
        <f>IF(C34&gt;D34,B34,B34*C34/D34)</f>
        <v>0</v>
      </c>
      <c r="F34" s="1179"/>
      <c r="G34" s="1276">
        <f>IF(E34=0,B34-I34,0)*Parametros!$F$33</f>
        <v>0</v>
      </c>
      <c r="H34" s="1180"/>
      <c r="I34" s="1278">
        <v>0</v>
      </c>
      <c r="J34" s="1279">
        <f>IF(B34*I34&gt;0,I34/B34,0)</f>
        <v>0</v>
      </c>
      <c r="K34" s="387" t="str">
        <f>IF(I34&gt;B34,"ERROR EN APORTACION EN ESPECIE","")</f>
        <v/>
      </c>
    </row>
    <row r="35" spans="1:11" x14ac:dyDescent="0.3">
      <c r="A35" s="1270" t="s">
        <v>370</v>
      </c>
      <c r="B35" s="1268">
        <v>0</v>
      </c>
      <c r="C35" s="1269">
        <v>0</v>
      </c>
      <c r="D35" s="1269">
        <v>8</v>
      </c>
      <c r="E35" s="1272">
        <f>IF(C35&gt;D35,B35,B35*C35/D35)</f>
        <v>0</v>
      </c>
      <c r="F35" s="1179"/>
      <c r="G35" s="1276">
        <f>IF(E35=0,B35-I35,0)*Parametros!$F$33</f>
        <v>0</v>
      </c>
      <c r="H35" s="1180"/>
      <c r="I35" s="1278">
        <v>0</v>
      </c>
      <c r="J35" s="1279">
        <f>IF(B35*I35&gt;0,I35/B35,0)</f>
        <v>0</v>
      </c>
      <c r="K35" s="387" t="str">
        <f>IF(I35&gt;B35,"ERROR EN APORTACION EN ESPECIE","")</f>
        <v/>
      </c>
    </row>
    <row r="36" spans="1:11" ht="18" thickBot="1" x14ac:dyDescent="0.35">
      <c r="A36" s="2186" t="s">
        <v>248</v>
      </c>
      <c r="B36" s="2187">
        <f>SUM(B32:B35)</f>
        <v>0</v>
      </c>
      <c r="C36" s="2188">
        <f>IF($B36=0,0,SUMPRODUCT($B33:$B35,C33:C35)/$B36)</f>
        <v>0</v>
      </c>
      <c r="D36" s="2189">
        <f>IF($B36=0,AVERAGE(D33:D35),SUMPRODUCT($B33:$B35,D33:D35)/$B36)</f>
        <v>8</v>
      </c>
      <c r="E36" s="2190">
        <f>SUM(E33:E35)</f>
        <v>0</v>
      </c>
      <c r="F36" s="1172"/>
      <c r="G36" s="2191">
        <f>SUM(G32:G35)</f>
        <v>0</v>
      </c>
      <c r="H36" s="1181"/>
      <c r="I36" s="2192">
        <f>SUM(I32:I35)</f>
        <v>0</v>
      </c>
      <c r="J36" s="2193">
        <f>IF(B36&gt;0,I36/B36,0)</f>
        <v>0</v>
      </c>
    </row>
    <row r="37" spans="1:11" ht="11.25" customHeight="1" thickBot="1" x14ac:dyDescent="0.35">
      <c r="A37" s="477"/>
      <c r="B37" s="391"/>
      <c r="C37" s="391"/>
      <c r="D37" s="391"/>
      <c r="E37" s="391"/>
      <c r="F37" s="391"/>
      <c r="G37" s="391"/>
      <c r="H37" s="391"/>
      <c r="I37" s="391"/>
      <c r="J37" s="391"/>
    </row>
    <row r="38" spans="1:11" ht="30.75" thickBot="1" x14ac:dyDescent="0.35">
      <c r="A38" s="1501" t="s">
        <v>977</v>
      </c>
      <c r="B38" s="1502" t="str">
        <f>B$12</f>
        <v>Importe</v>
      </c>
      <c r="C38" s="1503" t="str">
        <f>C$12</f>
        <v>antigüedad</v>
      </c>
      <c r="D38" s="1503" t="str">
        <f>D$12</f>
        <v>plazo amort.</v>
      </c>
      <c r="E38" s="1504" t="str">
        <f>E$12</f>
        <v>amort. previa</v>
      </c>
      <c r="F38" s="386"/>
      <c r="G38" s="1508" t="str">
        <f>G$12</f>
        <v>IVA soportado</v>
      </c>
      <c r="H38" s="1273"/>
      <c r="I38" s="1506" t="str">
        <f>I$12</f>
        <v>Ap. Especie</v>
      </c>
      <c r="J38" s="1504" t="str">
        <f>J$12</f>
        <v>% especie</v>
      </c>
    </row>
    <row r="39" spans="1:11" x14ac:dyDescent="0.3">
      <c r="A39" s="1270" t="s">
        <v>709</v>
      </c>
      <c r="B39" s="1268">
        <v>0</v>
      </c>
      <c r="C39" s="1269">
        <v>0</v>
      </c>
      <c r="D39" s="1269">
        <v>8</v>
      </c>
      <c r="E39" s="1272">
        <f>IF(C39&gt;D39,B39,B39*C39/D39)</f>
        <v>0</v>
      </c>
      <c r="F39" s="1179"/>
      <c r="G39" s="1276">
        <f>IF(E39=0,B39-I39,0)*Parametros!$F$33</f>
        <v>0</v>
      </c>
      <c r="H39" s="1180"/>
      <c r="I39" s="1278">
        <v>0</v>
      </c>
      <c r="J39" s="1279">
        <f>IF(B39*I39&gt;0,I39/B39,0)</f>
        <v>0</v>
      </c>
      <c r="K39" s="387" t="str">
        <f>IF(I39&gt;B39,"ERROR EN APORTACION EN ESPECIE","")</f>
        <v/>
      </c>
    </row>
    <row r="40" spans="1:11" x14ac:dyDescent="0.3">
      <c r="A40" s="1270" t="s">
        <v>710</v>
      </c>
      <c r="B40" s="1268">
        <v>0</v>
      </c>
      <c r="C40" s="1269">
        <v>0</v>
      </c>
      <c r="D40" s="1269">
        <v>8</v>
      </c>
      <c r="E40" s="1272">
        <f>IF(C40&gt;D40,B40,B40*C40/D40)</f>
        <v>0</v>
      </c>
      <c r="F40" s="1179"/>
      <c r="G40" s="1276">
        <f>IF(E40=0,B40-I40,0)*Parametros!$F$33</f>
        <v>0</v>
      </c>
      <c r="H40" s="1180"/>
      <c r="I40" s="1278">
        <v>0</v>
      </c>
      <c r="J40" s="1279">
        <f>IF(B40*I40&gt;0,I40/B40,0)</f>
        <v>0</v>
      </c>
      <c r="K40" s="387" t="str">
        <f>IF(I40&gt;B40,"ERROR EN APORTACION EN ESPECIE","")</f>
        <v/>
      </c>
    </row>
    <row r="41" spans="1:11" x14ac:dyDescent="0.3">
      <c r="A41" s="1270" t="s">
        <v>711</v>
      </c>
      <c r="B41" s="1268">
        <v>0</v>
      </c>
      <c r="C41" s="1269">
        <v>0</v>
      </c>
      <c r="D41" s="1269">
        <v>8</v>
      </c>
      <c r="E41" s="1272">
        <f>IF(C41&gt;D41,B41,B41*C41/D41)</f>
        <v>0</v>
      </c>
      <c r="F41" s="1179"/>
      <c r="G41" s="1276">
        <f>IF(E41=0,B41-I41,0)*Parametros!$F$33</f>
        <v>0</v>
      </c>
      <c r="H41" s="1180"/>
      <c r="I41" s="1278">
        <v>0</v>
      </c>
      <c r="J41" s="1279">
        <f>IF(B41*I41&gt;0,I41/B41,0)</f>
        <v>0</v>
      </c>
      <c r="K41" s="387" t="str">
        <f>IF(I41&gt;B41,"ERROR EN APORTACION EN ESPECIE","")</f>
        <v/>
      </c>
    </row>
    <row r="42" spans="1:11" ht="18" thickBot="1" x14ac:dyDescent="0.35">
      <c r="A42" s="2186" t="s">
        <v>253</v>
      </c>
      <c r="B42" s="2187">
        <f>SUM(B38:B41)</f>
        <v>0</v>
      </c>
      <c r="C42" s="2188">
        <f>IF($B42=0,0,SUMPRODUCT($B38:$B41,C38:C41)/$B42)</f>
        <v>0</v>
      </c>
      <c r="D42" s="2189">
        <f>IF($B42=0,AVERAGE(D39:D41),SUMPRODUCT($B39:$B41,D39:D41)/$B42)</f>
        <v>8</v>
      </c>
      <c r="E42" s="2190">
        <f>SUM(E39:E41)</f>
        <v>0</v>
      </c>
      <c r="F42" s="1172"/>
      <c r="G42" s="2191">
        <f>SUM(G38:G41)</f>
        <v>0</v>
      </c>
      <c r="H42" s="1181"/>
      <c r="I42" s="2192">
        <f>SUM(I38:I41)</f>
        <v>0</v>
      </c>
      <c r="J42" s="2193">
        <f>IF(B42&gt;0,I42/B42,0)</f>
        <v>0</v>
      </c>
    </row>
    <row r="43" spans="1:11" ht="11.25" customHeight="1" thickBot="1" x14ac:dyDescent="0.35">
      <c r="A43" s="477"/>
      <c r="B43" s="391"/>
      <c r="C43" s="391"/>
      <c r="D43" s="391"/>
      <c r="E43" s="391"/>
      <c r="F43" s="391"/>
      <c r="G43" s="391"/>
      <c r="H43" s="391"/>
      <c r="I43" s="391"/>
      <c r="J43" s="391"/>
    </row>
    <row r="44" spans="1:11" ht="30.75" thickBot="1" x14ac:dyDescent="0.35">
      <c r="A44" s="1501" t="s">
        <v>713</v>
      </c>
      <c r="B44" s="1502" t="str">
        <f>B$12</f>
        <v>Importe</v>
      </c>
      <c r="C44" s="1503" t="str">
        <f>C$12</f>
        <v>antigüedad</v>
      </c>
      <c r="D44" s="1503" t="str">
        <f>D$12</f>
        <v>plazo amort.</v>
      </c>
      <c r="E44" s="1504" t="str">
        <f>E$12</f>
        <v>amort. previa</v>
      </c>
      <c r="F44" s="386"/>
      <c r="G44" s="1508" t="str">
        <f>G$12</f>
        <v>IVA soportado</v>
      </c>
      <c r="H44" s="1273"/>
      <c r="I44" s="1506" t="str">
        <f>I$12</f>
        <v>Ap. Especie</v>
      </c>
      <c r="J44" s="1504" t="str">
        <f>J$12</f>
        <v>% especie</v>
      </c>
    </row>
    <row r="45" spans="1:11" x14ac:dyDescent="0.3">
      <c r="A45" s="1270" t="s">
        <v>714</v>
      </c>
      <c r="B45" s="1268">
        <v>0</v>
      </c>
      <c r="C45" s="1269">
        <v>0</v>
      </c>
      <c r="D45" s="1269">
        <v>5</v>
      </c>
      <c r="E45" s="1272">
        <f>IF(C45&gt;D45,B45,B45*C45/D45)</f>
        <v>0</v>
      </c>
      <c r="F45" s="1179"/>
      <c r="G45" s="1276">
        <f>IF(E45=0,B45-I45,0)*Parametros!$F$33</f>
        <v>0</v>
      </c>
      <c r="H45" s="1180"/>
      <c r="I45" s="1278">
        <v>0</v>
      </c>
      <c r="J45" s="1279">
        <f>IF(B45*I45&gt;0,I45/B45,0)</f>
        <v>0</v>
      </c>
      <c r="K45" s="387" t="str">
        <f>IF(I45&gt;B45,"ERROR EN APORTACION EN ESPECIE","")</f>
        <v/>
      </c>
    </row>
    <row r="46" spans="1:11" x14ac:dyDescent="0.3">
      <c r="A46" s="1270" t="s">
        <v>372</v>
      </c>
      <c r="B46" s="1268">
        <v>0</v>
      </c>
      <c r="C46" s="1269">
        <v>0</v>
      </c>
      <c r="D46" s="1269">
        <v>5</v>
      </c>
      <c r="E46" s="1272">
        <f>IF(C46&gt;D46,B46,B46*C46/D46)</f>
        <v>0</v>
      </c>
      <c r="F46" s="1179"/>
      <c r="G46" s="1276">
        <f>IF(E46=0,B46-I46,0)*Parametros!$F$33</f>
        <v>0</v>
      </c>
      <c r="H46" s="1180"/>
      <c r="I46" s="1278">
        <v>0</v>
      </c>
      <c r="J46" s="1279">
        <f>IF(B46*I46&gt;0,I46/B46,0)</f>
        <v>0</v>
      </c>
      <c r="K46" s="387" t="str">
        <f>IF(I46&gt;B46,"ERROR EN APORTACION EN ESPECIE","")</f>
        <v/>
      </c>
    </row>
    <row r="47" spans="1:11" x14ac:dyDescent="0.3">
      <c r="A47" s="1270" t="s">
        <v>373</v>
      </c>
      <c r="B47" s="1268">
        <v>0</v>
      </c>
      <c r="C47" s="1269">
        <v>0</v>
      </c>
      <c r="D47" s="1269">
        <v>5</v>
      </c>
      <c r="E47" s="1272">
        <f>IF(C47&gt;D47,B47,B47*C47/D47)</f>
        <v>0</v>
      </c>
      <c r="F47" s="1179"/>
      <c r="G47" s="1276">
        <f>IF(E47=0,B47-I47,0)*Parametros!$F$33</f>
        <v>0</v>
      </c>
      <c r="H47" s="1180"/>
      <c r="I47" s="1278">
        <v>0</v>
      </c>
      <c r="J47" s="1279">
        <f>IF(B47*I47&gt;0,I47/B47,0)</f>
        <v>0</v>
      </c>
      <c r="K47" s="387" t="str">
        <f>IF(I47&gt;B47,"ERROR EN APORTACION EN ESPECIE","")</f>
        <v/>
      </c>
    </row>
    <row r="48" spans="1:11" x14ac:dyDescent="0.3">
      <c r="A48" s="1270" t="s">
        <v>374</v>
      </c>
      <c r="B48" s="1268">
        <v>0</v>
      </c>
      <c r="C48" s="1269">
        <v>0</v>
      </c>
      <c r="D48" s="1269">
        <v>5</v>
      </c>
      <c r="E48" s="1272">
        <f>IF(C48&gt;D48,B48,B48*C48/D48)</f>
        <v>0</v>
      </c>
      <c r="F48" s="1179"/>
      <c r="G48" s="1276">
        <f>IF(E48=0,B48-I48,0)*Parametros!$F$33</f>
        <v>0</v>
      </c>
      <c r="H48" s="1180"/>
      <c r="I48" s="1278">
        <v>0</v>
      </c>
      <c r="J48" s="1279">
        <f>IF(B48*I48&gt;0,I48/B48,0)</f>
        <v>0</v>
      </c>
      <c r="K48" s="387" t="str">
        <f>IF(I48&gt;B48,"ERROR EN APORTACION EN ESPECIE","")</f>
        <v/>
      </c>
    </row>
    <row r="49" spans="1:11" ht="18" thickBot="1" x14ac:dyDescent="0.35">
      <c r="A49" s="2186" t="s">
        <v>375</v>
      </c>
      <c r="B49" s="2187">
        <f>SUM(B44:B48)</f>
        <v>0</v>
      </c>
      <c r="C49" s="2188">
        <f>IF($B49=0,0,SUMPRODUCT($B45:$B48,C45:C48)/$B49)</f>
        <v>0</v>
      </c>
      <c r="D49" s="2189">
        <f>IF($B49=0,AVERAGE(D45:D48),SUMPRODUCT($B45:$B48,D45:D48)/$B49)</f>
        <v>5</v>
      </c>
      <c r="E49" s="2190">
        <f>SUM(E45:E48)</f>
        <v>0</v>
      </c>
      <c r="F49" s="1172"/>
      <c r="G49" s="2191">
        <f>SUM(G44:G48)</f>
        <v>0</v>
      </c>
      <c r="H49" s="1181"/>
      <c r="I49" s="2192">
        <f>SUM(I44:I48)</f>
        <v>0</v>
      </c>
      <c r="J49" s="2193">
        <f>IF(B49&gt;0,I49/B49,0)</f>
        <v>0</v>
      </c>
    </row>
    <row r="50" spans="1:11" ht="11.25" customHeight="1" thickBot="1" x14ac:dyDescent="0.35">
      <c r="A50" s="477"/>
      <c r="B50" s="391"/>
      <c r="C50" s="391"/>
      <c r="D50" s="391"/>
      <c r="E50" s="391"/>
      <c r="F50" s="391"/>
      <c r="G50" s="391"/>
      <c r="H50" s="391"/>
      <c r="I50" s="391"/>
      <c r="J50" s="391"/>
    </row>
    <row r="51" spans="1:11" ht="30.75" thickBot="1" x14ac:dyDescent="0.35">
      <c r="A51" s="2371" t="s">
        <v>930</v>
      </c>
      <c r="B51" s="1502" t="str">
        <f>B$12</f>
        <v>Importe</v>
      </c>
      <c r="C51" s="1503" t="str">
        <f>C$12</f>
        <v>antigüedad</v>
      </c>
      <c r="D51" s="1503" t="str">
        <f>D$12</f>
        <v>plazo amort.</v>
      </c>
      <c r="E51" s="1504" t="str">
        <f>E$12</f>
        <v>amort. previa</v>
      </c>
      <c r="F51" s="386"/>
      <c r="G51" s="1508" t="str">
        <f>G$12</f>
        <v>IVA soportado</v>
      </c>
      <c r="H51" s="1273"/>
      <c r="I51" s="1506" t="str">
        <f>I$12</f>
        <v>Ap. Especie</v>
      </c>
      <c r="J51" s="1504" t="str">
        <f>J$12</f>
        <v>% especie</v>
      </c>
    </row>
    <row r="52" spans="1:11" x14ac:dyDescent="0.3">
      <c r="A52" s="2369" t="s">
        <v>1211</v>
      </c>
      <c r="B52" s="1281">
        <v>0</v>
      </c>
      <c r="C52" s="1269">
        <v>0</v>
      </c>
      <c r="D52" s="1269">
        <v>5</v>
      </c>
      <c r="E52" s="1272">
        <f>IF(C52&gt;D52,B52,B52*C52/D52)</f>
        <v>0</v>
      </c>
      <c r="F52" s="391"/>
      <c r="G52" s="1276">
        <f>IF(E52=0,B52-I52,0)*Parametros!$F$33</f>
        <v>0</v>
      </c>
      <c r="H52" s="1180"/>
      <c r="I52" s="1278">
        <v>0</v>
      </c>
      <c r="J52" s="1279">
        <f>IF(B52*I52&gt;0,I52/B52,0)</f>
        <v>0</v>
      </c>
      <c r="K52" s="387" t="str">
        <f>IF(I52&gt;B52,"ERROR EN APORTACION EN ESPECIE","")</f>
        <v/>
      </c>
    </row>
    <row r="53" spans="1:11" x14ac:dyDescent="0.3">
      <c r="A53" s="2370" t="s">
        <v>1211</v>
      </c>
      <c r="B53" s="1281">
        <v>0</v>
      </c>
      <c r="C53" s="1269">
        <v>0</v>
      </c>
      <c r="D53" s="1269">
        <v>5</v>
      </c>
      <c r="E53" s="1282">
        <f>IF(C53&gt;D53,B53,B53*C53/D53)</f>
        <v>0</v>
      </c>
      <c r="F53" s="1179"/>
      <c r="G53" s="1276">
        <f>IF(E53=0,B53-I53,0)*Parametros!$F$33</f>
        <v>0</v>
      </c>
      <c r="H53" s="1180"/>
      <c r="I53" s="1278">
        <v>0</v>
      </c>
      <c r="J53" s="1279">
        <f>IF(B53*I53&gt;0,I53/B53,0)</f>
        <v>0</v>
      </c>
      <c r="K53" s="387" t="str">
        <f>IF(I53&gt;B53,"ERROR EN APORTACION EN ESPECIE","")</f>
        <v/>
      </c>
    </row>
    <row r="54" spans="1:11" ht="18" thickBot="1" x14ac:dyDescent="0.35">
      <c r="A54" s="2186" t="s">
        <v>254</v>
      </c>
      <c r="B54" s="2187">
        <f>SUM(B51:B53)</f>
        <v>0</v>
      </c>
      <c r="C54" s="2188">
        <f>IF($B54=0,0,SUMPRODUCT($B51:$B53,C51:C53)/$B54)</f>
        <v>0</v>
      </c>
      <c r="D54" s="2189">
        <f>IF($B54=0,AVERAGE(D52:D53),SUMPRODUCT($B52:$B53,D52:D53)/$B54)</f>
        <v>5</v>
      </c>
      <c r="E54" s="2190">
        <f>SUM(E52:E53)</f>
        <v>0</v>
      </c>
      <c r="F54" s="1172"/>
      <c r="G54" s="2191">
        <f>SUM(G51:G53)</f>
        <v>0</v>
      </c>
      <c r="H54" s="1181"/>
      <c r="I54" s="2192">
        <f>SUM(I51:I53)</f>
        <v>0</v>
      </c>
      <c r="J54" s="2193">
        <f>IF(B54&gt;0,I54/B54,0)</f>
        <v>0</v>
      </c>
    </row>
    <row r="55" spans="1:11" ht="16.5" customHeight="1" thickBot="1" x14ac:dyDescent="0.35">
      <c r="B55" s="1057"/>
      <c r="C55" s="1057"/>
      <c r="D55" s="1057"/>
      <c r="E55" s="1057"/>
      <c r="F55" s="391"/>
      <c r="G55" s="391"/>
      <c r="H55" s="391"/>
      <c r="I55" s="1057"/>
      <c r="J55" s="1057"/>
    </row>
    <row r="56" spans="1:11" ht="30.75" thickBot="1" x14ac:dyDescent="0.35">
      <c r="A56" s="2371" t="s">
        <v>1212</v>
      </c>
      <c r="B56" s="1502" t="str">
        <f>B$12</f>
        <v>Importe</v>
      </c>
      <c r="C56" s="1503" t="str">
        <f>C$12</f>
        <v>antigüedad</v>
      </c>
      <c r="D56" s="1503" t="str">
        <f>D$12</f>
        <v>plazo amort.</v>
      </c>
      <c r="E56" s="1504" t="str">
        <f>E$12</f>
        <v>amort. previa</v>
      </c>
      <c r="F56" s="386"/>
      <c r="G56" s="1508" t="str">
        <f>G$12</f>
        <v>IVA soportado</v>
      </c>
      <c r="H56" s="1273"/>
      <c r="I56" s="1506" t="str">
        <f>I$12</f>
        <v>Ap. Especie</v>
      </c>
      <c r="J56" s="1504" t="str">
        <f>J$12</f>
        <v>% especie</v>
      </c>
    </row>
    <row r="57" spans="1:11" x14ac:dyDescent="0.3">
      <c r="A57" s="1270" t="s">
        <v>376</v>
      </c>
      <c r="B57" s="1268">
        <v>0</v>
      </c>
      <c r="C57" s="1269">
        <v>0</v>
      </c>
      <c r="D57" s="1269">
        <v>3</v>
      </c>
      <c r="E57" s="1272">
        <f>IF(C57&gt;D57,B57,B57*C57/D57)</f>
        <v>0</v>
      </c>
      <c r="F57" s="1179"/>
      <c r="G57" s="1276">
        <f>IF(E57=0,B57-I57,0)*Parametros!$F$33</f>
        <v>0</v>
      </c>
      <c r="H57" s="1180"/>
      <c r="I57" s="1278">
        <v>0</v>
      </c>
      <c r="J57" s="1279">
        <f>IF(B57*I57&gt;0,I57/B57,0)</f>
        <v>0</v>
      </c>
      <c r="K57" s="387" t="str">
        <f>IF(I57&gt;B57,"ERROR EN APORTACION EN ESPECIE","")</f>
        <v/>
      </c>
    </row>
    <row r="58" spans="1:11" x14ac:dyDescent="0.3">
      <c r="A58" s="1270" t="s">
        <v>707</v>
      </c>
      <c r="B58" s="1268">
        <v>0</v>
      </c>
      <c r="C58" s="1269">
        <v>0</v>
      </c>
      <c r="D58" s="1269">
        <v>3</v>
      </c>
      <c r="E58" s="1272">
        <f>IF(C58&gt;D58,B58,B58*C58/D58)</f>
        <v>0</v>
      </c>
      <c r="F58" s="1179"/>
      <c r="G58" s="1276">
        <f>IF(E58=0,B58-I58,0)*Parametros!$F$33</f>
        <v>0</v>
      </c>
      <c r="H58" s="1180"/>
      <c r="I58" s="1278">
        <v>0</v>
      </c>
      <c r="J58" s="1279">
        <f>IF(B58*I58&gt;0,I58/B58,0)</f>
        <v>0</v>
      </c>
      <c r="K58" s="387"/>
    </row>
    <row r="59" spans="1:11" x14ac:dyDescent="0.3">
      <c r="A59" s="1270" t="s">
        <v>377</v>
      </c>
      <c r="B59" s="1268">
        <v>0</v>
      </c>
      <c r="C59" s="1269">
        <v>0</v>
      </c>
      <c r="D59" s="1269">
        <v>3</v>
      </c>
      <c r="E59" s="1272">
        <f>IF(C59&gt;D59,B59,B59*C59/D59)</f>
        <v>0</v>
      </c>
      <c r="F59" s="1179"/>
      <c r="G59" s="1276">
        <f>IF(E59=0,B59-I59,0)*Parametros!$F$33</f>
        <v>0</v>
      </c>
      <c r="H59" s="1180"/>
      <c r="I59" s="1278">
        <v>0</v>
      </c>
      <c r="J59" s="1279">
        <f>IF(B59*I59&gt;0,I59/B59,0)</f>
        <v>0</v>
      </c>
      <c r="K59" s="387" t="str">
        <f>IF(I59&gt;B59,"ERROR EN APORTACION EN ESPECIE","")</f>
        <v/>
      </c>
    </row>
    <row r="60" spans="1:11" x14ac:dyDescent="0.3">
      <c r="A60" s="1270" t="s">
        <v>378</v>
      </c>
      <c r="B60" s="1268">
        <v>0</v>
      </c>
      <c r="C60" s="1269">
        <v>0</v>
      </c>
      <c r="D60" s="1269">
        <v>3</v>
      </c>
      <c r="E60" s="1272">
        <f>IF(C60&gt;D60,B60,B60*C60/D60)</f>
        <v>0</v>
      </c>
      <c r="F60" s="1179"/>
      <c r="G60" s="1276">
        <f>IF(E60=0,B60-I60,0)*Parametros!$F$33</f>
        <v>0</v>
      </c>
      <c r="H60" s="1180"/>
      <c r="I60" s="1278">
        <v>0</v>
      </c>
      <c r="J60" s="1279">
        <f>IF(B60*I60&gt;0,I60/B60,0)</f>
        <v>0</v>
      </c>
      <c r="K60" s="387" t="str">
        <f>IF(I60&gt;B60,"ERROR EN APORTACION EN ESPECIE","")</f>
        <v/>
      </c>
    </row>
    <row r="61" spans="1:11" ht="30.75" x14ac:dyDescent="0.3">
      <c r="A61" s="2349" t="s">
        <v>1210</v>
      </c>
      <c r="B61" s="1268">
        <v>0</v>
      </c>
      <c r="C61" s="1269">
        <v>0</v>
      </c>
      <c r="D61" s="1269">
        <v>3</v>
      </c>
      <c r="E61" s="1272">
        <f>IF(C61&gt;D61,B61,B61*C61/D61)</f>
        <v>0</v>
      </c>
      <c r="F61" s="1179"/>
      <c r="G61" s="1276">
        <f>IF(E61=0,B61-I61,0)*Parametros!$F$33</f>
        <v>0</v>
      </c>
      <c r="H61" s="1180"/>
      <c r="I61" s="1278">
        <v>0</v>
      </c>
      <c r="J61" s="1279">
        <f>IF(B61*I61&gt;0,I61/B61,0)</f>
        <v>0</v>
      </c>
      <c r="K61" s="387" t="str">
        <f>IF(I61&gt;B61,"ERROR EN APORTACION EN ESPECIE","")</f>
        <v/>
      </c>
    </row>
    <row r="62" spans="1:11" ht="18" thickBot="1" x14ac:dyDescent="0.35">
      <c r="A62" s="2186" t="s">
        <v>255</v>
      </c>
      <c r="B62" s="2187">
        <f>SUM(B56:B61)</f>
        <v>0</v>
      </c>
      <c r="C62" s="2188">
        <f>IF($B62=0,0,SUMPRODUCT($B57:$B61,C57:C61)/$B62)</f>
        <v>0</v>
      </c>
      <c r="D62" s="2189">
        <f>IF($B62=0,AVERAGE(D57:D61),SUMPRODUCT($B57:$B61,D57:D61)/$B62)</f>
        <v>3</v>
      </c>
      <c r="E62" s="2190">
        <f>SUM(E57:E61)</f>
        <v>0</v>
      </c>
      <c r="F62" s="1172"/>
      <c r="G62" s="2191">
        <f>SUM(G56:G61)</f>
        <v>0</v>
      </c>
      <c r="H62" s="1181"/>
      <c r="I62" s="2192">
        <f>SUM(I56:I61)</f>
        <v>0</v>
      </c>
      <c r="J62" s="2193">
        <f>IF(B62&gt;0,I62/B62,0)</f>
        <v>0</v>
      </c>
    </row>
    <row r="63" spans="1:11" ht="17.25" customHeight="1" thickBot="1" x14ac:dyDescent="0.35">
      <c r="B63" s="1057"/>
      <c r="C63" s="1057"/>
      <c r="D63" s="1057"/>
      <c r="E63" s="1057"/>
      <c r="F63" s="1057"/>
      <c r="G63" s="1057"/>
      <c r="H63" s="1057"/>
      <c r="I63" s="1057"/>
      <c r="J63" s="1057"/>
    </row>
    <row r="64" spans="1:11" ht="27" customHeight="1" thickBot="1" x14ac:dyDescent="0.35">
      <c r="A64" s="1501" t="s">
        <v>792</v>
      </c>
      <c r="B64" s="1502" t="str">
        <f>B$12</f>
        <v>Importe</v>
      </c>
      <c r="C64" s="1057"/>
      <c r="D64" s="1057"/>
      <c r="E64" s="1057"/>
      <c r="F64" s="391"/>
      <c r="G64" s="1508" t="str">
        <f>G$12</f>
        <v>IVA soportado</v>
      </c>
      <c r="H64" s="392"/>
      <c r="I64" s="1057"/>
      <c r="J64" s="1057"/>
    </row>
    <row r="65" spans="1:10" x14ac:dyDescent="0.3">
      <c r="A65" s="1270" t="s">
        <v>379</v>
      </c>
      <c r="B65" s="1285">
        <v>0</v>
      </c>
      <c r="C65" s="1057"/>
      <c r="D65" s="1057"/>
      <c r="E65" s="1057"/>
      <c r="F65" s="1179"/>
      <c r="G65" s="1283">
        <f>B65*Parametros!$F$33</f>
        <v>0</v>
      </c>
      <c r="H65" s="1180"/>
      <c r="I65" s="1057"/>
      <c r="J65" s="1057"/>
    </row>
    <row r="66" spans="1:10" x14ac:dyDescent="0.3">
      <c r="A66" s="1270" t="s">
        <v>789</v>
      </c>
      <c r="B66" s="1285">
        <v>0</v>
      </c>
      <c r="C66" s="1057"/>
      <c r="D66" s="1057"/>
      <c r="E66" s="1057"/>
      <c r="F66" s="1179"/>
      <c r="G66" s="1283"/>
      <c r="H66" s="1180"/>
      <c r="I66" s="1057"/>
      <c r="J66" s="1057"/>
    </row>
    <row r="67" spans="1:10" x14ac:dyDescent="0.3">
      <c r="A67" s="1270" t="s">
        <v>790</v>
      </c>
      <c r="B67" s="1285">
        <v>0</v>
      </c>
      <c r="C67" s="1057"/>
      <c r="D67" s="1057"/>
      <c r="E67" s="1057"/>
      <c r="F67" s="1179"/>
      <c r="G67" s="1283"/>
      <c r="H67" s="1180"/>
      <c r="I67" s="1057"/>
      <c r="J67" s="1057"/>
    </row>
    <row r="68" spans="1:10" x14ac:dyDescent="0.3">
      <c r="A68" s="1270" t="s">
        <v>381</v>
      </c>
      <c r="B68" s="1285">
        <v>0</v>
      </c>
      <c r="C68" s="1057"/>
      <c r="D68" s="1057"/>
      <c r="E68" s="1057"/>
      <c r="F68" s="1179"/>
      <c r="G68" s="1284"/>
      <c r="H68" s="1180"/>
      <c r="I68" s="1057"/>
      <c r="J68" s="1057"/>
    </row>
    <row r="69" spans="1:10" ht="18" thickBot="1" x14ac:dyDescent="0.35">
      <c r="A69" s="2186" t="s">
        <v>256</v>
      </c>
      <c r="B69" s="2194">
        <f>SUM(B65:B68)</f>
        <v>0</v>
      </c>
      <c r="C69" s="1057"/>
      <c r="D69" s="1057"/>
      <c r="E69" s="1057"/>
      <c r="F69" s="1179"/>
      <c r="G69" s="2191">
        <f>SUM(G65:G68)</f>
        <v>0</v>
      </c>
      <c r="H69" s="1180"/>
      <c r="I69" s="1057"/>
      <c r="J69" s="1057"/>
    </row>
    <row r="70" spans="1:10" ht="17.25" customHeight="1" thickBot="1" x14ac:dyDescent="0.35">
      <c r="B70" s="1057"/>
      <c r="C70" s="1057"/>
      <c r="D70" s="1057"/>
      <c r="E70" s="1057"/>
      <c r="F70" s="1057"/>
      <c r="G70" s="1057"/>
      <c r="H70" s="1057"/>
      <c r="I70" s="1057"/>
      <c r="J70" s="1057"/>
    </row>
    <row r="71" spans="1:10" ht="30.75" customHeight="1" thickBot="1" x14ac:dyDescent="0.35">
      <c r="A71" s="1501" t="s">
        <v>791</v>
      </c>
      <c r="B71" s="1502" t="str">
        <f>B$12</f>
        <v>Importe</v>
      </c>
      <c r="C71" s="1057"/>
      <c r="D71" s="1057"/>
      <c r="E71" s="1057"/>
      <c r="F71" s="1179"/>
      <c r="G71" s="1508" t="str">
        <f>G$12</f>
        <v>IVA soportado</v>
      </c>
      <c r="H71" s="1180"/>
      <c r="I71" s="1057"/>
      <c r="J71" s="1057"/>
    </row>
    <row r="72" spans="1:10" x14ac:dyDescent="0.3">
      <c r="A72" s="1270" t="s">
        <v>380</v>
      </c>
      <c r="B72" s="1285">
        <v>0</v>
      </c>
      <c r="C72" s="1057"/>
      <c r="D72" s="1057"/>
      <c r="E72" s="1057"/>
      <c r="F72" s="1179"/>
      <c r="G72" s="1283">
        <f>B72*Parametros!$F$33</f>
        <v>0</v>
      </c>
      <c r="H72" s="1180"/>
      <c r="I72" s="1057"/>
      <c r="J72" s="1057"/>
    </row>
    <row r="73" spans="1:10" x14ac:dyDescent="0.3">
      <c r="A73" s="1270" t="s">
        <v>793</v>
      </c>
      <c r="B73" s="1285">
        <v>0</v>
      </c>
      <c r="C73" s="1057"/>
      <c r="D73" s="1057"/>
      <c r="E73" s="1057"/>
      <c r="F73" s="1179"/>
      <c r="G73" s="1283">
        <f>B73*Parametros!$F$33</f>
        <v>0</v>
      </c>
      <c r="H73" s="1180"/>
      <c r="I73" s="1057"/>
      <c r="J73" s="1057"/>
    </row>
    <row r="74" spans="1:10" x14ac:dyDescent="0.3">
      <c r="A74" s="1270" t="s">
        <v>794</v>
      </c>
      <c r="B74" s="1285">
        <v>0</v>
      </c>
      <c r="C74" s="1057"/>
      <c r="D74" s="1057"/>
      <c r="E74" s="1057"/>
      <c r="F74" s="1179"/>
      <c r="G74" s="1283">
        <f>B74*Parametros!$F$33</f>
        <v>0</v>
      </c>
      <c r="H74" s="1180"/>
      <c r="I74" s="1057"/>
      <c r="J74" s="1057"/>
    </row>
    <row r="75" spans="1:10" x14ac:dyDescent="0.3">
      <c r="A75" s="1270" t="s">
        <v>764</v>
      </c>
      <c r="B75" s="1285">
        <v>0</v>
      </c>
      <c r="C75" s="1057"/>
      <c r="D75" s="1057"/>
      <c r="E75" s="1057"/>
      <c r="F75" s="1057"/>
      <c r="G75" s="1283">
        <f>B75*Parametros!$F$33</f>
        <v>0</v>
      </c>
      <c r="H75" s="1057"/>
      <c r="I75" s="1057"/>
      <c r="J75" s="1057"/>
    </row>
    <row r="76" spans="1:10" ht="18" thickBot="1" x14ac:dyDescent="0.35">
      <c r="A76" s="2186" t="s">
        <v>257</v>
      </c>
      <c r="B76" s="2194">
        <f>SUM(B72:B75)</f>
        <v>0</v>
      </c>
      <c r="C76" s="1057"/>
      <c r="D76" s="1057"/>
      <c r="E76" s="1057"/>
      <c r="F76" s="1172"/>
      <c r="G76" s="2191">
        <f>SUM(G72:G75)</f>
        <v>0</v>
      </c>
      <c r="H76" s="1181"/>
      <c r="I76" s="1057"/>
      <c r="J76" s="1057"/>
    </row>
    <row r="77" spans="1:10" ht="10.5" customHeight="1" thickBot="1" x14ac:dyDescent="0.35">
      <c r="B77" s="1057"/>
      <c r="C77" s="1057"/>
      <c r="D77" s="1057"/>
      <c r="E77" s="1057"/>
      <c r="F77" s="1057"/>
      <c r="G77" s="1057"/>
      <c r="H77" s="1057"/>
      <c r="I77" s="1057"/>
      <c r="J77" s="1057"/>
    </row>
    <row r="78" spans="1:10" ht="18" thickBot="1" x14ac:dyDescent="0.35">
      <c r="A78" s="1501" t="s">
        <v>382</v>
      </c>
      <c r="B78" s="1502" t="str">
        <f>B$12</f>
        <v>Importe</v>
      </c>
      <c r="C78" s="1057"/>
      <c r="D78" s="1057"/>
      <c r="E78" s="1057"/>
      <c r="F78" s="391"/>
      <c r="G78" s="391"/>
      <c r="H78" s="391"/>
      <c r="I78" s="1057"/>
      <c r="J78" s="1057"/>
    </row>
    <row r="79" spans="1:10" x14ac:dyDescent="0.3">
      <c r="A79" s="1270" t="s">
        <v>383</v>
      </c>
      <c r="B79" s="1285">
        <v>0</v>
      </c>
      <c r="C79" s="1057"/>
      <c r="D79" s="1057"/>
      <c r="E79" s="1057"/>
      <c r="F79" s="391"/>
      <c r="G79" s="391"/>
      <c r="H79" s="391"/>
      <c r="I79" s="1057"/>
      <c r="J79" s="1057"/>
    </row>
    <row r="80" spans="1:10" x14ac:dyDescent="0.3">
      <c r="A80" s="2369" t="s">
        <v>1231</v>
      </c>
      <c r="B80" s="1285">
        <v>0</v>
      </c>
      <c r="C80" s="1057"/>
      <c r="D80" s="1057"/>
      <c r="E80" s="1057"/>
      <c r="F80" s="1179"/>
      <c r="G80" s="1172"/>
      <c r="H80" s="1179"/>
      <c r="I80" s="1057"/>
      <c r="J80" s="1057"/>
    </row>
    <row r="81" spans="1:10" ht="18" thickBot="1" x14ac:dyDescent="0.35">
      <c r="A81" s="2186" t="s">
        <v>258</v>
      </c>
      <c r="B81" s="2194">
        <f>SUM(B78:B80)</f>
        <v>0</v>
      </c>
      <c r="C81" s="1057"/>
      <c r="D81" s="1057"/>
      <c r="E81" s="1057"/>
      <c r="F81" s="1172"/>
      <c r="G81" s="1172"/>
      <c r="H81" s="1172"/>
      <c r="I81" s="1057"/>
      <c r="J81" s="1057"/>
    </row>
    <row r="85" spans="1:10" x14ac:dyDescent="0.3">
      <c r="E85" s="393"/>
    </row>
    <row r="88" spans="1:10" x14ac:dyDescent="0.3">
      <c r="F88" s="394"/>
      <c r="H88" s="394"/>
    </row>
    <row r="89" spans="1:10" x14ac:dyDescent="0.3">
      <c r="F89" s="394"/>
      <c r="H89" s="394"/>
    </row>
    <row r="90" spans="1:10" x14ac:dyDescent="0.3">
      <c r="F90" s="394"/>
      <c r="H90" s="394"/>
    </row>
    <row r="91" spans="1:10" x14ac:dyDescent="0.3">
      <c r="F91" s="395"/>
      <c r="H91" s="394"/>
    </row>
  </sheetData>
  <sheetProtection sheet="1" objects="1" scenarios="1" formatCells="0" formatColumns="0"/>
  <mergeCells count="1">
    <mergeCell ref="A1:K1"/>
  </mergeCells>
  <phoneticPr fontId="13" type="noConversion"/>
  <dataValidations count="5">
    <dataValidation type="whole" allowBlank="1" showInputMessage="1" showErrorMessage="1" error="La amortización acumulada debe ser mayor que 0 y MENOR que la inversión total" sqref="G15:H18 G24:H24 E28:F29 G35:H35 E8:F9 G41:H41 E13:F18 E22:F24 E33:F35 F80:H80 E52 E53:F53 E45:F48 E57:F61 E39:F41 F65:F69 F71:F74" xr:uid="{00000000-0002-0000-0900-000000000000}">
      <formula1>0</formula1>
      <formula2>B8</formula2>
    </dataValidation>
    <dataValidation type="custom" allowBlank="1" showInputMessage="1" showErrorMessage="1" error="La aportación en especie no puede ser superior al importe." sqref="I7:I9 I33:I35 I28:I29 I22:I24 I13:I18 I52:I53 I39:I41 I45:I48 I57:I61" xr:uid="{00000000-0002-0000-0900-000001000000}">
      <formula1>OR(AND(E7=0,I7&lt;=B7,I7&gt;0),I7=0)</formula1>
    </dataValidation>
    <dataValidation type="whole" allowBlank="1" showInputMessage="1" showErrorMessage="1" error="El plazo mínimo de amortización es 2 años._x000a_El plazo máximo 99 años." sqref="D8:D9 D57:D61 D52:D53 D45:D48 D39:D41 D33:D35 D28:D29 D22:D24 D13:D18" xr:uid="{00000000-0002-0000-0900-000002000000}">
      <formula1>2</formula1>
      <formula2>99</formula2>
    </dataValidation>
    <dataValidation allowBlank="1" showInputMessage="1" showErrorMessage="1" error="La amortización acumulada debe ser mayor que 0 y MENOR que la inversión total" sqref="G7:H9 G52:H53 H71:H74 H65:H69 G65:G68 G13:H14 G45:H48 G72:G75 G39:H40 G33:H34 G28:H29 G22:H23 G57:H61" xr:uid="{00000000-0002-0000-0900-000003000000}"/>
    <dataValidation type="list" allowBlank="1" showInputMessage="1" showErrorMessage="1" sqref="A28" xr:uid="{00000000-0002-0000-0900-000004000000}">
      <formula1>"Herramientas de mano,Menaje"</formula1>
    </dataValidation>
  </dataValidations>
  <printOptions horizontalCentered="1"/>
  <pageMargins left="0.78740157480314965" right="0.78740157480314965" top="0.51181102362204722" bottom="0.51181102362204722" header="0" footer="0"/>
  <pageSetup paperSize="9" scale="56"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3">
    <tabColor rgb="FFA8DDD6"/>
    <pageSetUpPr fitToPage="1"/>
  </sheetPr>
  <dimension ref="A1:G42"/>
  <sheetViews>
    <sheetView showGridLines="0" workbookViewId="0">
      <selection sqref="A1:E1"/>
    </sheetView>
  </sheetViews>
  <sheetFormatPr baseColWidth="10" defaultRowHeight="17.25" x14ac:dyDescent="0.3"/>
  <cols>
    <col min="1" max="1" width="38.5" style="395" customWidth="1"/>
    <col min="2" max="2" width="14.125" style="394" customWidth="1"/>
    <col min="3" max="4" width="12.25" style="394" customWidth="1"/>
    <col min="5" max="5" width="11" style="307"/>
    <col min="6" max="6" width="21.875" style="307" bestFit="1" customWidth="1"/>
    <col min="7" max="16384" width="11" style="307"/>
  </cols>
  <sheetData>
    <row r="1" spans="1:7" ht="30" customHeight="1" x14ac:dyDescent="0.3">
      <c r="A1" s="2507" t="s">
        <v>1079</v>
      </c>
      <c r="B1" s="2508"/>
      <c r="C1" s="2508"/>
      <c r="D1" s="2508"/>
      <c r="E1" s="2506"/>
      <c r="F1" s="2"/>
      <c r="G1" s="1075"/>
    </row>
    <row r="2" spans="1:7" ht="27.75" x14ac:dyDescent="0.45">
      <c r="A2" s="1938">
        <f>'Datos Básicos'!B8</f>
        <v>0</v>
      </c>
      <c r="B2" s="1230"/>
      <c r="C2" s="1230"/>
      <c r="D2" s="1230"/>
      <c r="E2" s="2253"/>
      <c r="F2" s="2"/>
      <c r="G2" s="299"/>
    </row>
    <row r="3" spans="1:7" ht="27.75" x14ac:dyDescent="0.45">
      <c r="A3" s="1938"/>
      <c r="B3" s="1230"/>
      <c r="C3" s="1230"/>
      <c r="D3" s="1230"/>
      <c r="E3" s="299"/>
      <c r="F3" s="2"/>
      <c r="G3" s="299"/>
    </row>
    <row r="4" spans="1:7" ht="27.75" x14ac:dyDescent="0.45">
      <c r="A4" s="1938"/>
      <c r="B4" s="1230"/>
      <c r="C4" s="1230"/>
      <c r="D4" s="1230"/>
      <c r="E4" s="299"/>
      <c r="F4" s="2"/>
      <c r="G4" s="299"/>
    </row>
    <row r="5" spans="1:7" ht="28.5" thickBot="1" x14ac:dyDescent="0.5">
      <c r="A5" s="1938"/>
      <c r="B5" s="1230"/>
      <c r="C5" s="1230"/>
      <c r="D5" s="1230"/>
      <c r="E5" s="299"/>
      <c r="F5" s="2"/>
      <c r="G5" s="299"/>
    </row>
    <row r="6" spans="1:7" s="397" customFormat="1" ht="34.5" customHeight="1" x14ac:dyDescent="0.3">
      <c r="A6" s="1952"/>
      <c r="B6" s="1953" t="s">
        <v>978</v>
      </c>
      <c r="C6" s="395"/>
      <c r="D6" s="395"/>
      <c r="E6" s="367"/>
      <c r="F6" s="2"/>
      <c r="G6" s="367"/>
    </row>
    <row r="7" spans="1:7" s="397" customFormat="1" x14ac:dyDescent="0.3">
      <c r="A7" s="1954" t="s">
        <v>269</v>
      </c>
      <c r="B7" s="1955">
        <f>B8</f>
        <v>0</v>
      </c>
      <c r="C7" s="394"/>
      <c r="D7" s="394"/>
      <c r="E7" s="299"/>
      <c r="F7" s="1183"/>
      <c r="G7" s="299"/>
    </row>
    <row r="8" spans="1:7" s="303" customFormat="1" ht="18" customHeight="1" thickBot="1" x14ac:dyDescent="0.35">
      <c r="A8" s="1956" t="s">
        <v>270</v>
      </c>
      <c r="B8" s="1957">
        <v>0</v>
      </c>
      <c r="C8" s="394"/>
      <c r="D8" s="394"/>
      <c r="E8" s="299"/>
      <c r="F8" s="2"/>
      <c r="G8" s="299"/>
    </row>
    <row r="9" spans="1:7" s="303" customFormat="1" ht="18" customHeight="1" thickBot="1" x14ac:dyDescent="0.35">
      <c r="A9" s="1939"/>
      <c r="B9" s="1079"/>
      <c r="C9" s="1267"/>
      <c r="D9" s="394"/>
    </row>
    <row r="10" spans="1:7" ht="18" customHeight="1" x14ac:dyDescent="0.3">
      <c r="A10" s="1941" t="s">
        <v>931</v>
      </c>
      <c r="B10" s="1942">
        <f>SUM(B11:B14)</f>
        <v>0</v>
      </c>
      <c r="C10" s="1943" t="s">
        <v>949</v>
      </c>
      <c r="D10" s="1944" t="s">
        <v>3</v>
      </c>
    </row>
    <row r="11" spans="1:7" ht="18" customHeight="1" x14ac:dyDescent="0.3">
      <c r="A11" s="1945" t="s">
        <v>203</v>
      </c>
      <c r="B11" s="1946">
        <v>0</v>
      </c>
      <c r="C11" s="1947">
        <v>0.21</v>
      </c>
      <c r="D11" s="1948">
        <v>0</v>
      </c>
    </row>
    <row r="12" spans="1:7" ht="18" customHeight="1" x14ac:dyDescent="0.3">
      <c r="A12" s="1945" t="s">
        <v>204</v>
      </c>
      <c r="B12" s="1946">
        <v>0</v>
      </c>
      <c r="C12" s="1947">
        <v>0</v>
      </c>
      <c r="D12" s="1948">
        <v>0</v>
      </c>
    </row>
    <row r="13" spans="1:7" ht="18" customHeight="1" x14ac:dyDescent="0.3">
      <c r="A13" s="1945" t="s">
        <v>205</v>
      </c>
      <c r="B13" s="2393">
        <v>0</v>
      </c>
      <c r="C13" s="1947">
        <v>0</v>
      </c>
      <c r="D13" s="1948">
        <v>0</v>
      </c>
    </row>
    <row r="14" spans="1:7" ht="18" customHeight="1" thickBot="1" x14ac:dyDescent="0.35">
      <c r="A14" s="1949" t="s">
        <v>1063</v>
      </c>
      <c r="B14" s="2394">
        <v>0</v>
      </c>
      <c r="C14" s="1950"/>
      <c r="D14" s="1951"/>
    </row>
    <row r="15" spans="1:7" ht="18" customHeight="1" thickBot="1" x14ac:dyDescent="0.35">
      <c r="A15" s="307"/>
      <c r="B15" s="398"/>
    </row>
    <row r="16" spans="1:7" ht="18" customHeight="1" x14ac:dyDescent="0.3">
      <c r="A16" s="1941" t="s">
        <v>853</v>
      </c>
      <c r="B16" s="1958">
        <f>SUM(B17:B19)</f>
        <v>0</v>
      </c>
    </row>
    <row r="17" spans="1:4" ht="18" customHeight="1" x14ac:dyDescent="0.3">
      <c r="A17" s="1959" t="s">
        <v>996</v>
      </c>
      <c r="B17" s="1960">
        <f>+'Inv. Iniciales ANC'!G10+'Inv. Iniciales ANC'!G19+'Inv. Iniciales ANC'!G25+'Inv. Iniciales ANC'!G30+'Inv. Iniciales ANC'!G36+'Inv. Iniciales ANC'!G42+'Inv. Iniciales ANC'!G49+'Inv. Iniciales ANC'!G54+'Inv. Iniciales ANC'!G62+'Inv. Iniciales ANC'!G76+'Inv. Iniciales ANC'!G69
+SUMPRODUCT(B11:B13,C11:C13)-SUMPRODUCT(B11:B13,D11:D13)
-Parametros!$F$33*SUM('Financiación Inicial'!F15:G15)</f>
        <v>0</v>
      </c>
    </row>
    <row r="18" spans="1:4" ht="18" customHeight="1" x14ac:dyDescent="0.3">
      <c r="A18" s="1959" t="s">
        <v>1217</v>
      </c>
      <c r="B18" s="2395">
        <v>0</v>
      </c>
    </row>
    <row r="19" spans="1:4" s="303" customFormat="1" ht="18" customHeight="1" thickBot="1" x14ac:dyDescent="0.35">
      <c r="A19" s="1949" t="s">
        <v>781</v>
      </c>
      <c r="B19" s="2396">
        <v>0</v>
      </c>
      <c r="C19" s="394"/>
      <c r="D19" s="394"/>
    </row>
    <row r="20" spans="1:4" ht="18" customHeight="1" thickBot="1" x14ac:dyDescent="0.35">
      <c r="A20" s="307"/>
      <c r="B20" s="398"/>
    </row>
    <row r="21" spans="1:4" ht="18" customHeight="1" thickBot="1" x14ac:dyDescent="0.35">
      <c r="A21" s="1940" t="s">
        <v>932</v>
      </c>
      <c r="B21" s="1266">
        <f>'Financiación Inicial'!B30
-Amortizaciones!B21+Amortizaciones!C21
-'Inv. Iniciales ANC'!B81
-B7-B10-B16</f>
        <v>0</v>
      </c>
    </row>
    <row r="22" spans="1:4" ht="18" customHeight="1" thickBot="1" x14ac:dyDescent="0.35">
      <c r="A22" s="669"/>
      <c r="B22" s="307"/>
    </row>
    <row r="23" spans="1:4" ht="18" customHeight="1" thickBot="1" x14ac:dyDescent="0.35">
      <c r="A23" s="2096" t="s">
        <v>1115</v>
      </c>
      <c r="B23" s="2097">
        <f>B7+B10+B16+B21</f>
        <v>0</v>
      </c>
      <c r="C23" s="395"/>
      <c r="D23" s="395"/>
    </row>
    <row r="24" spans="1:4" s="303" customFormat="1" ht="18" customHeight="1" x14ac:dyDescent="0.3"/>
    <row r="25" spans="1:4" ht="18" customHeight="1" x14ac:dyDescent="0.3">
      <c r="A25" s="205" t="str">
        <f>IF(B25&lt;&gt;"","Incrementar financiación inicial","")</f>
        <v>Incrementar financiación inicial</v>
      </c>
      <c r="B25" s="206" t="str">
        <f>IF(B21-tesoreriasec&lt;-0.5,TEXT(tesoreriasec-B21,"#.##0 ")&amp;"€ de déficit de Financiación","")</f>
        <v>2.000 € de déficit de Financiación</v>
      </c>
    </row>
    <row r="26" spans="1:4" ht="18" customHeight="1" x14ac:dyDescent="0.3">
      <c r="B26" s="394" t="str">
        <f>IF(B25&lt;&gt;"","Tesorería de seguridad: "&amp;TEXT(tesoreriasec,"#.##0 €")&amp;" mínimo.","")</f>
        <v>Tesorería de seguridad: 2.000 € mínimo.</v>
      </c>
    </row>
    <row r="27" spans="1:4" x14ac:dyDescent="0.3">
      <c r="D27" s="307"/>
    </row>
    <row r="28" spans="1:4" x14ac:dyDescent="0.3">
      <c r="C28" s="307"/>
      <c r="D28" s="307"/>
    </row>
    <row r="29" spans="1:4" x14ac:dyDescent="0.3">
      <c r="C29" s="307"/>
      <c r="D29" s="307"/>
    </row>
    <row r="30" spans="1:4" x14ac:dyDescent="0.3">
      <c r="C30" s="307"/>
      <c r="D30" s="307"/>
    </row>
    <row r="31" spans="1:4" x14ac:dyDescent="0.3">
      <c r="C31" s="307"/>
      <c r="D31" s="307"/>
    </row>
    <row r="32" spans="1:4" x14ac:dyDescent="0.3">
      <c r="A32" s="394"/>
      <c r="C32" s="307"/>
      <c r="D32" s="307"/>
    </row>
    <row r="33" spans="1:4" x14ac:dyDescent="0.3">
      <c r="A33" s="394"/>
      <c r="C33" s="307"/>
      <c r="D33" s="307"/>
    </row>
    <row r="34" spans="1:4" x14ac:dyDescent="0.3">
      <c r="A34" s="394"/>
      <c r="C34" s="307"/>
      <c r="D34" s="307"/>
    </row>
    <row r="35" spans="1:4" x14ac:dyDescent="0.3">
      <c r="A35" s="394"/>
      <c r="C35" s="307"/>
      <c r="D35" s="307"/>
    </row>
    <row r="36" spans="1:4" x14ac:dyDescent="0.3">
      <c r="A36" s="394"/>
      <c r="C36" s="307"/>
      <c r="D36" s="307"/>
    </row>
    <row r="37" spans="1:4" x14ac:dyDescent="0.3">
      <c r="A37" s="394"/>
      <c r="C37" s="307"/>
      <c r="D37" s="307"/>
    </row>
    <row r="38" spans="1:4" x14ac:dyDescent="0.3">
      <c r="A38" s="394"/>
      <c r="C38" s="307"/>
      <c r="D38" s="307"/>
    </row>
    <row r="39" spans="1:4" x14ac:dyDescent="0.3">
      <c r="A39" s="394"/>
      <c r="C39" s="307"/>
      <c r="D39" s="307"/>
    </row>
    <row r="40" spans="1:4" x14ac:dyDescent="0.3">
      <c r="A40" s="394"/>
      <c r="C40" s="307"/>
      <c r="D40" s="307"/>
    </row>
    <row r="41" spans="1:4" x14ac:dyDescent="0.3">
      <c r="A41" s="394"/>
      <c r="C41" s="307"/>
      <c r="D41" s="307"/>
    </row>
    <row r="42" spans="1:4" x14ac:dyDescent="0.3">
      <c r="A42" s="394"/>
      <c r="C42" s="307"/>
      <c r="D42" s="307"/>
    </row>
  </sheetData>
  <sheetProtection sheet="1" objects="1" scenarios="1" formatCells="0" formatColumns="0"/>
  <mergeCells count="1">
    <mergeCell ref="A1:E1"/>
  </mergeCells>
  <phoneticPr fontId="13" type="noConversion"/>
  <dataValidations xWindow="394" yWindow="538" count="1">
    <dataValidation type="list" allowBlank="1" showInputMessage="1" showErrorMessage="1" sqref="C11:C13" xr:uid="{00000000-0002-0000-0A00-000000000000}">
      <formula1>"21%,10%,4%,0%"</formula1>
    </dataValidation>
  </dataValidations>
  <printOptions horizontalCentered="1"/>
  <pageMargins left="0.78740157480314965" right="0.39370078740157483" top="0.74" bottom="0.47244094488188981" header="0.27559055118110237" footer="0.31496062992125984"/>
  <pageSetup paperSize="9" orientation="landscape" horizontalDpi="300" verticalDpi="300" r:id="rId1"/>
  <headerFooter alignWithMargins="0">
    <oddFooter>&amp;A</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4">
    <tabColor rgb="FFA8DDD6"/>
    <pageSetUpPr fitToPage="1"/>
  </sheetPr>
  <dimension ref="A1:J59"/>
  <sheetViews>
    <sheetView showGridLines="0" workbookViewId="0">
      <selection activeCell="F9" sqref="F9"/>
    </sheetView>
  </sheetViews>
  <sheetFormatPr baseColWidth="10" defaultRowHeight="17.25" x14ac:dyDescent="0.3"/>
  <cols>
    <col min="1" max="1" width="50" style="307" bestFit="1" customWidth="1"/>
    <col min="2" max="2" width="21.25" style="398" customWidth="1"/>
    <col min="3" max="3" width="19.625" style="307" customWidth="1"/>
    <col min="4" max="4" width="13.625" style="307" customWidth="1"/>
    <col min="5" max="5" width="25" style="307" customWidth="1"/>
    <col min="6" max="7" width="18.25" style="307" customWidth="1"/>
    <col min="8" max="8" width="17.625" style="307" customWidth="1"/>
    <col min="9" max="9" width="21.75" style="307" bestFit="1" customWidth="1"/>
    <col min="10" max="16384" width="11" style="307"/>
  </cols>
  <sheetData>
    <row r="1" spans="1:10" ht="30" customHeight="1" thickBot="1" x14ac:dyDescent="0.5">
      <c r="A1" s="2509" t="s">
        <v>1129</v>
      </c>
      <c r="B1" s="2510"/>
      <c r="C1" s="2510"/>
      <c r="D1" s="2511"/>
      <c r="E1" s="2511"/>
      <c r="F1" s="2511"/>
      <c r="G1" s="2511"/>
      <c r="H1" s="2252"/>
      <c r="I1" s="2"/>
      <c r="J1" s="365"/>
    </row>
    <row r="2" spans="1:10" ht="28.5" thickBot="1" x14ac:dyDescent="0.5">
      <c r="A2" s="365">
        <f>'Datos Básicos'!B8</f>
        <v>0</v>
      </c>
      <c r="E2" s="1963" t="s">
        <v>1235</v>
      </c>
      <c r="F2" s="2418">
        <f>IF(('Inv. Iniciales ANC'!B10+'Inv. Iniciales ANC'!B19+'Inv. Iniciales ANC'!B25+'Inv. Iniciales ANC'!B30+'Inv. Iniciales ANC'!B36+'Inv. Iniciales ANC'!B42+'Inv. Iniciales ANC'!B49+'Inv. Iniciales ANC'!B54+'Inv. Iniciales ANC'!B62+'Inv. Iniciales ANC'!B69+'Inv. Iniciales ANC'!B76+'Inv. Iniciales ANC'!B81)&gt;0,'Inv. Iniciales ANC'!B10+'Inv. Iniciales ANC'!B19+'Inv. Iniciales ANC'!B25+'Inv. Iniciales ANC'!B30+'Inv. Iniciales ANC'!B36+'Inv. Iniciales ANC'!B42+'Inv. Iniciales ANC'!B49+'Inv. Iniciales ANC'!B54+'Inv. Iniciales ANC'!B62+'Inv. Iniciales ANC'!B69+'Inv. Iniciales ANC'!B76+'Inv. Iniciales ANC'!B81,0)</f>
        <v>0</v>
      </c>
      <c r="H2" s="299"/>
      <c r="I2" s="2"/>
      <c r="J2" s="1075"/>
    </row>
    <row r="3" spans="1:10" ht="28.5" thickBot="1" x14ac:dyDescent="0.5">
      <c r="A3" s="365"/>
      <c r="E3" s="1963" t="s">
        <v>1236</v>
      </c>
      <c r="F3" s="2418">
        <f>'Inversiones AC'!B10</f>
        <v>0</v>
      </c>
      <c r="H3" s="299"/>
      <c r="I3" s="2"/>
      <c r="J3" s="1075"/>
    </row>
    <row r="4" spans="1:10" ht="45" x14ac:dyDescent="0.45">
      <c r="A4" s="365"/>
      <c r="E4" s="1963" t="s">
        <v>1237</v>
      </c>
      <c r="F4" s="2419">
        <f>F2+F3</f>
        <v>0</v>
      </c>
      <c r="H4" s="299"/>
      <c r="I4" s="2"/>
      <c r="J4" s="1075"/>
    </row>
    <row r="5" spans="1:10" ht="28.5" thickBot="1" x14ac:dyDescent="0.5">
      <c r="A5" s="365"/>
      <c r="H5" s="299"/>
      <c r="I5" s="1183"/>
      <c r="J5" s="299"/>
    </row>
    <row r="6" spans="1:10" ht="22.5" x14ac:dyDescent="0.3">
      <c r="A6" s="1963" t="s">
        <v>466</v>
      </c>
      <c r="B6" s="1961" t="s">
        <v>152</v>
      </c>
      <c r="C6" s="1962" t="s">
        <v>886</v>
      </c>
      <c r="E6" s="1963" t="s">
        <v>467</v>
      </c>
      <c r="F6" s="1961" t="s">
        <v>392</v>
      </c>
      <c r="G6" s="1962" t="s">
        <v>1150</v>
      </c>
      <c r="H6" s="367"/>
      <c r="I6" s="2"/>
      <c r="J6" s="367"/>
    </row>
    <row r="7" spans="1:10" s="399" customFormat="1" ht="26.25" customHeight="1" x14ac:dyDescent="0.25">
      <c r="A7" s="1964" t="s">
        <v>774</v>
      </c>
      <c r="B7" s="1965">
        <f>SUM(B8:B14)</f>
        <v>0</v>
      </c>
      <c r="C7" s="1966" t="str">
        <f>IF(B$30=0,"",B7/$B$30)</f>
        <v/>
      </c>
      <c r="E7" s="1286" t="s">
        <v>385</v>
      </c>
      <c r="F7" s="1287">
        <v>0</v>
      </c>
      <c r="G7" s="1288">
        <v>0</v>
      </c>
      <c r="H7" s="299"/>
      <c r="J7" s="299"/>
    </row>
    <row r="8" spans="1:10" s="399" customFormat="1" ht="18.75" customHeight="1" x14ac:dyDescent="0.3">
      <c r="A8" s="1967" t="str">
        <f>'Balances anuales'!A26&amp;" (aportaciones dinerarias)"</f>
        <v>Fondo Social (aportaciones dinerarias)</v>
      </c>
      <c r="B8" s="1968">
        <v>0</v>
      </c>
      <c r="C8" s="1969" t="str">
        <f t="shared" ref="C8:C14" si="0">IF(B$30=0,"",B8/$B$30)</f>
        <v/>
      </c>
      <c r="E8" s="1286" t="s">
        <v>959</v>
      </c>
      <c r="F8" s="1289">
        <v>6.9000000000000006E-2</v>
      </c>
      <c r="G8" s="1290">
        <v>8.2500000000000004E-2</v>
      </c>
      <c r="H8" s="299"/>
      <c r="I8" s="2"/>
      <c r="J8" s="299"/>
    </row>
    <row r="9" spans="1:10" s="399" customFormat="1" ht="18.75" customHeight="1" x14ac:dyDescent="0.25">
      <c r="A9" s="1967" t="str">
        <f>'Balances anuales'!A26&amp;" (aportaciones no dinerarias)"</f>
        <v>Fondo Social (aportaciones no dinerarias)</v>
      </c>
      <c r="B9" s="1970">
        <f>+'Inv. Iniciales ANC'!I10+'Inv. Iniciales ANC'!I19+'Inv. Iniciales ANC'!I25+'Inv. Iniciales ANC'!I30+'Inv. Iniciales ANC'!I36+'Inv. Iniciales ANC'!I42+'Inv. Iniciales ANC'!I49+'Inv. Iniciales ANC'!I54+'Inv. Iniciales ANC'!I62</f>
        <v>0</v>
      </c>
      <c r="C9" s="1969" t="str">
        <f t="shared" si="0"/>
        <v/>
      </c>
      <c r="E9" s="1286" t="s">
        <v>56</v>
      </c>
      <c r="F9" s="1289">
        <v>0</v>
      </c>
      <c r="G9" s="1290">
        <v>1E-4</v>
      </c>
    </row>
    <row r="10" spans="1:10" s="399" customFormat="1" ht="18.75" customHeight="1" x14ac:dyDescent="0.25">
      <c r="A10" s="1967" t="s">
        <v>795</v>
      </c>
      <c r="B10" s="1971">
        <f>-'Inv. Iniciales ANC'!B69</f>
        <v>0</v>
      </c>
      <c r="C10" s="1969" t="str">
        <f t="shared" si="0"/>
        <v/>
      </c>
      <c r="E10" s="1286" t="s">
        <v>1011</v>
      </c>
      <c r="F10" s="1291">
        <v>72</v>
      </c>
      <c r="G10" s="1292">
        <v>60</v>
      </c>
    </row>
    <row r="11" spans="1:10" s="399" customFormat="1" ht="18.75" customHeight="1" x14ac:dyDescent="0.25">
      <c r="A11" s="1967" t="s">
        <v>1067</v>
      </c>
      <c r="B11" s="1972">
        <v>0</v>
      </c>
      <c r="C11" s="1969" t="str">
        <f t="shared" si="0"/>
        <v/>
      </c>
      <c r="E11" s="1286" t="s">
        <v>1010</v>
      </c>
      <c r="F11" s="1291">
        <v>12</v>
      </c>
      <c r="G11" s="1292">
        <v>12</v>
      </c>
    </row>
    <row r="12" spans="1:10" s="399" customFormat="1" ht="18.75" customHeight="1" thickBot="1" x14ac:dyDescent="0.3">
      <c r="A12" s="1967" t="s">
        <v>1068</v>
      </c>
      <c r="B12" s="1973">
        <v>0</v>
      </c>
      <c r="C12" s="1969" t="str">
        <f t="shared" si="0"/>
        <v/>
      </c>
      <c r="E12" s="1293" t="s">
        <v>1013</v>
      </c>
      <c r="F12" s="1294">
        <v>12</v>
      </c>
      <c r="G12" s="1295">
        <v>0</v>
      </c>
    </row>
    <row r="13" spans="1:10" s="399" customFormat="1" ht="18.75" customHeight="1" thickBot="1" x14ac:dyDescent="0.3">
      <c r="A13" s="1967" t="s">
        <v>1048</v>
      </c>
      <c r="B13" s="1974">
        <v>0</v>
      </c>
      <c r="C13" s="1969" t="str">
        <f t="shared" si="0"/>
        <v/>
      </c>
    </row>
    <row r="14" spans="1:10" s="399" customFormat="1" ht="18.75" customHeight="1" x14ac:dyDescent="0.25">
      <c r="A14" s="1967" t="s">
        <v>856</v>
      </c>
      <c r="B14" s="1970">
        <f>F34</f>
        <v>0</v>
      </c>
      <c r="C14" s="1969" t="str">
        <f t="shared" si="0"/>
        <v/>
      </c>
      <c r="E14" s="1963" t="s">
        <v>810</v>
      </c>
      <c r="F14" s="1961" t="s">
        <v>804</v>
      </c>
      <c r="G14" s="1962" t="s">
        <v>805</v>
      </c>
    </row>
    <row r="15" spans="1:10" s="399" customFormat="1" ht="27" customHeight="1" x14ac:dyDescent="0.25">
      <c r="A15" s="1975"/>
      <c r="B15" s="1970"/>
      <c r="C15" s="1976"/>
      <c r="E15" s="1984" t="s">
        <v>385</v>
      </c>
      <c r="F15" s="1985">
        <v>0</v>
      </c>
      <c r="G15" s="1986">
        <v>0</v>
      </c>
      <c r="H15" s="1023" t="str">
        <f>IF(SUM(F15:G15)&gt;'Balances anuales'!B7,"ERROR: Los arrendamientos Financieros superan a la Inversión en Activos No Corrientes (ANC)","")</f>
        <v/>
      </c>
    </row>
    <row r="16" spans="1:10" s="400" customFormat="1" ht="24.75" customHeight="1" x14ac:dyDescent="0.25">
      <c r="A16" s="1977" t="s">
        <v>775</v>
      </c>
      <c r="B16" s="1978">
        <f>B17+B22</f>
        <v>0</v>
      </c>
      <c r="C16" s="1979" t="str">
        <f>IF(B$30=0,"",B16/$B$30)</f>
        <v/>
      </c>
      <c r="E16" s="1984" t="s">
        <v>809</v>
      </c>
      <c r="F16" s="1985">
        <v>0</v>
      </c>
      <c r="G16" s="1986">
        <v>0</v>
      </c>
      <c r="H16" s="1023" t="str">
        <f>IF(OR(F16&gt;F15/2,G16&gt;G15/2),"ERROR: Los valores residuales no pueden superar el 50% del nominal","")</f>
        <v/>
      </c>
    </row>
    <row r="17" spans="1:8" s="399" customFormat="1" ht="21.75" customHeight="1" x14ac:dyDescent="0.25">
      <c r="A17" s="1980" t="s">
        <v>885</v>
      </c>
      <c r="B17" s="1978">
        <f>SUM(B18:B20)</f>
        <v>0</v>
      </c>
      <c r="C17" s="1979" t="str">
        <f>IF(B$30=0,"",B17/$B$30)</f>
        <v/>
      </c>
      <c r="E17" s="1984" t="s">
        <v>959</v>
      </c>
      <c r="F17" s="1987">
        <v>5.5E-2</v>
      </c>
      <c r="G17" s="1988">
        <v>7.0000000000000007E-2</v>
      </c>
    </row>
    <row r="18" spans="1:8" s="399" customFormat="1" ht="18" customHeight="1" x14ac:dyDescent="0.25">
      <c r="A18" s="1967" t="s">
        <v>830</v>
      </c>
      <c r="B18" s="1970">
        <f>F7+G7-B23</f>
        <v>0</v>
      </c>
      <c r="C18" s="1969" t="str">
        <f>IF(B$30=0,"",B18/$B$30)</f>
        <v/>
      </c>
      <c r="E18" s="1984" t="s">
        <v>56</v>
      </c>
      <c r="F18" s="1987">
        <v>0</v>
      </c>
      <c r="G18" s="1988">
        <v>0</v>
      </c>
    </row>
    <row r="19" spans="1:8" s="399" customFormat="1" ht="18" customHeight="1" x14ac:dyDescent="0.25">
      <c r="A19" s="1967" t="s">
        <v>829</v>
      </c>
      <c r="B19" s="1970">
        <f>+F15-F16+G15-G16-B24</f>
        <v>0</v>
      </c>
      <c r="C19" s="1969" t="str">
        <f>IF(B$30=0,"",B19/$B$30)</f>
        <v/>
      </c>
      <c r="E19" s="1984" t="s">
        <v>1011</v>
      </c>
      <c r="F19" s="1989">
        <v>36</v>
      </c>
      <c r="G19" s="1990">
        <v>60</v>
      </c>
    </row>
    <row r="20" spans="1:8" s="399" customFormat="1" ht="18" customHeight="1" x14ac:dyDescent="0.25">
      <c r="A20" s="1967" t="s">
        <v>883</v>
      </c>
      <c r="B20" s="1981">
        <v>0</v>
      </c>
      <c r="C20" s="1969" t="str">
        <f>IF(B$30=0,"",B20/$B$30)</f>
        <v/>
      </c>
      <c r="E20" s="1984" t="s">
        <v>1010</v>
      </c>
      <c r="F20" s="1989">
        <v>12</v>
      </c>
      <c r="G20" s="1990">
        <v>12</v>
      </c>
    </row>
    <row r="21" spans="1:8" s="399" customFormat="1" ht="24" customHeight="1" thickBot="1" x14ac:dyDescent="0.3">
      <c r="A21" s="1975"/>
      <c r="B21" s="1970"/>
      <c r="C21" s="1976"/>
      <c r="E21" s="2195" t="s">
        <v>823</v>
      </c>
      <c r="F21" s="2196">
        <f>PMT(F17/F20,F19,-F15)</f>
        <v>0</v>
      </c>
      <c r="G21" s="2197">
        <f>PMT(G17/G20,G19,-G15)</f>
        <v>0</v>
      </c>
    </row>
    <row r="22" spans="1:8" s="399" customFormat="1" ht="21.75" customHeight="1" thickBot="1" x14ac:dyDescent="0.3">
      <c r="A22" s="1980" t="s">
        <v>858</v>
      </c>
      <c r="B22" s="1978">
        <f>SUM(B23:B28)</f>
        <v>0</v>
      </c>
      <c r="C22" s="1979" t="str">
        <f t="shared" ref="C22:C28" si="1">IF(B$30=0,"",B22/$B$30)</f>
        <v/>
      </c>
    </row>
    <row r="23" spans="1:8" s="399" customFormat="1" ht="18" customHeight="1" x14ac:dyDescent="0.25">
      <c r="A23" s="1967" t="s">
        <v>832</v>
      </c>
      <c r="B23" s="1970">
        <f>Préstamos!N20</f>
        <v>0</v>
      </c>
      <c r="C23" s="1969" t="str">
        <f t="shared" si="1"/>
        <v/>
      </c>
      <c r="E23" s="1963" t="s">
        <v>821</v>
      </c>
      <c r="F23" s="1961" t="s">
        <v>816</v>
      </c>
      <c r="G23" s="1962" t="s">
        <v>817</v>
      </c>
    </row>
    <row r="24" spans="1:8" s="399" customFormat="1" ht="18" customHeight="1" x14ac:dyDescent="0.25">
      <c r="A24" s="1967" t="s">
        <v>831</v>
      </c>
      <c r="B24" s="1970">
        <f>+Leasing!N22</f>
        <v>0</v>
      </c>
      <c r="C24" s="1969" t="str">
        <f t="shared" si="1"/>
        <v/>
      </c>
      <c r="E24" s="1991" t="s">
        <v>43</v>
      </c>
      <c r="F24" s="2381">
        <v>0</v>
      </c>
      <c r="G24" s="1992">
        <v>0</v>
      </c>
      <c r="H24" s="1023"/>
    </row>
    <row r="25" spans="1:8" s="399" customFormat="1" ht="18" customHeight="1" x14ac:dyDescent="0.25">
      <c r="A25" s="1967" t="s">
        <v>1064</v>
      </c>
      <c r="B25" s="1982">
        <v>0</v>
      </c>
      <c r="C25" s="1969" t="str">
        <f t="shared" si="1"/>
        <v/>
      </c>
      <c r="E25" s="1993" t="s">
        <v>42</v>
      </c>
      <c r="F25" s="1987">
        <v>0.08</v>
      </c>
      <c r="G25" s="1988">
        <v>0.1</v>
      </c>
    </row>
    <row r="26" spans="1:8" s="399" customFormat="1" ht="18" customHeight="1" x14ac:dyDescent="0.25">
      <c r="A26" s="1967" t="s">
        <v>979</v>
      </c>
      <c r="B26" s="1982">
        <v>0</v>
      </c>
      <c r="C26" s="1969" t="str">
        <f t="shared" si="1"/>
        <v/>
      </c>
      <c r="E26" s="1993" t="s">
        <v>56</v>
      </c>
      <c r="F26" s="1987">
        <v>5.0000000000000001E-3</v>
      </c>
      <c r="G26" s="1988">
        <v>0.01</v>
      </c>
    </row>
    <row r="27" spans="1:8" s="399" customFormat="1" ht="18" customHeight="1" x14ac:dyDescent="0.25">
      <c r="A27" s="1967" t="s">
        <v>1061</v>
      </c>
      <c r="B27" s="1982">
        <v>0</v>
      </c>
      <c r="C27" s="1969" t="str">
        <f t="shared" si="1"/>
        <v/>
      </c>
      <c r="E27" s="1994" t="s">
        <v>44</v>
      </c>
      <c r="F27" s="1995">
        <v>24</v>
      </c>
      <c r="G27" s="1996">
        <v>36</v>
      </c>
    </row>
    <row r="28" spans="1:8" s="399" customFormat="1" ht="18" customHeight="1" x14ac:dyDescent="0.25">
      <c r="A28" s="1967" t="s">
        <v>884</v>
      </c>
      <c r="B28" s="1983">
        <f>'Datos Gastos Fijos'!C30*'Datos Gastos Fijos'!B23</f>
        <v>0</v>
      </c>
      <c r="C28" s="1969" t="str">
        <f t="shared" si="1"/>
        <v/>
      </c>
      <c r="E28" s="1994" t="s">
        <v>1010</v>
      </c>
      <c r="F28" s="1997">
        <v>6</v>
      </c>
      <c r="G28" s="1998">
        <v>12</v>
      </c>
    </row>
    <row r="29" spans="1:8" s="399" customFormat="1" ht="18" customHeight="1" x14ac:dyDescent="0.25">
      <c r="A29" s="1975"/>
      <c r="B29" s="1970"/>
      <c r="C29" s="1976"/>
      <c r="E29" s="1993" t="s">
        <v>824</v>
      </c>
      <c r="F29" s="1999">
        <v>0</v>
      </c>
      <c r="G29" s="2000">
        <v>0</v>
      </c>
      <c r="H29" s="1023" t="str">
        <f>IF(OR(F29&gt;F24/2,G29&gt;G24/2),"ERROR: Los valores residuales no pueden superar el 50% del nominal","")</f>
        <v/>
      </c>
    </row>
    <row r="30" spans="1:8" s="399" customFormat="1" ht="21.75" customHeight="1" thickBot="1" x14ac:dyDescent="0.3">
      <c r="A30" s="2198" t="s">
        <v>890</v>
      </c>
      <c r="B30" s="2199">
        <f>B16+B7</f>
        <v>0</v>
      </c>
      <c r="C30" s="2200" t="str">
        <f>IF(B$30=0,"",B30/$B$30)</f>
        <v/>
      </c>
      <c r="E30" s="2195" t="s">
        <v>823</v>
      </c>
      <c r="F30" s="2196">
        <f>PMT(F25/F28,F27,-F24)</f>
        <v>0</v>
      </c>
      <c r="G30" s="2197">
        <f>PMT(G25/G28,G27,-G24)</f>
        <v>0</v>
      </c>
    </row>
    <row r="31" spans="1:8" s="403" customFormat="1" ht="18" customHeight="1" thickBot="1" x14ac:dyDescent="0.35">
      <c r="A31" s="301"/>
      <c r="B31" s="401"/>
      <c r="C31" s="402"/>
    </row>
    <row r="32" spans="1:8" s="403" customFormat="1" ht="18" customHeight="1" x14ac:dyDescent="0.3">
      <c r="B32" s="1023" t="str">
        <f>IF('Inversiones AC'!B21-tesoreriasec&lt;-0.5,TEXT(tesoreriasec-'Inversiones AC'!B21,"#.##0")&amp;" de déficit de Financiación","")</f>
        <v>2.000 de déficit de Financiación</v>
      </c>
      <c r="E32" s="1296" t="str">
        <f>CONCATENATE("Incentivo: ",Incentivos!C7)</f>
        <v>Incentivo: Fomento del Empleo Asociado</v>
      </c>
      <c r="F32" s="1297"/>
      <c r="G32" s="1298"/>
    </row>
    <row r="33" spans="2:7" ht="18" customHeight="1" x14ac:dyDescent="0.3">
      <c r="B33" s="1023" t="str">
        <f>IF(B32&lt;&gt;"","Incrementar financiación inicial","")</f>
        <v>Incrementar financiación inicial</v>
      </c>
      <c r="E33" s="1299"/>
      <c r="F33" s="1300"/>
      <c r="G33" s="1301"/>
    </row>
    <row r="34" spans="2:7" ht="18" customHeight="1" x14ac:dyDescent="0.3">
      <c r="B34" s="1032" t="str">
        <f>IF('Balances anuales'!B50="",""," DESCUADRE EN BALANCE INICIAL")</f>
        <v/>
      </c>
      <c r="E34" s="1302" t="s">
        <v>152</v>
      </c>
      <c r="F34" s="1303">
        <f>IF('Datos Básicos'!I13="SI",Incentivos!E84,0)</f>
        <v>0</v>
      </c>
      <c r="G34" s="1304" t="str">
        <f>Parametros!$G$6</f>
        <v>€</v>
      </c>
    </row>
    <row r="35" spans="2:7" ht="18" customHeight="1" thickBot="1" x14ac:dyDescent="0.35">
      <c r="B35" s="1032" t="str">
        <f>IF(B34="","",'Balances anuales'!B23-'Balances anuales'!B46)</f>
        <v/>
      </c>
      <c r="E35" s="1305" t="s">
        <v>153</v>
      </c>
      <c r="F35" s="1306">
        <v>5</v>
      </c>
      <c r="G35" s="1307" t="s">
        <v>128</v>
      </c>
    </row>
    <row r="36" spans="2:7" ht="18" customHeight="1" x14ac:dyDescent="0.3">
      <c r="E36" s="1031" t="s">
        <v>715</v>
      </c>
      <c r="F36" s="1031" t="str">
        <f>'Datos Básicos'!I13</f>
        <v>NO</v>
      </c>
    </row>
    <row r="37" spans="2:7" ht="18" customHeight="1" x14ac:dyDescent="0.3">
      <c r="G37" s="403"/>
    </row>
    <row r="38" spans="2:7" ht="18" customHeight="1" x14ac:dyDescent="0.3"/>
    <row r="39" spans="2:7" ht="18" customHeight="1" x14ac:dyDescent="0.3"/>
    <row r="40" spans="2:7" ht="18" customHeight="1" x14ac:dyDescent="0.3"/>
    <row r="41" spans="2:7" ht="18" customHeight="1" x14ac:dyDescent="0.3"/>
    <row r="42" spans="2:7" ht="18" customHeight="1" x14ac:dyDescent="0.3"/>
    <row r="43" spans="2:7" ht="18" customHeight="1" x14ac:dyDescent="0.3"/>
    <row r="44" spans="2:7" ht="18" customHeight="1" x14ac:dyDescent="0.3"/>
    <row r="45" spans="2:7" ht="18" customHeight="1" x14ac:dyDescent="0.3"/>
    <row r="46" spans="2:7" ht="18" customHeight="1" x14ac:dyDescent="0.3"/>
    <row r="47" spans="2:7" ht="18" customHeight="1" x14ac:dyDescent="0.3"/>
    <row r="48" spans="2:7"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sheetData>
  <sheetProtection sheet="1" objects="1" scenarios="1" formatCells="0" formatColumns="0"/>
  <mergeCells count="1">
    <mergeCell ref="A1:G1"/>
  </mergeCells>
  <phoneticPr fontId="13" type="noConversion"/>
  <conditionalFormatting sqref="E32:G35">
    <cfRule type="expression" dxfId="43" priority="1" stopIfTrue="1">
      <formula>$F$36="NO"</formula>
    </cfRule>
  </conditionalFormatting>
  <dataValidations xWindow="687" yWindow="424" count="11">
    <dataValidation type="whole" allowBlank="1" showInputMessage="1" showErrorMessage="1" sqref="F16:G16" xr:uid="{00000000-0002-0000-0B00-000000000000}">
      <formula1>0</formula1>
      <formula2>F15/2</formula2>
    </dataValidation>
    <dataValidation type="whole" allowBlank="1" showInputMessage="1" showErrorMessage="1" prompt="Los activos objeto de arrendamiento financiero NO pertenecen a la empresa y por tanto NO aparecerán en el balance, y por eso las cantidades incrementadas en arrendamientos financieros no se detraerán de los déficits de financiación." sqref="F29:G29" xr:uid="{00000000-0002-0000-0B00-000001000000}">
      <formula1>0</formula1>
      <formula2>F24/2</formula2>
    </dataValidation>
    <dataValidation type="list" allowBlank="1" showInputMessage="1" showErrorMessage="1" prompt="  1 = 1 solo pago anual_x000a_  2 = pagos semestrales_x000a_  3 = pagos cuatrimestrales_x000a_  4 = pagos trimestrales_x000a_  6 = pagos bimensuales_x000a_12 = pagos mensuales" sqref="F28:G28 F20:G20 F11:G11" xr:uid="{00000000-0002-0000-0B00-000002000000}">
      <formula1>"1,2,3,4,6,12"</formula1>
    </dataValidation>
    <dataValidation type="whole" allowBlank="1" showInputMessage="1" showErrorMessage="1" sqref="F27:G27 F19:G19 F10:G10" xr:uid="{00000000-0002-0000-0B00-000003000000}">
      <formula1>0</formula1>
      <formula2>400</formula2>
    </dataValidation>
    <dataValidation type="decimal" allowBlank="1" showInputMessage="1" showErrorMessage="1" sqref="F26:G26 F18:G18 F9:G9" xr:uid="{00000000-0002-0000-0B00-000004000000}">
      <formula1>0</formula1>
      <formula2>0.05</formula2>
    </dataValidation>
    <dataValidation type="whole" allowBlank="1" showInputMessage="1" showErrorMessage="1" sqref="F35" xr:uid="{00000000-0002-0000-0B00-000005000000}">
      <formula1>3</formula1>
      <formula2>20</formula2>
    </dataValidation>
    <dataValidation type="whole" allowBlank="1" showInputMessage="1" showErrorMessage="1" sqref="F12:G12" xr:uid="{00000000-0002-0000-0B00-000006000000}">
      <formula1>0</formula1>
      <formula2>plazo/npagos*12</formula2>
    </dataValidation>
    <dataValidation allowBlank="1" showInputMessage="1" showErrorMessage="1" prompt="Tipo nominal anual" sqref="F17:G17 F8:G8" xr:uid="{00000000-0002-0000-0B00-000007000000}"/>
    <dataValidation type="whole" operator="greaterThanOrEqual" allowBlank="1" showInputMessage="1" showErrorMessage="1" sqref="B11" xr:uid="{00000000-0002-0000-0B00-000008000000}">
      <formula1>0</formula1>
    </dataValidation>
    <dataValidation type="whole" operator="lessThanOrEqual" allowBlank="1" showInputMessage="1" showErrorMessage="1" sqref="B12" xr:uid="{00000000-0002-0000-0B00-000009000000}">
      <formula1>0</formula1>
    </dataValidation>
    <dataValidation type="decimal" operator="greaterThanOrEqual" allowBlank="1" showInputMessage="1" showErrorMessage="1" prompt="Los activos objeto de arrendamiento financiero NO pertenecen a la empresa y por tanto NO aparecerán en el balance, y por eso las cantidades incrementadas en arrendamientos financieros no se detraerán de los déficits de financiación." sqref="F15:G15 F7:G7 F24:G24" xr:uid="{00000000-0002-0000-0B00-00000A000000}">
      <formula1>0</formula1>
    </dataValidation>
  </dataValidations>
  <printOptions horizontalCentered="1"/>
  <pageMargins left="0.78740157480314965" right="0.78740157480314965" top="0.85" bottom="0.74" header="0.37" footer="0.51181102362204722"/>
  <pageSetup paperSize="9" scale="66" orientation="landscape" horizontalDpi="4294967292" verticalDpi="300" r:id="rId1"/>
  <headerFooter alignWithMargins="0">
    <oddFooter>&amp;A</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64">
    <tabColor rgb="FFFFB81F"/>
    <pageSetUpPr fitToPage="1"/>
  </sheetPr>
  <dimension ref="A1:J91"/>
  <sheetViews>
    <sheetView showGridLines="0" workbookViewId="0">
      <selection sqref="A1:F1"/>
    </sheetView>
  </sheetViews>
  <sheetFormatPr baseColWidth="10" defaultRowHeight="17.25" x14ac:dyDescent="0.3"/>
  <cols>
    <col min="1" max="1" width="49.75" style="307" customWidth="1"/>
    <col min="2" max="2" width="10.375" style="307" customWidth="1"/>
    <col min="3" max="3" width="11.75" style="307" bestFit="1" customWidth="1"/>
    <col min="4" max="4" width="12.125" style="307" customWidth="1"/>
    <col min="5" max="5" width="12.5" style="307" customWidth="1"/>
    <col min="6" max="6" width="7.875" style="307" customWidth="1"/>
    <col min="7" max="7" width="23.75" style="307" bestFit="1" customWidth="1"/>
    <col min="8" max="16384" width="11" style="307"/>
  </cols>
  <sheetData>
    <row r="1" spans="1:10" ht="24.75" x14ac:dyDescent="0.4">
      <c r="A1" s="2518" t="s">
        <v>698</v>
      </c>
      <c r="B1" s="2506"/>
      <c r="C1" s="2506"/>
      <c r="D1" s="2506"/>
      <c r="E1" s="2506"/>
      <c r="F1" s="2506"/>
    </row>
    <row r="2" spans="1:10" ht="24.75" x14ac:dyDescent="0.4">
      <c r="A2" s="385">
        <f>'Datos Básicos'!B8</f>
        <v>0</v>
      </c>
      <c r="B2"/>
      <c r="C2"/>
      <c r="D2"/>
      <c r="E2"/>
      <c r="F2"/>
    </row>
    <row r="3" spans="1:10" ht="24.75" x14ac:dyDescent="0.4">
      <c r="A3" s="2256"/>
      <c r="B3"/>
      <c r="C3"/>
      <c r="D3"/>
      <c r="E3"/>
      <c r="F3"/>
    </row>
    <row r="5" spans="1:10" ht="20.25" thickBot="1" x14ac:dyDescent="0.35">
      <c r="G5" s="1189"/>
      <c r="H5" s="1075"/>
      <c r="I5" s="1075"/>
    </row>
    <row r="6" spans="1:10" ht="18.75" thickTop="1" thickBot="1" x14ac:dyDescent="0.35">
      <c r="C6" s="2515" t="s">
        <v>755</v>
      </c>
      <c r="D6" s="2516"/>
      <c r="E6" s="2517"/>
      <c r="F6" s="386"/>
    </row>
    <row r="7" spans="1:10" ht="18.75" thickTop="1" thickBot="1" x14ac:dyDescent="0.35">
      <c r="C7" s="2512" t="s">
        <v>753</v>
      </c>
      <c r="D7" s="2513"/>
      <c r="E7" s="2514"/>
      <c r="F7" s="386"/>
    </row>
    <row r="8" spans="1:10" ht="18" thickTop="1" x14ac:dyDescent="0.3">
      <c r="F8" s="386"/>
    </row>
    <row r="9" spans="1:10" ht="18" thickBot="1" x14ac:dyDescent="0.35">
      <c r="F9" s="386"/>
    </row>
    <row r="10" spans="1:10" ht="26.25" thickTop="1" x14ac:dyDescent="0.3">
      <c r="A10" s="1348" t="s">
        <v>788</v>
      </c>
      <c r="B10" s="1349" t="s">
        <v>699</v>
      </c>
      <c r="C10" s="1349" t="s">
        <v>701</v>
      </c>
      <c r="D10" s="1349" t="s">
        <v>702</v>
      </c>
      <c r="E10" s="1350" t="s">
        <v>703</v>
      </c>
      <c r="F10" s="386"/>
    </row>
    <row r="11" spans="1:10" x14ac:dyDescent="0.3">
      <c r="A11" s="1351" t="str">
        <f>'Inv. Iniciales ANC'!A7</f>
        <v>Terrenos y solares</v>
      </c>
      <c r="B11" s="1345">
        <v>0</v>
      </c>
      <c r="C11" s="1354" t="e">
        <f>IF(B11/SUM(B11,C12,C13,C23,C29,C34,C40,C46,C53,C58,C66,C73,C80)&lt;10%,B11,SUM(C12,C13,C23,C29,C34,C40,C46,C53,C58,C66,C73,C80)*10%/(1-10%))</f>
        <v>#DIV/0!</v>
      </c>
      <c r="D11" s="1347">
        <v>0.8</v>
      </c>
      <c r="E11" s="1355" t="e">
        <f>C11*D11</f>
        <v>#DIV/0!</v>
      </c>
      <c r="F11" s="386"/>
      <c r="G11" s="404" t="s">
        <v>796</v>
      </c>
      <c r="J11" s="405" t="s">
        <v>491</v>
      </c>
    </row>
    <row r="12" spans="1:10" x14ac:dyDescent="0.3">
      <c r="A12" s="1352" t="str">
        <f>'Inv. Iniciales ANC'!A8</f>
        <v>Total valor obra construida</v>
      </c>
      <c r="B12" s="1345">
        <f>'Inv. Iniciales ANC'!B8</f>
        <v>0</v>
      </c>
      <c r="C12" s="1354">
        <f>B12</f>
        <v>0</v>
      </c>
      <c r="D12" s="1347">
        <v>0.8</v>
      </c>
      <c r="E12" s="1355">
        <f>C12*D12</f>
        <v>0</v>
      </c>
      <c r="F12" s="388"/>
      <c r="J12" s="405" t="s">
        <v>752</v>
      </c>
    </row>
    <row r="13" spans="1:10" x14ac:dyDescent="0.3">
      <c r="A13" s="1352" t="str">
        <f>'Inv. Iniciales ANC'!A9</f>
        <v>Obras de Reforma / Adecuación local</v>
      </c>
      <c r="B13" s="1345">
        <f>'Inv. Iniciales ANC'!B9</f>
        <v>0</v>
      </c>
      <c r="C13" s="1354">
        <f>B13</f>
        <v>0</v>
      </c>
      <c r="D13" s="1347">
        <v>0.8</v>
      </c>
      <c r="E13" s="1355">
        <f>C13*D13</f>
        <v>0</v>
      </c>
      <c r="F13" s="388"/>
      <c r="J13" s="405" t="s">
        <v>753</v>
      </c>
    </row>
    <row r="14" spans="1:10" ht="18" thickBot="1" x14ac:dyDescent="0.35">
      <c r="A14" s="2201" t="s">
        <v>705</v>
      </c>
      <c r="B14" s="2202">
        <f>SUM(B12:B13)</f>
        <v>0</v>
      </c>
      <c r="C14" s="2203" t="e">
        <f>SUM(C11:C13)</f>
        <v>#DIV/0!</v>
      </c>
      <c r="D14" s="2204">
        <f>IF($B14=0,AVERAGE(D10:D13),SUMPRODUCT($B10:$B13,D10:D13)/$B14)</f>
        <v>0.80000000000000016</v>
      </c>
      <c r="E14" s="2205" t="e">
        <f>SUM(E11:E13)</f>
        <v>#DIV/0!</v>
      </c>
      <c r="F14" s="389"/>
      <c r="J14" s="405" t="s">
        <v>754</v>
      </c>
    </row>
    <row r="15" spans="1:10" ht="18.75" thickTop="1" thickBot="1" x14ac:dyDescent="0.35">
      <c r="A15" s="477"/>
      <c r="B15" s="386"/>
      <c r="C15" s="391"/>
      <c r="D15" s="391"/>
      <c r="E15" s="391"/>
      <c r="F15" s="386"/>
      <c r="J15" s="404"/>
    </row>
    <row r="16" spans="1:10" ht="18" thickTop="1" x14ac:dyDescent="0.3">
      <c r="A16" s="1348" t="s">
        <v>273</v>
      </c>
      <c r="B16" s="1349" t="s">
        <v>974</v>
      </c>
      <c r="C16" s="1349" t="s">
        <v>704</v>
      </c>
      <c r="D16" s="1349" t="str">
        <f>D10</f>
        <v>% incentivable</v>
      </c>
      <c r="E16" s="1350" t="str">
        <f>E10</f>
        <v>Incentivo</v>
      </c>
      <c r="F16" s="386"/>
    </row>
    <row r="17" spans="1:7" x14ac:dyDescent="0.3">
      <c r="A17" s="1352" t="str">
        <f>'Inv. Iniciales ANC'!A13</f>
        <v>Instalación eléctrica</v>
      </c>
      <c r="B17" s="1345">
        <f>'Inv. Iniciales ANC'!B13</f>
        <v>0</v>
      </c>
      <c r="C17" s="1354">
        <f t="shared" ref="C17:C22" si="0">B17</f>
        <v>0</v>
      </c>
      <c r="D17" s="1347">
        <v>0.8</v>
      </c>
      <c r="E17" s="1355">
        <f t="shared" ref="E17:E22" si="1">C17*D17</f>
        <v>0</v>
      </c>
      <c r="F17" s="388"/>
    </row>
    <row r="18" spans="1:7" x14ac:dyDescent="0.3">
      <c r="A18" s="1352" t="str">
        <f>'Inv. Iniciales ANC'!A14</f>
        <v>Agua y saneamiento</v>
      </c>
      <c r="B18" s="1345">
        <f>'Inv. Iniciales ANC'!B14</f>
        <v>0</v>
      </c>
      <c r="C18" s="1354">
        <f t="shared" si="0"/>
        <v>0</v>
      </c>
      <c r="D18" s="1347">
        <v>0.8</v>
      </c>
      <c r="E18" s="1355">
        <f t="shared" si="1"/>
        <v>0</v>
      </c>
      <c r="F18" s="388"/>
    </row>
    <row r="19" spans="1:7" x14ac:dyDescent="0.3">
      <c r="A19" s="1352" t="str">
        <f>'Inv. Iniciales ANC'!A15</f>
        <v>Telecomunicaciones</v>
      </c>
      <c r="B19" s="1345">
        <f>'Inv. Iniciales ANC'!B15</f>
        <v>0</v>
      </c>
      <c r="C19" s="1354">
        <f t="shared" si="0"/>
        <v>0</v>
      </c>
      <c r="D19" s="1347">
        <v>0.8</v>
      </c>
      <c r="E19" s="1355">
        <f t="shared" si="1"/>
        <v>0</v>
      </c>
      <c r="F19" s="388"/>
    </row>
    <row r="20" spans="1:7" x14ac:dyDescent="0.3">
      <c r="A20" s="1352" t="str">
        <f>'Inv. Iniciales ANC'!A16</f>
        <v>Iluminación</v>
      </c>
      <c r="B20" s="1345">
        <f>'Inv. Iniciales ANC'!B16</f>
        <v>0</v>
      </c>
      <c r="C20" s="1354">
        <f t="shared" si="0"/>
        <v>0</v>
      </c>
      <c r="D20" s="1347">
        <v>0.8</v>
      </c>
      <c r="E20" s="1355">
        <f t="shared" si="1"/>
        <v>0</v>
      </c>
      <c r="F20" s="388"/>
    </row>
    <row r="21" spans="1:7" x14ac:dyDescent="0.3">
      <c r="A21" s="1352" t="str">
        <f>'Inv. Iniciales ANC'!A17</f>
        <v>Instalación contraincendios</v>
      </c>
      <c r="B21" s="1345">
        <f>'Inv. Iniciales ANC'!B17</f>
        <v>0</v>
      </c>
      <c r="C21" s="1354">
        <f t="shared" si="0"/>
        <v>0</v>
      </c>
      <c r="D21" s="1347">
        <v>0.8</v>
      </c>
      <c r="E21" s="1355">
        <f t="shared" si="1"/>
        <v>0</v>
      </c>
      <c r="F21" s="388"/>
    </row>
    <row r="22" spans="1:7" x14ac:dyDescent="0.3">
      <c r="A22" s="1352" t="str">
        <f>'Inv. Iniciales ANC'!A18</f>
        <v>Alarmas e instalaciones de seguridad</v>
      </c>
      <c r="B22" s="1345">
        <f>'Inv. Iniciales ANC'!B18</f>
        <v>0</v>
      </c>
      <c r="C22" s="1354">
        <f t="shared" si="0"/>
        <v>0</v>
      </c>
      <c r="D22" s="1347">
        <v>0.8</v>
      </c>
      <c r="E22" s="1355">
        <f t="shared" si="1"/>
        <v>0</v>
      </c>
      <c r="F22" s="388"/>
    </row>
    <row r="23" spans="1:7" ht="18" thickBot="1" x14ac:dyDescent="0.35">
      <c r="A23" s="2201" t="s">
        <v>273</v>
      </c>
      <c r="B23" s="2202">
        <f>SUM(B16:B22)</f>
        <v>0</v>
      </c>
      <c r="C23" s="2203">
        <f>SUM(C17:C22)</f>
        <v>0</v>
      </c>
      <c r="D23" s="2204">
        <f>IF($B23=0,AVERAGE(D19:D22),SUMPRODUCT($B19:$B22,D19:D22)/$B23)</f>
        <v>0.8</v>
      </c>
      <c r="E23" s="2205">
        <f>SUM(E17:E22)</f>
        <v>0</v>
      </c>
      <c r="F23" s="389"/>
    </row>
    <row r="24" spans="1:7" ht="18.75" thickTop="1" thickBot="1" x14ac:dyDescent="0.35">
      <c r="A24" s="1185"/>
      <c r="B24" s="1186"/>
      <c r="C24" s="391"/>
      <c r="D24" s="391"/>
      <c r="E24" s="391"/>
      <c r="F24" s="386"/>
    </row>
    <row r="25" spans="1:7" ht="18" thickTop="1" x14ac:dyDescent="0.3">
      <c r="A25" s="1348" t="s">
        <v>849</v>
      </c>
      <c r="B25" s="1349" t="str">
        <f>B$16</f>
        <v>Inversión</v>
      </c>
      <c r="C25" s="1349" t="str">
        <f>C$16</f>
        <v>incentivable</v>
      </c>
      <c r="D25" s="1349" t="str">
        <f>D$16</f>
        <v>% incentivable</v>
      </c>
      <c r="E25" s="1350" t="str">
        <f>E$16</f>
        <v>Incentivo</v>
      </c>
      <c r="F25" s="386"/>
      <c r="G25" s="404" t="s">
        <v>750</v>
      </c>
    </row>
    <row r="26" spans="1:7" x14ac:dyDescent="0.3">
      <c r="A26" s="1351" t="str">
        <f>'Inv. Iniciales ANC'!A22</f>
        <v>Máquina</v>
      </c>
      <c r="B26" s="1345">
        <f>'Inv. Iniciales ANC'!B22</f>
        <v>0</v>
      </c>
      <c r="C26" s="1354">
        <f>IF('Inv. Iniciales ANC'!C22+'Inv. Iniciales ANC'!E22+'Inv. Iniciales ANC'!I22&gt;0,0,B26)</f>
        <v>0</v>
      </c>
      <c r="D26" s="1347">
        <v>0.8</v>
      </c>
      <c r="E26" s="1355">
        <f>C26*D26</f>
        <v>0</v>
      </c>
      <c r="F26" s="388"/>
      <c r="G26" s="404" t="s">
        <v>708</v>
      </c>
    </row>
    <row r="27" spans="1:7" x14ac:dyDescent="0.3">
      <c r="A27" s="1352" t="str">
        <f>'Inv. Iniciales ANC'!A23</f>
        <v>Máquina</v>
      </c>
      <c r="B27" s="1345">
        <f>'Inv. Iniciales ANC'!B23</f>
        <v>0</v>
      </c>
      <c r="C27" s="1354">
        <f>IF('Inv. Iniciales ANC'!C23+'Inv. Iniciales ANC'!E23+'Inv. Iniciales ANC'!I23&gt;0,0,B27)</f>
        <v>0</v>
      </c>
      <c r="D27" s="1347">
        <v>0.8</v>
      </c>
      <c r="E27" s="1355">
        <f>C27*D27</f>
        <v>0</v>
      </c>
      <c r="F27" s="388"/>
      <c r="G27" s="404" t="s">
        <v>751</v>
      </c>
    </row>
    <row r="28" spans="1:7" x14ac:dyDescent="0.3">
      <c r="A28" s="1352" t="str">
        <f>'Inv. Iniciales ANC'!A24</f>
        <v>Máquina</v>
      </c>
      <c r="B28" s="1345">
        <f>'Inv. Iniciales ANC'!B24</f>
        <v>0</v>
      </c>
      <c r="C28" s="1354">
        <f>IF('Inv. Iniciales ANC'!C24+'Inv. Iniciales ANC'!E24+'Inv. Iniciales ANC'!I24&gt;0,0,B28)</f>
        <v>0</v>
      </c>
      <c r="D28" s="1347">
        <v>0.8</v>
      </c>
      <c r="E28" s="1355">
        <f>C28*D28</f>
        <v>0</v>
      </c>
      <c r="F28" s="388"/>
    </row>
    <row r="29" spans="1:7" ht="18" thickBot="1" x14ac:dyDescent="0.35">
      <c r="A29" s="2201" t="s">
        <v>849</v>
      </c>
      <c r="B29" s="2202">
        <f>SUM(B25:B28)</f>
        <v>0</v>
      </c>
      <c r="C29" s="2203">
        <f>SUM(C26:C28)</f>
        <v>0</v>
      </c>
      <c r="D29" s="2204">
        <f>IF($B29=0,AVERAGE(D25:D28),SUMPRODUCT($B25:$B28,D25:D28)/$B29)</f>
        <v>0.80000000000000016</v>
      </c>
      <c r="E29" s="2205">
        <f>SUM(E26:E28)</f>
        <v>0</v>
      </c>
      <c r="F29" s="389"/>
      <c r="G29" s="404"/>
    </row>
    <row r="30" spans="1:7" ht="18.75" thickTop="1" thickBot="1" x14ac:dyDescent="0.35">
      <c r="A30" s="1356"/>
      <c r="B30" s="1357"/>
      <c r="C30" s="391"/>
      <c r="D30" s="391"/>
      <c r="E30" s="391"/>
      <c r="F30" s="386"/>
    </row>
    <row r="31" spans="1:7" ht="18" thickTop="1" x14ac:dyDescent="0.3">
      <c r="A31" s="1348" t="s">
        <v>933</v>
      </c>
      <c r="B31" s="1349" t="str">
        <f>B$16</f>
        <v>Inversión</v>
      </c>
      <c r="C31" s="1349" t="str">
        <f>C$16</f>
        <v>incentivable</v>
      </c>
      <c r="D31" s="1349" t="str">
        <f>D$16</f>
        <v>% incentivable</v>
      </c>
      <c r="E31" s="1350" t="str">
        <f>E$16</f>
        <v>Incentivo</v>
      </c>
      <c r="F31" s="386"/>
    </row>
    <row r="32" spans="1:7" x14ac:dyDescent="0.3">
      <c r="A32" s="1352" t="str">
        <f>'Inv. Iniciales ANC'!A28</f>
        <v>Herramientas de mano</v>
      </c>
      <c r="B32" s="1345">
        <f>'Inv. Iniciales ANC'!B28</f>
        <v>0</v>
      </c>
      <c r="C32" s="1354">
        <f>IF('Inv. Iniciales ANC'!C28+'Inv. Iniciales ANC'!E28+'Inv. Iniciales ANC'!I28&gt;0,0,B32)</f>
        <v>0</v>
      </c>
      <c r="D32" s="1347">
        <v>0.8</v>
      </c>
      <c r="E32" s="1355">
        <f>C32*D32</f>
        <v>0</v>
      </c>
      <c r="F32" s="388"/>
      <c r="G32" s="404" t="s">
        <v>706</v>
      </c>
    </row>
    <row r="33" spans="1:7" x14ac:dyDescent="0.3">
      <c r="A33" s="1352" t="str">
        <f>'Inv. Iniciales ANC'!A29</f>
        <v>Utiles de fabricación</v>
      </c>
      <c r="B33" s="1345">
        <f>'Inv. Iniciales ANC'!B29</f>
        <v>0</v>
      </c>
      <c r="C33" s="1354">
        <f>IF('Inv. Iniciales ANC'!C29+'Inv. Iniciales ANC'!E29+'Inv. Iniciales ANC'!I29&gt;0,0,B33)</f>
        <v>0</v>
      </c>
      <c r="D33" s="1347">
        <v>0.8</v>
      </c>
      <c r="E33" s="1355">
        <f>C33*D33</f>
        <v>0</v>
      </c>
      <c r="F33" s="388"/>
    </row>
    <row r="34" spans="1:7" ht="18" thickBot="1" x14ac:dyDescent="0.35">
      <c r="A34" s="2201" t="s">
        <v>367</v>
      </c>
      <c r="B34" s="2202">
        <f>SUM(B31:B33)</f>
        <v>0</v>
      </c>
      <c r="C34" s="2203">
        <f>SUM(C32:C33)</f>
        <v>0</v>
      </c>
      <c r="D34" s="2204">
        <f>IF($B34=0,AVERAGE(D30:D33),SUMPRODUCT($B30:$B33,D30:D33)/$B34)</f>
        <v>0.8</v>
      </c>
      <c r="E34" s="2205">
        <f>SUM(E32:E33)</f>
        <v>0</v>
      </c>
      <c r="F34" s="389"/>
    </row>
    <row r="35" spans="1:7" ht="18.75" thickTop="1" thickBot="1" x14ac:dyDescent="0.35">
      <c r="A35" s="1185"/>
      <c r="B35" s="1186"/>
      <c r="C35" s="386"/>
      <c r="D35" s="391"/>
      <c r="E35" s="391"/>
      <c r="F35" s="386"/>
    </row>
    <row r="36" spans="1:7" ht="18" thickTop="1" x14ac:dyDescent="0.3">
      <c r="A36" s="1348" t="s">
        <v>850</v>
      </c>
      <c r="B36" s="1349" t="str">
        <f>B$16</f>
        <v>Inversión</v>
      </c>
      <c r="C36" s="1349" t="str">
        <f>C$16</f>
        <v>incentivable</v>
      </c>
      <c r="D36" s="1349" t="str">
        <f>D$16</f>
        <v>% incentivable</v>
      </c>
      <c r="E36" s="1350" t="str">
        <f>E$16</f>
        <v>Incentivo</v>
      </c>
      <c r="F36" s="386"/>
      <c r="G36" s="404" t="s">
        <v>706</v>
      </c>
    </row>
    <row r="37" spans="1:7" x14ac:dyDescent="0.3">
      <c r="A37" s="1351" t="str">
        <f>'Inv. Iniciales ANC'!A33</f>
        <v>Mobiliario oficina</v>
      </c>
      <c r="B37" s="1345">
        <f>'Inv. Iniciales ANC'!B33</f>
        <v>0</v>
      </c>
      <c r="C37" s="1354">
        <f>IF('Inv. Iniciales ANC'!C33+'Inv. Iniciales ANC'!E33+'Inv. Iniciales ANC'!I33&gt;0,0,B37)</f>
        <v>0</v>
      </c>
      <c r="D37" s="1347">
        <v>0.8</v>
      </c>
      <c r="E37" s="1355">
        <f>C37*D37</f>
        <v>0</v>
      </c>
      <c r="F37" s="388"/>
    </row>
    <row r="38" spans="1:7" x14ac:dyDescent="0.3">
      <c r="A38" s="1352" t="str">
        <f>'Inv. Iniciales ANC'!A34</f>
        <v>Estanterías almacén, expositores</v>
      </c>
      <c r="B38" s="1345">
        <f>'Inv. Iniciales ANC'!B34</f>
        <v>0</v>
      </c>
      <c r="C38" s="1354">
        <f>IF('Inv. Iniciales ANC'!C34+'Inv. Iniciales ANC'!E34+'Inv. Iniciales ANC'!I34&gt;0,0,B38)</f>
        <v>0</v>
      </c>
      <c r="D38" s="1347">
        <v>0.8</v>
      </c>
      <c r="E38" s="1355">
        <f>C38*D38</f>
        <v>0</v>
      </c>
      <c r="F38" s="388"/>
    </row>
    <row r="39" spans="1:7" x14ac:dyDescent="0.3">
      <c r="A39" s="1352" t="str">
        <f>'Inv. Iniciales ANC'!A35</f>
        <v>Otro mobiliario</v>
      </c>
      <c r="B39" s="1345">
        <f>'Inv. Iniciales ANC'!B35</f>
        <v>0</v>
      </c>
      <c r="C39" s="1354">
        <f>IF('Inv. Iniciales ANC'!C35+'Inv. Iniciales ANC'!E35+'Inv. Iniciales ANC'!I35&gt;0,0,B39)</f>
        <v>0</v>
      </c>
      <c r="D39" s="1347">
        <v>0.8</v>
      </c>
      <c r="E39" s="1355">
        <f>C39*D39</f>
        <v>0</v>
      </c>
      <c r="F39" s="388"/>
    </row>
    <row r="40" spans="1:7" ht="18" thickBot="1" x14ac:dyDescent="0.35">
      <c r="A40" s="2201" t="s">
        <v>850</v>
      </c>
      <c r="B40" s="2202">
        <f>SUM(B36:B39)</f>
        <v>0</v>
      </c>
      <c r="C40" s="2203">
        <f>SUM(C37:C39)</f>
        <v>0</v>
      </c>
      <c r="D40" s="2204">
        <f>IF($B40=0,AVERAGE(D36:D39),SUMPRODUCT($B36:$B39,D36:D39)/$B40)</f>
        <v>0.80000000000000016</v>
      </c>
      <c r="E40" s="2205">
        <f>SUM(E37:E39)</f>
        <v>0</v>
      </c>
      <c r="F40" s="389"/>
    </row>
    <row r="41" spans="1:7" ht="18.75" thickTop="1" thickBot="1" x14ac:dyDescent="0.35">
      <c r="A41" s="390"/>
      <c r="B41" s="406"/>
      <c r="C41" s="391"/>
      <c r="D41" s="391"/>
      <c r="E41" s="391"/>
      <c r="F41" s="386"/>
    </row>
    <row r="42" spans="1:7" ht="18" thickTop="1" x14ac:dyDescent="0.3">
      <c r="A42" s="1348" t="s">
        <v>977</v>
      </c>
      <c r="B42" s="1349" t="str">
        <f>B$16</f>
        <v>Inversión</v>
      </c>
      <c r="C42" s="1349" t="str">
        <f>C$16</f>
        <v>incentivable</v>
      </c>
      <c r="D42" s="1349" t="str">
        <f>D$16</f>
        <v>% incentivable</v>
      </c>
      <c r="E42" s="1350" t="str">
        <f>E$16</f>
        <v>Incentivo</v>
      </c>
      <c r="F42" s="386"/>
      <c r="G42" s="404" t="s">
        <v>706</v>
      </c>
    </row>
    <row r="43" spans="1:7" x14ac:dyDescent="0.3">
      <c r="A43" s="1351" t="str">
        <f>'Inv. Iniciales ANC'!A39</f>
        <v>Elementos de transporte interior</v>
      </c>
      <c r="B43" s="1345">
        <f>'Inv. Iniciales ANC'!B39</f>
        <v>0</v>
      </c>
      <c r="C43" s="1354">
        <f>IF('Inv. Iniciales ANC'!C39+'Inv. Iniciales ANC'!E39+'Inv. Iniciales ANC'!I39&gt;0,0,B43)</f>
        <v>0</v>
      </c>
      <c r="D43" s="1347">
        <v>0.8</v>
      </c>
      <c r="E43" s="1355">
        <f>C43*D43</f>
        <v>0</v>
      </c>
      <c r="F43" s="388"/>
    </row>
    <row r="44" spans="1:7" x14ac:dyDescent="0.3">
      <c r="A44" s="1352" t="str">
        <f>'Inv. Iniciales ANC'!A40</f>
        <v>Elementos de transporte exterior</v>
      </c>
      <c r="B44" s="1345">
        <f>'Inv. Iniciales ANC'!B40</f>
        <v>0</v>
      </c>
      <c r="C44" s="1354">
        <f>IF('Inv. Iniciales ANC'!C40+'Inv. Iniciales ANC'!E40+'Inv. Iniciales ANC'!I40&gt;0,0,B44)</f>
        <v>0</v>
      </c>
      <c r="D44" s="1347">
        <v>0.8</v>
      </c>
      <c r="E44" s="1355">
        <f>C44*D44</f>
        <v>0</v>
      </c>
      <c r="F44" s="388"/>
    </row>
    <row r="45" spans="1:7" x14ac:dyDescent="0.3">
      <c r="A45" s="1352" t="str">
        <f>'Inv. Iniciales ANC'!A41</f>
        <v>Otros elementos de transporte</v>
      </c>
      <c r="B45" s="1345">
        <f>'Inv. Iniciales ANC'!B41</f>
        <v>0</v>
      </c>
      <c r="C45" s="1354">
        <f>IF('Inv. Iniciales ANC'!C41+'Inv. Iniciales ANC'!E41+'Inv. Iniciales ANC'!I41&gt;0,0,B45)</f>
        <v>0</v>
      </c>
      <c r="D45" s="1347">
        <v>0.8</v>
      </c>
      <c r="E45" s="1355">
        <f>C45*D45</f>
        <v>0</v>
      </c>
      <c r="F45" s="388"/>
    </row>
    <row r="46" spans="1:7" ht="18" thickBot="1" x14ac:dyDescent="0.35">
      <c r="A46" s="2201" t="s">
        <v>371</v>
      </c>
      <c r="B46" s="2202">
        <f>SUM(B42:B45)</f>
        <v>0</v>
      </c>
      <c r="C46" s="2203">
        <f>SUM(C43:C45)</f>
        <v>0</v>
      </c>
      <c r="D46" s="2204">
        <f>IF($B46=0,AVERAGE(D42:D45),SUMPRODUCT($B42:$B45,D42:D45)/$B46)</f>
        <v>0.80000000000000016</v>
      </c>
      <c r="E46" s="2205">
        <f>SUM(E43:E45)</f>
        <v>0</v>
      </c>
      <c r="F46" s="389"/>
    </row>
    <row r="47" spans="1:7" ht="18.75" thickTop="1" thickBot="1" x14ac:dyDescent="0.35">
      <c r="A47" s="1356"/>
      <c r="B47" s="1357"/>
      <c r="C47" s="391"/>
      <c r="D47" s="386"/>
      <c r="E47" s="391"/>
      <c r="F47" s="386"/>
    </row>
    <row r="48" spans="1:7" ht="18" thickTop="1" x14ac:dyDescent="0.3">
      <c r="A48" s="1348" t="s">
        <v>851</v>
      </c>
      <c r="B48" s="1349" t="str">
        <f>B$16</f>
        <v>Inversión</v>
      </c>
      <c r="C48" s="1349" t="str">
        <f>C$16</f>
        <v>incentivable</v>
      </c>
      <c r="D48" s="1349" t="str">
        <f>D$16</f>
        <v>% incentivable</v>
      </c>
      <c r="E48" s="1350" t="str">
        <f>E$16</f>
        <v>Incentivo</v>
      </c>
      <c r="F48" s="386"/>
      <c r="G48" s="404" t="s">
        <v>706</v>
      </c>
    </row>
    <row r="49" spans="1:7" x14ac:dyDescent="0.3">
      <c r="A49" s="1352" t="str">
        <f>'Inv. Iniciales ANC'!A45</f>
        <v>Ordenadores, PDAs, etc.</v>
      </c>
      <c r="B49" s="1345">
        <f>'Inv. Iniciales ANC'!B45</f>
        <v>0</v>
      </c>
      <c r="C49" s="1354">
        <f>IF('Inv. Iniciales ANC'!C45+'Inv. Iniciales ANC'!E45+'Inv. Iniciales ANC'!I45&gt;0,0,B49)</f>
        <v>0</v>
      </c>
      <c r="D49" s="1347">
        <v>0.8</v>
      </c>
      <c r="E49" s="1355">
        <f>C49*D49</f>
        <v>0</v>
      </c>
      <c r="F49" s="388"/>
    </row>
    <row r="50" spans="1:7" x14ac:dyDescent="0.3">
      <c r="A50" s="1352" t="str">
        <f>'Inv. Iniciales ANC'!A46</f>
        <v>Terminales Punto de Venta</v>
      </c>
      <c r="B50" s="1345">
        <f>'Inv. Iniciales ANC'!B46</f>
        <v>0</v>
      </c>
      <c r="C50" s="1354">
        <f>IF('Inv. Iniciales ANC'!C46+'Inv. Iniciales ANC'!E46+'Inv. Iniciales ANC'!I46&gt;0,0,B50)</f>
        <v>0</v>
      </c>
      <c r="D50" s="1347">
        <v>0.8</v>
      </c>
      <c r="E50" s="1355">
        <f>C50*D50</f>
        <v>0</v>
      </c>
      <c r="F50" s="388"/>
    </row>
    <row r="51" spans="1:7" x14ac:dyDescent="0.3">
      <c r="A51" s="1352" t="str">
        <f>'Inv. Iniciales ANC'!A47</f>
        <v>Impresoras y fotocopiadoras</v>
      </c>
      <c r="B51" s="1345">
        <f>'Inv. Iniciales ANC'!B47</f>
        <v>0</v>
      </c>
      <c r="C51" s="1354">
        <f>IF('Inv. Iniciales ANC'!C47+'Inv. Iniciales ANC'!E47+'Inv. Iniciales ANC'!I47&gt;0,0,B51)</f>
        <v>0</v>
      </c>
      <c r="D51" s="1347">
        <v>0.8</v>
      </c>
      <c r="E51" s="1355">
        <f>C51*D51</f>
        <v>0</v>
      </c>
      <c r="F51" s="388"/>
    </row>
    <row r="52" spans="1:7" x14ac:dyDescent="0.3">
      <c r="A52" s="1352" t="str">
        <f>'Inv. Iniciales ANC'!A48</f>
        <v>Centralitas, enrutadores, red local</v>
      </c>
      <c r="B52" s="1345">
        <f>'Inv. Iniciales ANC'!B48</f>
        <v>0</v>
      </c>
      <c r="C52" s="1354">
        <f>IF('Inv. Iniciales ANC'!C48+'Inv. Iniciales ANC'!E48+'Inv. Iniciales ANC'!I48&gt;0,0,B52)</f>
        <v>0</v>
      </c>
      <c r="D52" s="1347">
        <v>0.8</v>
      </c>
      <c r="E52" s="1355">
        <f>C52*D52</f>
        <v>0</v>
      </c>
      <c r="F52" s="388"/>
    </row>
    <row r="53" spans="1:7" ht="18" thickBot="1" x14ac:dyDescent="0.35">
      <c r="A53" s="2201" t="s">
        <v>971</v>
      </c>
      <c r="B53" s="2202">
        <f>SUM(B48:B52)</f>
        <v>0</v>
      </c>
      <c r="C53" s="2203">
        <f>SUM(C49:C52)</f>
        <v>0</v>
      </c>
      <c r="D53" s="2204">
        <f>IF($B53=0,AVERAGE(D49:D52),SUMPRODUCT($B49:$B52,D49:D52)/$B53)</f>
        <v>0.8</v>
      </c>
      <c r="E53" s="2205">
        <f>SUM(E49:E52)</f>
        <v>0</v>
      </c>
      <c r="F53" s="389"/>
    </row>
    <row r="54" spans="1:7" ht="18.75" thickTop="1" thickBot="1" x14ac:dyDescent="0.35">
      <c r="A54" s="1185"/>
      <c r="B54" s="1186"/>
      <c r="C54" s="391"/>
      <c r="D54" s="386"/>
      <c r="E54" s="391"/>
      <c r="F54" s="386"/>
    </row>
    <row r="55" spans="1:7" ht="18" thickTop="1" x14ac:dyDescent="0.3">
      <c r="A55" s="1348" t="s">
        <v>930</v>
      </c>
      <c r="B55" s="1349" t="str">
        <f>B$16</f>
        <v>Inversión</v>
      </c>
      <c r="C55" s="1349" t="str">
        <f>C$16</f>
        <v>incentivable</v>
      </c>
      <c r="D55" s="1349" t="str">
        <f>D$16</f>
        <v>% incentivable</v>
      </c>
      <c r="E55" s="1350" t="str">
        <f>E$16</f>
        <v>Incentivo</v>
      </c>
      <c r="F55" s="386"/>
      <c r="G55" s="404" t="s">
        <v>706</v>
      </c>
    </row>
    <row r="56" spans="1:7" x14ac:dyDescent="0.3">
      <c r="A56" s="1352" t="str">
        <f>'Inv. Iniciales ANC'!A52</f>
        <v>Otros activos No corrientes necesarios</v>
      </c>
      <c r="B56" s="1345">
        <f>'Inv. Iniciales ANC'!B52</f>
        <v>0</v>
      </c>
      <c r="C56" s="1354">
        <f>IF('Inv. Iniciales ANC'!C52+'Inv. Iniciales ANC'!E52+'Inv. Iniciales ANC'!I52&gt;0,0,B56)</f>
        <v>0</v>
      </c>
      <c r="D56" s="1347">
        <v>0.8</v>
      </c>
      <c r="E56" s="1355">
        <f>C56*D56</f>
        <v>0</v>
      </c>
      <c r="F56" s="386"/>
      <c r="G56" s="404"/>
    </row>
    <row r="57" spans="1:7" x14ac:dyDescent="0.3">
      <c r="A57" s="1352" t="str">
        <f>'Inv. Iniciales ANC'!A53</f>
        <v>Otros activos No corrientes necesarios</v>
      </c>
      <c r="B57" s="1345">
        <f>'Inv. Iniciales ANC'!B53</f>
        <v>0</v>
      </c>
      <c r="C57" s="1354">
        <f>IF('Inv. Iniciales ANC'!C53+'Inv. Iniciales ANC'!E53+'Inv. Iniciales ANC'!I53&gt;0,0,B57)</f>
        <v>0</v>
      </c>
      <c r="D57" s="1347">
        <v>0.8</v>
      </c>
      <c r="E57" s="1355">
        <f>C57*D57</f>
        <v>0</v>
      </c>
      <c r="F57" s="388"/>
      <c r="G57" s="404"/>
    </row>
    <row r="58" spans="1:7" ht="18" thickBot="1" x14ac:dyDescent="0.35">
      <c r="A58" s="2201" t="s">
        <v>930</v>
      </c>
      <c r="B58" s="2202">
        <f>SUM(B55:B57)</f>
        <v>0</v>
      </c>
      <c r="C58" s="2203">
        <f>SUM(C56:C57)</f>
        <v>0</v>
      </c>
      <c r="D58" s="2204">
        <f>IF($B58=0,AVERAGE(D54:D57),SUMPRODUCT($B54:$B57,D54:D57)/$B58)</f>
        <v>0.8</v>
      </c>
      <c r="E58" s="2205">
        <f>SUM(E56:E57)</f>
        <v>0</v>
      </c>
      <c r="F58" s="389"/>
    </row>
    <row r="59" spans="1:7" ht="18.75" thickTop="1" thickBot="1" x14ac:dyDescent="0.35">
      <c r="C59" s="1057"/>
      <c r="E59" s="1057"/>
      <c r="F59" s="386"/>
    </row>
    <row r="60" spans="1:7" ht="18" thickTop="1" x14ac:dyDescent="0.3">
      <c r="A60" s="1348" t="s">
        <v>861</v>
      </c>
      <c r="B60" s="1349" t="str">
        <f>B$16</f>
        <v>Inversión</v>
      </c>
      <c r="C60" s="1349" t="str">
        <f>C$16</f>
        <v>incentivable</v>
      </c>
      <c r="D60" s="1349" t="str">
        <f>D$16</f>
        <v>% incentivable</v>
      </c>
      <c r="E60" s="1350" t="str">
        <f>E$16</f>
        <v>Incentivo</v>
      </c>
      <c r="F60" s="386"/>
    </row>
    <row r="61" spans="1:7" x14ac:dyDescent="0.3">
      <c r="A61" s="1352" t="str">
        <f>'Inv. Iniciales ANC'!A57</f>
        <v>Aplic. Informáticas (Software)</v>
      </c>
      <c r="B61" s="1345">
        <f>'Inv. Iniciales ANC'!B57</f>
        <v>0</v>
      </c>
      <c r="C61" s="1354">
        <f>IF('Inv. Iniciales ANC'!C57+'Inv. Iniciales ANC'!E57+'Inv. Iniciales ANC'!I57&gt;0,0,B61)</f>
        <v>0</v>
      </c>
      <c r="D61" s="1347">
        <v>0.8</v>
      </c>
      <c r="E61" s="1355">
        <f>C61*D61</f>
        <v>0</v>
      </c>
      <c r="F61" s="388"/>
    </row>
    <row r="62" spans="1:7" x14ac:dyDescent="0.3">
      <c r="A62" s="1352" t="str">
        <f>'Inv. Iniciales ANC'!A58</f>
        <v>Sistemas operativos y ofimática</v>
      </c>
      <c r="B62" s="1345">
        <f>'Inv. Iniciales ANC'!B58</f>
        <v>0</v>
      </c>
      <c r="C62" s="1358">
        <v>0</v>
      </c>
      <c r="D62" s="1359">
        <v>0</v>
      </c>
      <c r="E62" s="1360">
        <v>0</v>
      </c>
      <c r="F62" s="388"/>
      <c r="G62" s="404" t="s">
        <v>746</v>
      </c>
    </row>
    <row r="63" spans="1:7" x14ac:dyDescent="0.3">
      <c r="A63" s="1352" t="str">
        <f>'Inv. Iniciales ANC'!A59</f>
        <v>Inversiones I+D+I</v>
      </c>
      <c r="B63" s="1345">
        <f>'Inv. Iniciales ANC'!B59</f>
        <v>0</v>
      </c>
      <c r="C63" s="1354">
        <f>IF('Inv. Iniciales ANC'!C59+'Inv. Iniciales ANC'!E59+'Inv. Iniciales ANC'!I59&gt;0,0,B63)</f>
        <v>0</v>
      </c>
      <c r="D63" s="1347">
        <v>0.8</v>
      </c>
      <c r="E63" s="1355">
        <f>C63*D63</f>
        <v>0</v>
      </c>
      <c r="F63" s="388"/>
    </row>
    <row r="64" spans="1:7" x14ac:dyDescent="0.3">
      <c r="A64" s="1352" t="str">
        <f>'Inv. Iniciales ANC'!A60</f>
        <v>Patentes, marcas o similares</v>
      </c>
      <c r="B64" s="1345">
        <f>'Inv. Iniciales ANC'!B60</f>
        <v>0</v>
      </c>
      <c r="C64" s="1354">
        <f>IF('Inv. Iniciales ANC'!C60+'Inv. Iniciales ANC'!E60+'Inv. Iniciales ANC'!I60&gt;0,0,B64)</f>
        <v>0</v>
      </c>
      <c r="D64" s="1347">
        <v>0.8</v>
      </c>
      <c r="E64" s="1355">
        <f>C64*D64</f>
        <v>0</v>
      </c>
      <c r="F64" s="388"/>
    </row>
    <row r="65" spans="1:7" x14ac:dyDescent="0.3">
      <c r="A65" s="1352" t="str">
        <f>'Inv. Iniciales ANC'!A61</f>
        <v>Certificaciones, homologaciones y derechos de traspaso</v>
      </c>
      <c r="B65" s="1345">
        <f>'Inv. Iniciales ANC'!B61</f>
        <v>0</v>
      </c>
      <c r="C65" s="1354">
        <f>IF('Inv. Iniciales ANC'!C61+'Inv. Iniciales ANC'!E61+'Inv. Iniciales ANC'!I61&gt;0,0,B65)</f>
        <v>0</v>
      </c>
      <c r="D65" s="1347">
        <v>0.8</v>
      </c>
      <c r="E65" s="1355">
        <f>C65*D65</f>
        <v>0</v>
      </c>
      <c r="F65" s="388"/>
    </row>
    <row r="66" spans="1:7" ht="18" thickBot="1" x14ac:dyDescent="0.35">
      <c r="A66" s="2201" t="s">
        <v>861</v>
      </c>
      <c r="B66" s="2202">
        <f>SUM(B60:B65)</f>
        <v>0</v>
      </c>
      <c r="C66" s="2203">
        <f>SUM(C61:C65)</f>
        <v>0</v>
      </c>
      <c r="D66" s="2204">
        <f>IF($B66=0,AVERAGE(D64:D65),SUMPRODUCT($B64:$B65,D64:D65)/$B66)</f>
        <v>0.8</v>
      </c>
      <c r="E66" s="2205">
        <f>SUM(E61:E65)</f>
        <v>0</v>
      </c>
      <c r="F66" s="389"/>
    </row>
    <row r="67" spans="1:7" ht="18.75" thickTop="1" thickBot="1" x14ac:dyDescent="0.35">
      <c r="E67" s="1057"/>
    </row>
    <row r="68" spans="1:7" ht="18" thickTop="1" x14ac:dyDescent="0.3">
      <c r="A68" s="1348" t="s">
        <v>792</v>
      </c>
      <c r="B68" s="1349" t="str">
        <f>B$16</f>
        <v>Inversión</v>
      </c>
      <c r="C68" s="1349" t="str">
        <f>C$16</f>
        <v>incentivable</v>
      </c>
      <c r="D68" s="1349" t="str">
        <f>D$16</f>
        <v>% incentivable</v>
      </c>
      <c r="E68" s="1350" t="str">
        <f>E$16</f>
        <v>Incentivo</v>
      </c>
      <c r="F68" s="386"/>
    </row>
    <row r="69" spans="1:7" x14ac:dyDescent="0.3">
      <c r="A69" s="1352" t="str">
        <f>'Inv. Iniciales ANC'!A65</f>
        <v>Notaría, Registro Mercantil</v>
      </c>
      <c r="B69" s="1345">
        <f>'Inv. Iniciales ANC'!B65</f>
        <v>0</v>
      </c>
      <c r="C69" s="1346">
        <f>IF('Inv. Iniciales ANC'!I65&gt;0,0,B69)</f>
        <v>0</v>
      </c>
      <c r="D69" s="1347">
        <v>0.8</v>
      </c>
      <c r="E69" s="1355">
        <f>C69*D69</f>
        <v>0</v>
      </c>
      <c r="F69" s="388"/>
    </row>
    <row r="70" spans="1:7" x14ac:dyDescent="0.3">
      <c r="A70" s="1352" t="str">
        <f>'Inv. Iniciales ANC'!A66</f>
        <v>Certificado negativo del nombre</v>
      </c>
      <c r="B70" s="1345">
        <f>'Inv. Iniciales ANC'!B66</f>
        <v>0</v>
      </c>
      <c r="C70" s="1346">
        <f>IF('Inv. Iniciales ANC'!I66&gt;0,0,B70)</f>
        <v>0</v>
      </c>
      <c r="D70" s="1347">
        <v>0.8</v>
      </c>
      <c r="E70" s="1355">
        <f>C70*D70</f>
        <v>0</v>
      </c>
      <c r="F70" s="388"/>
    </row>
    <row r="71" spans="1:7" x14ac:dyDescent="0.3">
      <c r="A71" s="1352" t="str">
        <f>'Inv. Iniciales ANC'!A67</f>
        <v>Registro Mercantil, BORME</v>
      </c>
      <c r="B71" s="1345">
        <f>'Inv. Iniciales ANC'!B67</f>
        <v>0</v>
      </c>
      <c r="C71" s="1346">
        <f>IF('Inv. Iniciales ANC'!I67&gt;0,0,B71)</f>
        <v>0</v>
      </c>
      <c r="D71" s="1347">
        <v>0.8</v>
      </c>
      <c r="E71" s="1355">
        <f>C71*D71</f>
        <v>0</v>
      </c>
      <c r="F71" s="388"/>
    </row>
    <row r="72" spans="1:7" x14ac:dyDescent="0.3">
      <c r="A72" s="1352" t="str">
        <f>'Inv. Iniciales ANC'!A68</f>
        <v>ITP (Imp. Transmisiones Patrimoniales)</v>
      </c>
      <c r="B72" s="1345">
        <f>'Inv. Iniciales ANC'!B68</f>
        <v>0</v>
      </c>
      <c r="C72" s="1361">
        <v>0</v>
      </c>
      <c r="D72" s="1359">
        <v>0</v>
      </c>
      <c r="E72" s="1360">
        <v>0</v>
      </c>
      <c r="F72" s="388"/>
      <c r="G72" s="404" t="s">
        <v>746</v>
      </c>
    </row>
    <row r="73" spans="1:7" ht="18" thickBot="1" x14ac:dyDescent="0.35">
      <c r="A73" s="2201" t="s">
        <v>852</v>
      </c>
      <c r="B73" s="2202">
        <f>SUM(B69:B72)</f>
        <v>0</v>
      </c>
      <c r="C73" s="2203">
        <f>SUM(C69:C72)</f>
        <v>0</v>
      </c>
      <c r="D73" s="2204">
        <f>IF($B73=0,AVERAGE(D69:D72),SUMPRODUCT($B69:$B72,D69:D72)/$B73)</f>
        <v>0.60000000000000009</v>
      </c>
      <c r="E73" s="2205">
        <f>SUM(E69:E72)</f>
        <v>0</v>
      </c>
      <c r="F73" s="388"/>
    </row>
    <row r="74" spans="1:7" ht="18.75" thickTop="1" thickBot="1" x14ac:dyDescent="0.35">
      <c r="E74" s="1057"/>
      <c r="F74" s="388"/>
    </row>
    <row r="75" spans="1:7" ht="18" thickTop="1" x14ac:dyDescent="0.3">
      <c r="A75" s="1348" t="s">
        <v>791</v>
      </c>
      <c r="B75" s="1349" t="str">
        <f>B$16</f>
        <v>Inversión</v>
      </c>
      <c r="C75" s="1349" t="str">
        <f>C$16</f>
        <v>incentivable</v>
      </c>
      <c r="D75" s="1349" t="str">
        <f>D$16</f>
        <v>% incentivable</v>
      </c>
      <c r="E75" s="1350" t="str">
        <f>E$16</f>
        <v>Incentivo</v>
      </c>
      <c r="F75" s="388"/>
    </row>
    <row r="76" spans="1:7" x14ac:dyDescent="0.3">
      <c r="A76" s="1352" t="str">
        <f>'Inv. Iniciales ANC'!A72</f>
        <v>Proyectos, visados, Licencias</v>
      </c>
      <c r="B76" s="1345">
        <f>'Inv. Iniciales ANC'!B72</f>
        <v>0</v>
      </c>
      <c r="C76" s="1354">
        <f>IF('Inv. Iniciales ANC'!I72&gt;0,0,B76)</f>
        <v>0</v>
      </c>
      <c r="D76" s="1347">
        <v>0.8</v>
      </c>
      <c r="E76" s="1355">
        <f>C76*D76</f>
        <v>0</v>
      </c>
      <c r="F76" s="388"/>
    </row>
    <row r="77" spans="1:7" x14ac:dyDescent="0.3">
      <c r="A77" s="1352" t="str">
        <f>'Inv. Iniciales ANC'!A73</f>
        <v>Tasas de apertura</v>
      </c>
      <c r="B77" s="1345">
        <f>'Inv. Iniciales ANC'!B73</f>
        <v>0</v>
      </c>
      <c r="C77" s="1354">
        <f>IF('Inv. Iniciales ANC'!I73&gt;0,0,B77)</f>
        <v>0</v>
      </c>
      <c r="D77" s="1347">
        <v>0.8</v>
      </c>
      <c r="E77" s="1355">
        <f>C77*D77</f>
        <v>0</v>
      </c>
      <c r="F77" s="388"/>
    </row>
    <row r="78" spans="1:7" x14ac:dyDescent="0.3">
      <c r="A78" s="1352" t="str">
        <f>'Inv. Iniciales ANC'!A74</f>
        <v>Publicidad de lanzamiento</v>
      </c>
      <c r="B78" s="1345">
        <f>'Inv. Iniciales ANC'!B74</f>
        <v>0</v>
      </c>
      <c r="C78" s="1354">
        <f>IF('Inv. Iniciales ANC'!I74&gt;0,0,B78)</f>
        <v>0</v>
      </c>
      <c r="D78" s="1347">
        <v>0.8</v>
      </c>
      <c r="E78" s="1355">
        <f>C78*D78</f>
        <v>0</v>
      </c>
      <c r="F78" s="388"/>
    </row>
    <row r="79" spans="1:7" x14ac:dyDescent="0.3">
      <c r="A79" s="1352" t="str">
        <f>'Inv. Iniciales ANC'!A75</f>
        <v>Otros gastos de 1er establecimiento</v>
      </c>
      <c r="B79" s="1345">
        <f>'Inv. Iniciales ANC'!B75</f>
        <v>0</v>
      </c>
      <c r="C79" s="1354">
        <f>IF('Inv. Iniciales ANC'!I75&gt;0,0,B79)</f>
        <v>0</v>
      </c>
      <c r="D79" s="1347">
        <v>0.8</v>
      </c>
      <c r="E79" s="1355">
        <f>C79*D79</f>
        <v>0</v>
      </c>
      <c r="F79" s="388"/>
      <c r="G79" s="404"/>
    </row>
    <row r="80" spans="1:7" ht="18" thickBot="1" x14ac:dyDescent="0.35">
      <c r="A80" s="2201" t="s">
        <v>852</v>
      </c>
      <c r="B80" s="2202">
        <f>SUM(B76:B79)</f>
        <v>0</v>
      </c>
      <c r="C80" s="2203">
        <f>SUM(C76:C79)</f>
        <v>0</v>
      </c>
      <c r="D80" s="2204">
        <f>IF($B80=0,AVERAGE(D76:D79),SUMPRODUCT($B76:$B79,D76:D79)/$B80)</f>
        <v>0.8</v>
      </c>
      <c r="E80" s="2205">
        <f>SUM(E76:E79)</f>
        <v>0</v>
      </c>
      <c r="F80" s="389"/>
    </row>
    <row r="81" spans="1:6" ht="9" customHeight="1" thickTop="1" x14ac:dyDescent="0.3"/>
    <row r="82" spans="1:6" ht="9" customHeight="1" thickBot="1" x14ac:dyDescent="0.35"/>
    <row r="83" spans="1:6" s="407" customFormat="1" ht="34.5" customHeight="1" thickTop="1" thickBot="1" x14ac:dyDescent="0.3">
      <c r="B83" s="2211" t="s">
        <v>747</v>
      </c>
      <c r="C83" s="2212" t="s">
        <v>748</v>
      </c>
      <c r="D83" s="2212" t="str">
        <f>D$16</f>
        <v>% incentivable</v>
      </c>
      <c r="E83" s="2213" t="s">
        <v>749</v>
      </c>
    </row>
    <row r="84" spans="1:6" ht="24.75" customHeight="1" thickTop="1" thickBot="1" x14ac:dyDescent="0.35">
      <c r="A84" s="2206" t="s">
        <v>865</v>
      </c>
      <c r="B84" s="2207">
        <f>B14+B23+B29+B34+B40+B46+B53+B58+B66+B73+B80</f>
        <v>0</v>
      </c>
      <c r="C84" s="2208" t="e">
        <f>C14+C23+C29+C34+C40+C46+C53+C58+C66+C73+C80</f>
        <v>#DIV/0!</v>
      </c>
      <c r="D84" s="2209" t="e">
        <f>E84/B84</f>
        <v>#DIV/0!</v>
      </c>
      <c r="E84" s="2210" t="e">
        <f>E14+E23+E29+E34+E40+E46+E53+E58+E66+E73+E80</f>
        <v>#DIV/0!</v>
      </c>
    </row>
    <row r="85" spans="1:6" ht="18" thickTop="1" x14ac:dyDescent="0.3">
      <c r="E85" s="393"/>
    </row>
    <row r="88" spans="1:6" x14ac:dyDescent="0.3">
      <c r="F88" s="394"/>
    </row>
    <row r="89" spans="1:6" x14ac:dyDescent="0.3">
      <c r="F89" s="394"/>
    </row>
    <row r="90" spans="1:6" x14ac:dyDescent="0.3">
      <c r="F90" s="394"/>
    </row>
    <row r="91" spans="1:6" x14ac:dyDescent="0.3">
      <c r="F91" s="395"/>
    </row>
  </sheetData>
  <sheetProtection sheet="1" objects="1" scenarios="1" formatCells="0" formatColumns="0"/>
  <mergeCells count="3">
    <mergeCell ref="C7:E7"/>
    <mergeCell ref="C6:E6"/>
    <mergeCell ref="A1:F1"/>
  </mergeCells>
  <phoneticPr fontId="13" type="noConversion"/>
  <dataValidations count="4">
    <dataValidation type="whole" allowBlank="1" showInputMessage="1" showErrorMessage="1" error="La amortización acumulada debe ser mayor que 0 y MENOR que la inversión total" sqref="F12:F13 F17:F22 F26:F28 F37:F39 F57 F49:F52 F69:F79 F43:F45 F32:F33 F61:F65" xr:uid="{00000000-0002-0000-0C00-000000000000}">
      <formula1>0</formula1>
      <formula2>C12</formula2>
    </dataValidation>
    <dataValidation type="list" allowBlank="1" showInputMessage="1" showErrorMessage="1" sqref="C7" xr:uid="{00000000-0002-0000-0C00-000001000000}">
      <formula1>$J$11:$J$14</formula1>
    </dataValidation>
    <dataValidation type="list" allowBlank="1" showInputMessage="1" showErrorMessage="1" sqref="A32" xr:uid="{00000000-0002-0000-0C00-000002000000}">
      <formula1>"Herramientas de mano,Menaje"</formula1>
    </dataValidation>
    <dataValidation type="decimal" allowBlank="1" showInputMessage="1" showErrorMessage="1" sqref="D61 D11:D13 D17:D22 D26:D28 D32:D33 D37:D39 D43:D45 D49:D52 D56:D57 D76:D79 D69:D71 D63:D65" xr:uid="{00000000-0002-0000-0C00-000003000000}">
      <formula1>0</formula1>
      <formula2>0.8</formula2>
    </dataValidation>
  </dataValidations>
  <printOptions horizontalCentered="1"/>
  <pageMargins left="0.78740157480314965" right="0.78740157480314965" top="0.51181102362204722" bottom="0.51181102362204722" header="0" footer="0"/>
  <pageSetup paperSize="9" scale="62"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8">
    <tabColor rgb="FF7CC9D0"/>
    <pageSetUpPr fitToPage="1"/>
  </sheetPr>
  <dimension ref="A1:N50"/>
  <sheetViews>
    <sheetView showGridLines="0" workbookViewId="0"/>
  </sheetViews>
  <sheetFormatPr baseColWidth="10" defaultRowHeight="17.25" x14ac:dyDescent="0.3"/>
  <cols>
    <col min="1" max="1" width="25.125" style="1079" customWidth="1"/>
    <col min="2" max="2" width="14.25" style="1079" customWidth="1"/>
    <col min="3" max="3" width="13.625" style="1079" customWidth="1"/>
    <col min="4" max="4" width="15.25" style="1079" customWidth="1"/>
    <col min="5" max="5" width="12" style="1079" customWidth="1"/>
    <col min="6" max="6" width="15.875" style="1079" customWidth="1"/>
    <col min="7" max="7" width="13.5" style="1079" customWidth="1"/>
    <col min="8" max="8" width="11.75" style="1079" customWidth="1"/>
    <col min="9" max="9" width="11.875" style="1079" customWidth="1"/>
    <col min="10" max="10" width="14.625" style="1079" bestFit="1" customWidth="1"/>
    <col min="11" max="11" width="13.5" style="1079" customWidth="1"/>
    <col min="12" max="13" width="14.625" style="1079" bestFit="1" customWidth="1"/>
    <col min="14" max="14" width="12.875" style="1079" customWidth="1"/>
    <col min="15" max="16384" width="11" style="1079"/>
  </cols>
  <sheetData>
    <row r="1" spans="1:14" ht="30" customHeight="1" x14ac:dyDescent="0.45">
      <c r="A1" s="1308" t="s">
        <v>798</v>
      </c>
      <c r="B1" s="2258"/>
      <c r="C1" s="2258"/>
      <c r="D1" s="2258"/>
      <c r="E1" s="2258"/>
      <c r="F1" s="2258"/>
      <c r="G1" s="2258"/>
      <c r="H1" s="2258"/>
      <c r="I1" s="2258"/>
      <c r="J1" s="2257"/>
      <c r="K1" s="2257"/>
      <c r="L1" s="2257"/>
      <c r="M1" s="2257"/>
      <c r="N1" s="2257"/>
    </row>
    <row r="2" spans="1:14" ht="27.75" x14ac:dyDescent="0.45">
      <c r="A2" s="1081">
        <f>'Datos Básicos'!B8</f>
        <v>0</v>
      </c>
      <c r="F2" s="1082"/>
    </row>
    <row r="3" spans="1:14" ht="27.75" x14ac:dyDescent="0.45">
      <c r="A3" s="1081"/>
      <c r="F3" s="1082"/>
    </row>
    <row r="4" spans="1:14" ht="28.5" thickBot="1" x14ac:dyDescent="0.5">
      <c r="A4" s="1081"/>
      <c r="F4" s="1082"/>
    </row>
    <row r="5" spans="1:14" x14ac:dyDescent="0.3">
      <c r="A5" s="1833" t="s">
        <v>820</v>
      </c>
      <c r="B5" s="1833" t="str">
        <f>'Financiación Inicial'!F6</f>
        <v>Préstamo 1</v>
      </c>
      <c r="C5" s="1833" t="str">
        <f>'Financiación Inicial'!G6</f>
        <v>Microcrédito</v>
      </c>
      <c r="E5" s="1833" t="s">
        <v>819</v>
      </c>
      <c r="F5" s="1833"/>
      <c r="G5" s="1833" t="str">
        <f>B5</f>
        <v>Préstamo 1</v>
      </c>
      <c r="H5" s="1833" t="str">
        <f>C5</f>
        <v>Microcrédito</v>
      </c>
      <c r="J5" s="1079" t="s">
        <v>1218</v>
      </c>
    </row>
    <row r="6" spans="1:14" ht="19.5" x14ac:dyDescent="0.3">
      <c r="A6" s="1523" t="s">
        <v>385</v>
      </c>
      <c r="B6" s="1175">
        <f>'Financiación Inicial'!F7</f>
        <v>0</v>
      </c>
      <c r="C6" s="1529">
        <f>'Financiación Inicial'!G7</f>
        <v>0</v>
      </c>
      <c r="E6" s="1523"/>
      <c r="F6" s="1178" t="s">
        <v>387</v>
      </c>
      <c r="G6" s="1177">
        <f>B11*12/B10</f>
        <v>12</v>
      </c>
      <c r="H6" s="1525">
        <f>C11*12/C10</f>
        <v>0</v>
      </c>
      <c r="J6" s="1079" t="s">
        <v>1219</v>
      </c>
      <c r="K6" s="1079">
        <f>IF(H10&lt;13,H10+1-H9,13-H9)</f>
        <v>12</v>
      </c>
    </row>
    <row r="7" spans="1:14" ht="19.5" x14ac:dyDescent="0.3">
      <c r="A7" s="1523" t="s">
        <v>959</v>
      </c>
      <c r="B7" s="1176">
        <f>'Financiación Inicial'!F8</f>
        <v>6.9000000000000006E-2</v>
      </c>
      <c r="C7" s="1524">
        <f>'Financiación Inicial'!G8</f>
        <v>8.2500000000000004E-2</v>
      </c>
      <c r="E7" s="1523"/>
      <c r="F7" s="1178" t="s">
        <v>388</v>
      </c>
      <c r="G7" s="1177">
        <f>B9*12/B10</f>
        <v>72</v>
      </c>
      <c r="H7" s="1525">
        <f>C9*12/C10</f>
        <v>60</v>
      </c>
      <c r="J7" s="1079" t="s">
        <v>1220</v>
      </c>
      <c r="K7" s="1079">
        <f>IF(H10&lt;13,0,IF(H10&lt;25,H7-K6,12))</f>
        <v>12</v>
      </c>
    </row>
    <row r="8" spans="1:14" ht="19.5" x14ac:dyDescent="0.3">
      <c r="A8" s="1523" t="s">
        <v>56</v>
      </c>
      <c r="B8" s="1176">
        <f>'Financiación Inicial'!F9</f>
        <v>0</v>
      </c>
      <c r="C8" s="1524">
        <f>'Financiación Inicial'!G9</f>
        <v>1E-4</v>
      </c>
      <c r="E8" s="1523"/>
      <c r="F8" s="1178" t="s">
        <v>389</v>
      </c>
      <c r="G8" s="1177">
        <f>mes0</f>
        <v>1</v>
      </c>
      <c r="H8" s="1525">
        <f>mes0</f>
        <v>1</v>
      </c>
      <c r="J8" s="1079" t="s">
        <v>1221</v>
      </c>
      <c r="K8" s="1079">
        <f>IF(H10&lt;25,0,IF(H10&lt;36,H7-K6-K7,12))</f>
        <v>12</v>
      </c>
    </row>
    <row r="9" spans="1:14" ht="19.5" x14ac:dyDescent="0.3">
      <c r="A9" s="1523" t="s">
        <v>1011</v>
      </c>
      <c r="B9" s="1177">
        <f>'Financiación Inicial'!F10</f>
        <v>72</v>
      </c>
      <c r="C9" s="1525">
        <f>'Financiación Inicial'!G10</f>
        <v>60</v>
      </c>
      <c r="E9" s="1523"/>
      <c r="F9" s="1178" t="s">
        <v>390</v>
      </c>
      <c r="G9" s="1177">
        <f>mes0+G6</f>
        <v>13</v>
      </c>
      <c r="H9" s="1525">
        <f>mes0+H6</f>
        <v>1</v>
      </c>
    </row>
    <row r="10" spans="1:14" ht="20.25" thickBot="1" x14ac:dyDescent="0.35">
      <c r="A10" s="1523" t="s">
        <v>1010</v>
      </c>
      <c r="B10" s="1177">
        <f>'Financiación Inicial'!F11</f>
        <v>12</v>
      </c>
      <c r="C10" s="1525">
        <f>'Financiación Inicial'!G11</f>
        <v>12</v>
      </c>
      <c r="E10" s="1526"/>
      <c r="F10" s="1530" t="s">
        <v>391</v>
      </c>
      <c r="G10" s="1531">
        <f>G7+G9-1</f>
        <v>84</v>
      </c>
      <c r="H10" s="1532">
        <f>H7+H9-1</f>
        <v>60</v>
      </c>
    </row>
    <row r="11" spans="1:14" ht="21" customHeight="1" thickBot="1" x14ac:dyDescent="0.35">
      <c r="A11" s="1526" t="s">
        <v>1013</v>
      </c>
      <c r="B11" s="1527">
        <f>'Financiación Inicial'!F12</f>
        <v>12</v>
      </c>
      <c r="C11" s="1528">
        <f>'Financiación Inicial'!G12</f>
        <v>0</v>
      </c>
      <c r="F11" s="1082"/>
    </row>
    <row r="12" spans="1:14" ht="8.25" customHeight="1" thickBot="1" x14ac:dyDescent="0.35">
      <c r="A12" s="1533"/>
      <c r="B12" s="1084"/>
      <c r="F12" s="1082"/>
    </row>
    <row r="13" spans="1:14" ht="19.5" customHeight="1" thickBot="1" x14ac:dyDescent="0.35">
      <c r="A13" s="1536" t="s">
        <v>386</v>
      </c>
      <c r="B13" s="1537">
        <f>PMT(B7/B10,B9,-B6)</f>
        <v>0</v>
      </c>
      <c r="C13" s="1538">
        <f>PMT(C7/C10,C9,-C6)</f>
        <v>0</v>
      </c>
      <c r="E13" s="206" t="str">
        <f>IF('Inversiones AC'!B21&lt;-0.5,'Inversiones AC'!B25,"")</f>
        <v/>
      </c>
      <c r="F13" s="1082"/>
    </row>
    <row r="14" spans="1:14" ht="18" customHeight="1" thickBot="1" x14ac:dyDescent="0.35">
      <c r="A14" s="1534"/>
      <c r="B14" s="1539" t="str">
        <f>CONCATENATE("€ / ",IF(B10=12,"mes",CONCATENATE(12/B10," meses")))</f>
        <v>€ / mes</v>
      </c>
      <c r="C14" s="1540" t="str">
        <f>CONCATENATE("€ / ",IF(C10=12,"mes",CONCATENATE(12/C10," meses")))</f>
        <v>€ / mes</v>
      </c>
      <c r="F14" s="1082"/>
    </row>
    <row r="15" spans="1:14" ht="19.5" customHeight="1" thickBot="1" x14ac:dyDescent="0.35">
      <c r="A15" s="1085"/>
      <c r="C15" s="1080"/>
      <c r="F15" s="1080"/>
    </row>
    <row r="16" spans="1:14" ht="19.5" customHeight="1" thickBot="1" x14ac:dyDescent="0.35">
      <c r="A16" s="1830" t="str">
        <f>'Datos Básicos'!B16</f>
        <v>Año 0</v>
      </c>
      <c r="B16" s="1831">
        <f>'Datos Básicos'!B17</f>
        <v>2026</v>
      </c>
      <c r="C16" s="1080"/>
    </row>
    <row r="17" spans="1:14" ht="19.5" customHeight="1" x14ac:dyDescent="0.3">
      <c r="A17" s="1828" t="s">
        <v>863</v>
      </c>
      <c r="B17" s="1829">
        <v>1</v>
      </c>
      <c r="C17" s="1513">
        <v>2</v>
      </c>
      <c r="D17" s="1513">
        <v>3</v>
      </c>
      <c r="E17" s="1513">
        <v>4</v>
      </c>
      <c r="F17" s="1513">
        <v>5</v>
      </c>
      <c r="G17" s="1513">
        <v>6</v>
      </c>
      <c r="H17" s="1513">
        <v>7</v>
      </c>
      <c r="I17" s="1513">
        <v>8</v>
      </c>
      <c r="J17" s="1513">
        <v>9</v>
      </c>
      <c r="K17" s="1513">
        <v>10</v>
      </c>
      <c r="L17" s="1513">
        <v>11</v>
      </c>
      <c r="M17" s="1513">
        <v>12</v>
      </c>
      <c r="N17" s="2167" t="s">
        <v>860</v>
      </c>
    </row>
    <row r="18" spans="1:14" ht="19.5" customHeight="1" x14ac:dyDescent="0.3">
      <c r="A18" s="1509" t="s">
        <v>1012</v>
      </c>
      <c r="B18" s="1510">
        <f t="shared" ref="B18:M18" si="0">B19+B20</f>
        <v>0</v>
      </c>
      <c r="C18" s="1510">
        <f t="shared" si="0"/>
        <v>0</v>
      </c>
      <c r="D18" s="1510">
        <f t="shared" si="0"/>
        <v>0</v>
      </c>
      <c r="E18" s="1510">
        <f t="shared" si="0"/>
        <v>0</v>
      </c>
      <c r="F18" s="1510">
        <f t="shared" si="0"/>
        <v>0</v>
      </c>
      <c r="G18" s="1510">
        <f t="shared" si="0"/>
        <v>0</v>
      </c>
      <c r="H18" s="1510">
        <f t="shared" si="0"/>
        <v>0</v>
      </c>
      <c r="I18" s="1510">
        <f t="shared" si="0"/>
        <v>0</v>
      </c>
      <c r="J18" s="1510">
        <f t="shared" si="0"/>
        <v>0</v>
      </c>
      <c r="K18" s="1510">
        <f t="shared" si="0"/>
        <v>0</v>
      </c>
      <c r="L18" s="1510">
        <f t="shared" si="0"/>
        <v>0</v>
      </c>
      <c r="M18" s="1510">
        <f t="shared" si="0"/>
        <v>0</v>
      </c>
      <c r="N18" s="2168">
        <f>SUM(B18:M18)</f>
        <v>0</v>
      </c>
    </row>
    <row r="19" spans="1:14" ht="19.5" customHeight="1" x14ac:dyDescent="0.3">
      <c r="A19" s="1509" t="s">
        <v>862</v>
      </c>
      <c r="B19" s="1510">
        <f t="shared" ref="B19:M19" si="1">IF(B17=$G$8,$B$6*$B$8,0)+IF(B17=$H$8,$C$6*$C$8,0)
+IF(MOD((B17-$G$8)*$B$10,12),0,IF(B17&lt;$G$8,0,IF(B17&lt;$G$9,$B$6*$B$7/$B$10,IF(B17&lt;=$G$10,IPMT($B$7/$B$10,(B17-$G$8)*$B$10/12-$B$11+1,$B$9,-$B$6),0))))
+IF(MOD((B17-$H$8)*$C$10,12),0,IF(B17&lt;$H$8,0,IF(B17&lt;$H$9,$C$6*$C$7/$C$10,IF(B17&lt;=$H$10,IPMT($C$7/$C$10,(B17-$H$8)*$C$10/12-$C$11+1,$C$9,-$C$6),0))))</f>
        <v>0</v>
      </c>
      <c r="C19" s="1510">
        <f t="shared" si="1"/>
        <v>0</v>
      </c>
      <c r="D19" s="1510">
        <f t="shared" si="1"/>
        <v>0</v>
      </c>
      <c r="E19" s="1510">
        <f t="shared" si="1"/>
        <v>0</v>
      </c>
      <c r="F19" s="1510">
        <f t="shared" si="1"/>
        <v>0</v>
      </c>
      <c r="G19" s="1510">
        <f t="shared" si="1"/>
        <v>0</v>
      </c>
      <c r="H19" s="1510">
        <f t="shared" si="1"/>
        <v>0</v>
      </c>
      <c r="I19" s="1510">
        <f t="shared" si="1"/>
        <v>0</v>
      </c>
      <c r="J19" s="1510">
        <f t="shared" si="1"/>
        <v>0</v>
      </c>
      <c r="K19" s="1510">
        <f t="shared" si="1"/>
        <v>0</v>
      </c>
      <c r="L19" s="1510">
        <f t="shared" si="1"/>
        <v>0</v>
      </c>
      <c r="M19" s="1510">
        <f t="shared" si="1"/>
        <v>0</v>
      </c>
      <c r="N19" s="2168">
        <f>SUM(B19:M19)</f>
        <v>0</v>
      </c>
    </row>
    <row r="20" spans="1:14" ht="19.5" customHeight="1" thickBot="1" x14ac:dyDescent="0.35">
      <c r="A20" s="1511" t="s">
        <v>998</v>
      </c>
      <c r="B20" s="1512">
        <f t="shared" ref="B20:M20" si="2">IF(AND(B17&gt;=$G$9,B17&lt;=$G$10,MOD((B17-$G$8)*$B$10,12)=0),PPMT($B$7/$B$10,(B17-$G$8)*$B$10/12-$B$11+1,$B$9,-$B$6),0)
+IF(AND(B17&gt;=$H$9,B17&lt;=$H$10,MOD((B17-$H$8)*$C$10,12)=0),PPMT($C$7/$C$10,(B17-$H$8)*$C$10/12-$C$11+1,$C$9,-$C$6),0)</f>
        <v>0</v>
      </c>
      <c r="C20" s="1512">
        <f t="shared" si="2"/>
        <v>0</v>
      </c>
      <c r="D20" s="1512">
        <f t="shared" si="2"/>
        <v>0</v>
      </c>
      <c r="E20" s="1512">
        <f t="shared" si="2"/>
        <v>0</v>
      </c>
      <c r="F20" s="1512">
        <f t="shared" si="2"/>
        <v>0</v>
      </c>
      <c r="G20" s="1512">
        <f t="shared" si="2"/>
        <v>0</v>
      </c>
      <c r="H20" s="1512">
        <f t="shared" si="2"/>
        <v>0</v>
      </c>
      <c r="I20" s="1512">
        <f t="shared" si="2"/>
        <v>0</v>
      </c>
      <c r="J20" s="1512">
        <f t="shared" si="2"/>
        <v>0</v>
      </c>
      <c r="K20" s="1512">
        <f t="shared" si="2"/>
        <v>0</v>
      </c>
      <c r="L20" s="1512">
        <f t="shared" si="2"/>
        <v>0</v>
      </c>
      <c r="M20" s="1512">
        <f t="shared" si="2"/>
        <v>0</v>
      </c>
      <c r="N20" s="2169">
        <f>SUM(B20:M20)</f>
        <v>0</v>
      </c>
    </row>
    <row r="21" spans="1:14" ht="19.5" customHeight="1" thickBot="1" x14ac:dyDescent="0.35">
      <c r="A21" s="1084"/>
    </row>
    <row r="22" spans="1:14" ht="19.5" customHeight="1" thickBot="1" x14ac:dyDescent="0.35">
      <c r="A22" s="1832">
        <f>'Datos Básicos'!C16</f>
        <v>1</v>
      </c>
      <c r="B22" s="1831">
        <f>B16+1</f>
        <v>2027</v>
      </c>
      <c r="C22" s="1080"/>
    </row>
    <row r="23" spans="1:14" ht="19.5" customHeight="1" x14ac:dyDescent="0.3">
      <c r="A23" s="1828" t="s">
        <v>863</v>
      </c>
      <c r="B23" s="1829">
        <v>13</v>
      </c>
      <c r="C23" s="1513">
        <v>14</v>
      </c>
      <c r="D23" s="1513">
        <v>15</v>
      </c>
      <c r="E23" s="1513">
        <v>16</v>
      </c>
      <c r="F23" s="1513">
        <v>17</v>
      </c>
      <c r="G23" s="1513">
        <v>18</v>
      </c>
      <c r="H23" s="1513">
        <v>19</v>
      </c>
      <c r="I23" s="1513">
        <v>20</v>
      </c>
      <c r="J23" s="1513">
        <v>21</v>
      </c>
      <c r="K23" s="1513">
        <v>22</v>
      </c>
      <c r="L23" s="1513">
        <v>23</v>
      </c>
      <c r="M23" s="1513">
        <v>24</v>
      </c>
      <c r="N23" s="2167" t="s">
        <v>860</v>
      </c>
    </row>
    <row r="24" spans="1:14" ht="19.5" customHeight="1" x14ac:dyDescent="0.3">
      <c r="A24" s="1509" t="s">
        <v>1012</v>
      </c>
      <c r="B24" s="1510">
        <f t="shared" ref="B24:M24" si="3">B25+B26</f>
        <v>0</v>
      </c>
      <c r="C24" s="1510">
        <f t="shared" si="3"/>
        <v>0</v>
      </c>
      <c r="D24" s="1510">
        <f t="shared" si="3"/>
        <v>0</v>
      </c>
      <c r="E24" s="1510">
        <f t="shared" si="3"/>
        <v>0</v>
      </c>
      <c r="F24" s="1510">
        <f t="shared" si="3"/>
        <v>0</v>
      </c>
      <c r="G24" s="1510">
        <f t="shared" si="3"/>
        <v>0</v>
      </c>
      <c r="H24" s="1510">
        <f t="shared" si="3"/>
        <v>0</v>
      </c>
      <c r="I24" s="1510">
        <f t="shared" si="3"/>
        <v>0</v>
      </c>
      <c r="J24" s="1510">
        <f t="shared" si="3"/>
        <v>0</v>
      </c>
      <c r="K24" s="1510">
        <f t="shared" si="3"/>
        <v>0</v>
      </c>
      <c r="L24" s="1510">
        <f t="shared" si="3"/>
        <v>0</v>
      </c>
      <c r="M24" s="1510">
        <f t="shared" si="3"/>
        <v>0</v>
      </c>
      <c r="N24" s="2168">
        <f>SUM(B24:M24)</f>
        <v>0</v>
      </c>
    </row>
    <row r="25" spans="1:14" ht="19.5" customHeight="1" x14ac:dyDescent="0.3">
      <c r="A25" s="1509" t="s">
        <v>862</v>
      </c>
      <c r="B25" s="1510">
        <f t="shared" ref="B25:M25" si="4">+IF(MOD((B23-$G$8)*$B$10,12),0,IF(B23&lt;$G$8,0,IF(B23&lt;$G$9,$B$6*$B$7/$B$10,IF(B23&lt;=$G$10,IPMT($B$7/$B$10,(B23-$G$8)*$B$10/12-$B$11+1,$B$9,-$B$6),0))))
+IF(MOD((B23-$H$8)*$C$10,12),0,IF(B23&lt;$H$8,0,IF(B23&lt;$H$9,$C$6*$C$7/$C$10,IF(B23&lt;=$H$10,IPMT($C$7/$C$10,(B23-$H$8)*$C$10/12-$C$11+1,$C$9,-$C$6),0))))</f>
        <v>0</v>
      </c>
      <c r="C25" s="1510">
        <f t="shared" si="4"/>
        <v>0</v>
      </c>
      <c r="D25" s="1510">
        <f t="shared" si="4"/>
        <v>0</v>
      </c>
      <c r="E25" s="1510">
        <f t="shared" si="4"/>
        <v>0</v>
      </c>
      <c r="F25" s="1510">
        <f t="shared" si="4"/>
        <v>0</v>
      </c>
      <c r="G25" s="1510">
        <f t="shared" si="4"/>
        <v>0</v>
      </c>
      <c r="H25" s="1510">
        <f t="shared" si="4"/>
        <v>0</v>
      </c>
      <c r="I25" s="1510">
        <f t="shared" si="4"/>
        <v>0</v>
      </c>
      <c r="J25" s="1510">
        <f t="shared" si="4"/>
        <v>0</v>
      </c>
      <c r="K25" s="1510">
        <f t="shared" si="4"/>
        <v>0</v>
      </c>
      <c r="L25" s="1510">
        <f t="shared" si="4"/>
        <v>0</v>
      </c>
      <c r="M25" s="1510">
        <f t="shared" si="4"/>
        <v>0</v>
      </c>
      <c r="N25" s="2168">
        <f>SUM(B25:M25)</f>
        <v>0</v>
      </c>
    </row>
    <row r="26" spans="1:14" ht="19.5" customHeight="1" thickBot="1" x14ac:dyDescent="0.35">
      <c r="A26" s="1511" t="s">
        <v>998</v>
      </c>
      <c r="B26" s="1512">
        <f t="shared" ref="B26:M26" si="5">IF(AND(B23&gt;=$G$9,B23&lt;=$G$10,MOD((B23-$G$8)*$B$10,12)=0),PPMT($B$7/$B$10,(B23-$G$8)*$B$10/12-$B$11+1,$B$9,-$B$6),0)
+IF(AND(B23&gt;=$H$9,B23&lt;=$H$10,MOD((B23-$H$8)*$C$10,12)=0),PPMT($C$7/$C$10,(B23-$H$8)*$C$10/12-$C$11+1,$C$9,-$C$6),0)</f>
        <v>0</v>
      </c>
      <c r="C26" s="1512">
        <f t="shared" si="5"/>
        <v>0</v>
      </c>
      <c r="D26" s="1512">
        <f t="shared" si="5"/>
        <v>0</v>
      </c>
      <c r="E26" s="1512">
        <f t="shared" si="5"/>
        <v>0</v>
      </c>
      <c r="F26" s="1512">
        <f t="shared" si="5"/>
        <v>0</v>
      </c>
      <c r="G26" s="1512">
        <f t="shared" si="5"/>
        <v>0</v>
      </c>
      <c r="H26" s="1512">
        <f t="shared" si="5"/>
        <v>0</v>
      </c>
      <c r="I26" s="1512">
        <f t="shared" si="5"/>
        <v>0</v>
      </c>
      <c r="J26" s="1512">
        <f t="shared" si="5"/>
        <v>0</v>
      </c>
      <c r="K26" s="1512">
        <f t="shared" si="5"/>
        <v>0</v>
      </c>
      <c r="L26" s="1512">
        <f t="shared" si="5"/>
        <v>0</v>
      </c>
      <c r="M26" s="1512">
        <f t="shared" si="5"/>
        <v>0</v>
      </c>
      <c r="N26" s="2169">
        <f>SUM(B26:M26)</f>
        <v>0</v>
      </c>
    </row>
    <row r="27" spans="1:14" ht="18" thickBot="1" x14ac:dyDescent="0.35"/>
    <row r="28" spans="1:14" ht="20.25" thickBot="1" x14ac:dyDescent="0.35">
      <c r="A28" s="1832">
        <f>A22+1</f>
        <v>2</v>
      </c>
      <c r="B28" s="1831">
        <f>B22+1</f>
        <v>2028</v>
      </c>
      <c r="C28" s="1080"/>
    </row>
    <row r="29" spans="1:14" ht="19.5" customHeight="1" x14ac:dyDescent="0.3">
      <c r="A29" s="1514" t="s">
        <v>863</v>
      </c>
      <c r="B29" s="1513">
        <v>25</v>
      </c>
      <c r="C29" s="1513">
        <v>26</v>
      </c>
      <c r="D29" s="1513">
        <v>27</v>
      </c>
      <c r="E29" s="1513">
        <v>28</v>
      </c>
      <c r="F29" s="1513">
        <v>29</v>
      </c>
      <c r="G29" s="1513">
        <v>30</v>
      </c>
      <c r="H29" s="1513">
        <v>31</v>
      </c>
      <c r="I29" s="1513">
        <v>32</v>
      </c>
      <c r="J29" s="1513">
        <v>33</v>
      </c>
      <c r="K29" s="1513">
        <v>34</v>
      </c>
      <c r="L29" s="1513">
        <v>35</v>
      </c>
      <c r="M29" s="1513">
        <v>36</v>
      </c>
      <c r="N29" s="2167" t="s">
        <v>860</v>
      </c>
    </row>
    <row r="30" spans="1:14" ht="19.5" customHeight="1" x14ac:dyDescent="0.3">
      <c r="A30" s="1509" t="s">
        <v>1012</v>
      </c>
      <c r="B30" s="1510">
        <f t="shared" ref="B30:M30" si="6">B31+B32</f>
        <v>0</v>
      </c>
      <c r="C30" s="1510">
        <f t="shared" si="6"/>
        <v>0</v>
      </c>
      <c r="D30" s="1510">
        <f t="shared" si="6"/>
        <v>0</v>
      </c>
      <c r="E30" s="1510">
        <f t="shared" si="6"/>
        <v>0</v>
      </c>
      <c r="F30" s="1510">
        <f t="shared" si="6"/>
        <v>0</v>
      </c>
      <c r="G30" s="1510">
        <f t="shared" si="6"/>
        <v>0</v>
      </c>
      <c r="H30" s="1510">
        <f t="shared" si="6"/>
        <v>0</v>
      </c>
      <c r="I30" s="1510">
        <f t="shared" si="6"/>
        <v>0</v>
      </c>
      <c r="J30" s="1510">
        <f t="shared" si="6"/>
        <v>0</v>
      </c>
      <c r="K30" s="1510">
        <f t="shared" si="6"/>
        <v>0</v>
      </c>
      <c r="L30" s="1510">
        <f t="shared" si="6"/>
        <v>0</v>
      </c>
      <c r="M30" s="1510">
        <f t="shared" si="6"/>
        <v>0</v>
      </c>
      <c r="N30" s="2168">
        <f>SUM(B30:M30)</f>
        <v>0</v>
      </c>
    </row>
    <row r="31" spans="1:14" ht="19.5" customHeight="1" x14ac:dyDescent="0.3">
      <c r="A31" s="1509" t="s">
        <v>862</v>
      </c>
      <c r="B31" s="1510">
        <f t="shared" ref="B31:M31" si="7">+IF(MOD((B29-$G$8)*$B$10,12),0,IF(B29&lt;$G$9,$B$6*$B$7/$B$10,IF(B29&lt;=$G$10,IPMT($B$7/$B$10,(B29-$G$8)*$B$10/12-$B$11+1,$B$9,-$B$6),0)))
+IF(MOD((B29-$H$8)*$C$10,12),0,IF(B29&lt;$H$9,$C$6*$C$7/$C$10,IF(B29&lt;=$H$10,IPMT($C$7/$C$10,(B29-$H$8)*$C$10/12-$C$11+1,$C$9,-$C$6),0)))</f>
        <v>0</v>
      </c>
      <c r="C31" s="1510">
        <f t="shared" si="7"/>
        <v>0</v>
      </c>
      <c r="D31" s="1510">
        <f t="shared" si="7"/>
        <v>0</v>
      </c>
      <c r="E31" s="1510">
        <f t="shared" si="7"/>
        <v>0</v>
      </c>
      <c r="F31" s="1510">
        <f t="shared" si="7"/>
        <v>0</v>
      </c>
      <c r="G31" s="1510">
        <f t="shared" si="7"/>
        <v>0</v>
      </c>
      <c r="H31" s="1510">
        <f t="shared" si="7"/>
        <v>0</v>
      </c>
      <c r="I31" s="1510">
        <f t="shared" si="7"/>
        <v>0</v>
      </c>
      <c r="J31" s="1510">
        <f t="shared" si="7"/>
        <v>0</v>
      </c>
      <c r="K31" s="1510">
        <f t="shared" si="7"/>
        <v>0</v>
      </c>
      <c r="L31" s="1510">
        <f t="shared" si="7"/>
        <v>0</v>
      </c>
      <c r="M31" s="1510">
        <f t="shared" si="7"/>
        <v>0</v>
      </c>
      <c r="N31" s="2168">
        <f>SUM(B31:M31)</f>
        <v>0</v>
      </c>
    </row>
    <row r="32" spans="1:14" ht="19.5" customHeight="1" thickBot="1" x14ac:dyDescent="0.35">
      <c r="A32" s="1511" t="s">
        <v>998</v>
      </c>
      <c r="B32" s="1512">
        <f t="shared" ref="B32:M32" si="8">IF(AND(B29&gt;=$G$9,B29&lt;=$G$10,MOD((B29-$G$8)*$B$10,12)=0),PPMT($B$7/$B$10,(B29-$G$8)*$B$10/12-$B$11+1,$B$9,-$B$6),0)
+IF(AND(B29&gt;=$H$9,B29&lt;=$H$10,MOD((B29-$H$8)*$C$10,12)=0),PPMT($C$7/$C$10,(B29-$H$8)*$C$10/12-$C$11+1,$C$9,-$C$6),0)</f>
        <v>0</v>
      </c>
      <c r="C32" s="1512">
        <f t="shared" si="8"/>
        <v>0</v>
      </c>
      <c r="D32" s="1512">
        <f t="shared" si="8"/>
        <v>0</v>
      </c>
      <c r="E32" s="1512">
        <f t="shared" si="8"/>
        <v>0</v>
      </c>
      <c r="F32" s="1512">
        <f t="shared" si="8"/>
        <v>0</v>
      </c>
      <c r="G32" s="1512">
        <f t="shared" si="8"/>
        <v>0</v>
      </c>
      <c r="H32" s="1512">
        <f t="shared" si="8"/>
        <v>0</v>
      </c>
      <c r="I32" s="1512">
        <f t="shared" si="8"/>
        <v>0</v>
      </c>
      <c r="J32" s="1512">
        <f t="shared" si="8"/>
        <v>0</v>
      </c>
      <c r="K32" s="1512">
        <f t="shared" si="8"/>
        <v>0</v>
      </c>
      <c r="L32" s="1512">
        <f t="shared" si="8"/>
        <v>0</v>
      </c>
      <c r="M32" s="1512">
        <f t="shared" si="8"/>
        <v>0</v>
      </c>
      <c r="N32" s="2169">
        <f>SUM(B32:M32)</f>
        <v>0</v>
      </c>
    </row>
    <row r="33" spans="1:14" ht="18" thickBot="1" x14ac:dyDescent="0.35"/>
    <row r="34" spans="1:14" ht="20.25" thickBot="1" x14ac:dyDescent="0.35">
      <c r="A34" s="1832">
        <f>A28+1</f>
        <v>3</v>
      </c>
      <c r="B34" s="1831">
        <f>B28+1</f>
        <v>2029</v>
      </c>
      <c r="C34" s="1080"/>
    </row>
    <row r="35" spans="1:14" ht="19.5" customHeight="1" x14ac:dyDescent="0.3">
      <c r="A35" s="1514" t="s">
        <v>863</v>
      </c>
      <c r="B35" s="1513">
        <v>37</v>
      </c>
      <c r="C35" s="1513">
        <v>38</v>
      </c>
      <c r="D35" s="1513">
        <v>39</v>
      </c>
      <c r="E35" s="1513">
        <v>40</v>
      </c>
      <c r="F35" s="1513">
        <v>41</v>
      </c>
      <c r="G35" s="1513">
        <v>42</v>
      </c>
      <c r="H35" s="1513">
        <v>43</v>
      </c>
      <c r="I35" s="1513">
        <v>44</v>
      </c>
      <c r="J35" s="1513">
        <v>45</v>
      </c>
      <c r="K35" s="1513">
        <v>46</v>
      </c>
      <c r="L35" s="1513">
        <v>47</v>
      </c>
      <c r="M35" s="1513">
        <v>48</v>
      </c>
      <c r="N35" s="2167" t="s">
        <v>860</v>
      </c>
    </row>
    <row r="36" spans="1:14" ht="19.5" customHeight="1" x14ac:dyDescent="0.3">
      <c r="A36" s="1509" t="s">
        <v>1012</v>
      </c>
      <c r="B36" s="1510">
        <f t="shared" ref="B36:M36" si="9">B37+B38</f>
        <v>0</v>
      </c>
      <c r="C36" s="1510">
        <f t="shared" si="9"/>
        <v>0</v>
      </c>
      <c r="D36" s="1510">
        <f t="shared" si="9"/>
        <v>0</v>
      </c>
      <c r="E36" s="1510">
        <f t="shared" si="9"/>
        <v>0</v>
      </c>
      <c r="F36" s="1510">
        <f t="shared" si="9"/>
        <v>0</v>
      </c>
      <c r="G36" s="1510">
        <f t="shared" si="9"/>
        <v>0</v>
      </c>
      <c r="H36" s="1510">
        <f t="shared" si="9"/>
        <v>0</v>
      </c>
      <c r="I36" s="1510">
        <f t="shared" si="9"/>
        <v>0</v>
      </c>
      <c r="J36" s="1510">
        <f t="shared" si="9"/>
        <v>0</v>
      </c>
      <c r="K36" s="1510">
        <f t="shared" si="9"/>
        <v>0</v>
      </c>
      <c r="L36" s="1510">
        <f t="shared" si="9"/>
        <v>0</v>
      </c>
      <c r="M36" s="1510">
        <f t="shared" si="9"/>
        <v>0</v>
      </c>
      <c r="N36" s="2168">
        <f>SUM(B36:M36)</f>
        <v>0</v>
      </c>
    </row>
    <row r="37" spans="1:14" ht="19.5" customHeight="1" x14ac:dyDescent="0.3">
      <c r="A37" s="1509" t="s">
        <v>862</v>
      </c>
      <c r="B37" s="1510">
        <f t="shared" ref="B37:M37" si="10">+IF(MOD((B35-$G$8)*$B$10,12),0,IF(B35&lt;$G$9,$B$6*$B$7/$B$10,IF(B35&lt;=$G$10,IPMT($B$7/$B$10,(B35-$G$8)*$B$10/12-$B$11+1,$B$9,-$B$6),0)))
+IF(MOD((B35-$H$8)*$C$10,12),0,IF(B35&lt;$H$9,$C$6*$C$7/$C$10,IF(B35&lt;=$H$10,IPMT($C$7/$C$10,(B35-$H$8)*$C$10/12-$C$11+1,$C$9,-$C$6),0)))</f>
        <v>0</v>
      </c>
      <c r="C37" s="1510">
        <f t="shared" si="10"/>
        <v>0</v>
      </c>
      <c r="D37" s="1510">
        <f t="shared" si="10"/>
        <v>0</v>
      </c>
      <c r="E37" s="1510">
        <f t="shared" si="10"/>
        <v>0</v>
      </c>
      <c r="F37" s="1510">
        <f t="shared" si="10"/>
        <v>0</v>
      </c>
      <c r="G37" s="1510">
        <f t="shared" si="10"/>
        <v>0</v>
      </c>
      <c r="H37" s="1510">
        <f t="shared" si="10"/>
        <v>0</v>
      </c>
      <c r="I37" s="1510">
        <f t="shared" si="10"/>
        <v>0</v>
      </c>
      <c r="J37" s="1510">
        <f t="shared" si="10"/>
        <v>0</v>
      </c>
      <c r="K37" s="1510">
        <f t="shared" si="10"/>
        <v>0</v>
      </c>
      <c r="L37" s="1510">
        <f t="shared" si="10"/>
        <v>0</v>
      </c>
      <c r="M37" s="1510">
        <f t="shared" si="10"/>
        <v>0</v>
      </c>
      <c r="N37" s="2168">
        <f>SUM(B37:M37)</f>
        <v>0</v>
      </c>
    </row>
    <row r="38" spans="1:14" ht="19.5" customHeight="1" thickBot="1" x14ac:dyDescent="0.35">
      <c r="A38" s="1511" t="s">
        <v>998</v>
      </c>
      <c r="B38" s="1512">
        <f t="shared" ref="B38:M38" si="11">IF(AND(B35&gt;=$G$9,B35&lt;=$G$10,MOD((B35-$G$8)*$B$10,12)=0),PPMT($B$7/$B$10,(B35-$G$8)*$B$10/12-$B$11+1,$B$9,-$B$6),0)
+IF(AND(B35&gt;=$H$9,B35&lt;=$H$10,MOD((B35-$H$8)*$C$10,12)=0),PPMT($C$7/$C$10,(B35-$H$8)*$C$10/12-$C$11+1,$C$9,-$C$6),0)</f>
        <v>0</v>
      </c>
      <c r="C38" s="1512">
        <f t="shared" si="11"/>
        <v>0</v>
      </c>
      <c r="D38" s="1512">
        <f t="shared" si="11"/>
        <v>0</v>
      </c>
      <c r="E38" s="1512">
        <f t="shared" si="11"/>
        <v>0</v>
      </c>
      <c r="F38" s="1512">
        <f t="shared" si="11"/>
        <v>0</v>
      </c>
      <c r="G38" s="1512">
        <f t="shared" si="11"/>
        <v>0</v>
      </c>
      <c r="H38" s="1512">
        <f t="shared" si="11"/>
        <v>0</v>
      </c>
      <c r="I38" s="1512">
        <f t="shared" si="11"/>
        <v>0</v>
      </c>
      <c r="J38" s="1512">
        <f t="shared" si="11"/>
        <v>0</v>
      </c>
      <c r="K38" s="1512">
        <f t="shared" si="11"/>
        <v>0</v>
      </c>
      <c r="L38" s="1512">
        <f t="shared" si="11"/>
        <v>0</v>
      </c>
      <c r="M38" s="1512">
        <f t="shared" si="11"/>
        <v>0</v>
      </c>
      <c r="N38" s="2169">
        <f>SUM(B38:M38)</f>
        <v>0</v>
      </c>
    </row>
    <row r="39" spans="1:14" ht="18" thickBot="1" x14ac:dyDescent="0.35"/>
    <row r="40" spans="1:14" ht="20.25" thickBot="1" x14ac:dyDescent="0.35">
      <c r="A40" s="1832">
        <f>A34+1</f>
        <v>4</v>
      </c>
      <c r="B40" s="1831">
        <f>B34+1</f>
        <v>2030</v>
      </c>
      <c r="C40" s="1080"/>
    </row>
    <row r="41" spans="1:14" ht="19.5" customHeight="1" x14ac:dyDescent="0.3">
      <c r="A41" s="1514" t="s">
        <v>863</v>
      </c>
      <c r="B41" s="1513">
        <v>49</v>
      </c>
      <c r="C41" s="1513">
        <v>50</v>
      </c>
      <c r="D41" s="1513">
        <v>51</v>
      </c>
      <c r="E41" s="1513">
        <v>52</v>
      </c>
      <c r="F41" s="1513">
        <v>53</v>
      </c>
      <c r="G41" s="1513">
        <v>54</v>
      </c>
      <c r="H41" s="1513">
        <v>55</v>
      </c>
      <c r="I41" s="1513">
        <v>56</v>
      </c>
      <c r="J41" s="1513">
        <v>57</v>
      </c>
      <c r="K41" s="1513">
        <v>58</v>
      </c>
      <c r="L41" s="1513">
        <v>59</v>
      </c>
      <c r="M41" s="1513">
        <v>60</v>
      </c>
      <c r="N41" s="2167" t="s">
        <v>860</v>
      </c>
    </row>
    <row r="42" spans="1:14" ht="19.5" customHeight="1" x14ac:dyDescent="0.3">
      <c r="A42" s="1509" t="s">
        <v>1012</v>
      </c>
      <c r="B42" s="1510">
        <f t="shared" ref="B42:M42" si="12">B43+B44</f>
        <v>0</v>
      </c>
      <c r="C42" s="1510">
        <f t="shared" si="12"/>
        <v>0</v>
      </c>
      <c r="D42" s="1510">
        <f t="shared" si="12"/>
        <v>0</v>
      </c>
      <c r="E42" s="1510">
        <f t="shared" si="12"/>
        <v>0</v>
      </c>
      <c r="F42" s="1510">
        <f t="shared" si="12"/>
        <v>0</v>
      </c>
      <c r="G42" s="1510">
        <f t="shared" si="12"/>
        <v>0</v>
      </c>
      <c r="H42" s="1510">
        <f t="shared" si="12"/>
        <v>0</v>
      </c>
      <c r="I42" s="1510">
        <f t="shared" si="12"/>
        <v>0</v>
      </c>
      <c r="J42" s="1510">
        <f t="shared" si="12"/>
        <v>0</v>
      </c>
      <c r="K42" s="1510">
        <f t="shared" si="12"/>
        <v>0</v>
      </c>
      <c r="L42" s="1510">
        <f t="shared" si="12"/>
        <v>0</v>
      </c>
      <c r="M42" s="1510">
        <f t="shared" si="12"/>
        <v>0</v>
      </c>
      <c r="N42" s="2168">
        <f>SUM(B42:M42)</f>
        <v>0</v>
      </c>
    </row>
    <row r="43" spans="1:14" ht="19.5" customHeight="1" x14ac:dyDescent="0.3">
      <c r="A43" s="1509" t="s">
        <v>862</v>
      </c>
      <c r="B43" s="1510">
        <f t="shared" ref="B43:M43" si="13">+IF(MOD((B41-$G$8)*$B$10,12),0,IF(B41&lt;$G$9,$B$6*$B$7/$B$10,IF(B41&lt;=$G$10,IPMT($B$7/$B$10,(B41-$G$8)*$B$10/12-$B$11+1,$B$9,-$B$6),0)))
+IF(MOD((B41-$H$8)*$C$10,12),0,IF(B41&lt;$H$9,$C$6*$C$7/$C$10,IF(B41&lt;=$H$10,IPMT($C$7/$C$10,(B41-$H$8)*$C$10/12-$C$11+1,$C$9,-$C$6),0)))</f>
        <v>0</v>
      </c>
      <c r="C43" s="1510">
        <f t="shared" si="13"/>
        <v>0</v>
      </c>
      <c r="D43" s="1510">
        <f t="shared" si="13"/>
        <v>0</v>
      </c>
      <c r="E43" s="1510">
        <f t="shared" si="13"/>
        <v>0</v>
      </c>
      <c r="F43" s="1510">
        <f t="shared" si="13"/>
        <v>0</v>
      </c>
      <c r="G43" s="1510">
        <f t="shared" si="13"/>
        <v>0</v>
      </c>
      <c r="H43" s="1510">
        <f t="shared" si="13"/>
        <v>0</v>
      </c>
      <c r="I43" s="1510">
        <f t="shared" si="13"/>
        <v>0</v>
      </c>
      <c r="J43" s="1510">
        <f t="shared" si="13"/>
        <v>0</v>
      </c>
      <c r="K43" s="1510">
        <f t="shared" si="13"/>
        <v>0</v>
      </c>
      <c r="L43" s="1510">
        <f t="shared" si="13"/>
        <v>0</v>
      </c>
      <c r="M43" s="1510">
        <f t="shared" si="13"/>
        <v>0</v>
      </c>
      <c r="N43" s="2168">
        <f>SUM(B43:M43)</f>
        <v>0</v>
      </c>
    </row>
    <row r="44" spans="1:14" ht="19.5" customHeight="1" thickBot="1" x14ac:dyDescent="0.35">
      <c r="A44" s="1511" t="s">
        <v>998</v>
      </c>
      <c r="B44" s="1512">
        <f t="shared" ref="B44:M44" si="14">IF(AND(B41&gt;=$G$9,B41&lt;=$G$10,MOD((B41-$G$8)*$B$10,12)=0),PPMT($B$7/$B$10,(B41-$G$8)*$B$10/12-$B$11+1,$B$9,-$B$6),0)
+IF(AND(B41&gt;=$H$9,B41&lt;=$H$10,MOD((B41-$H$8)*$C$10,12)=0),PPMT($C$7/$C$10,(B41-$H$8)*$C$10/12-$C$11+1,$C$9,-$C$6),0)</f>
        <v>0</v>
      </c>
      <c r="C44" s="1512">
        <f t="shared" si="14"/>
        <v>0</v>
      </c>
      <c r="D44" s="1512">
        <f t="shared" si="14"/>
        <v>0</v>
      </c>
      <c r="E44" s="1512">
        <f t="shared" si="14"/>
        <v>0</v>
      </c>
      <c r="F44" s="1512">
        <f t="shared" si="14"/>
        <v>0</v>
      </c>
      <c r="G44" s="1512">
        <f t="shared" si="14"/>
        <v>0</v>
      </c>
      <c r="H44" s="1512">
        <f t="shared" si="14"/>
        <v>0</v>
      </c>
      <c r="I44" s="1512">
        <f t="shared" si="14"/>
        <v>0</v>
      </c>
      <c r="J44" s="1512">
        <f t="shared" si="14"/>
        <v>0</v>
      </c>
      <c r="K44" s="1512">
        <f t="shared" si="14"/>
        <v>0</v>
      </c>
      <c r="L44" s="1512">
        <f t="shared" si="14"/>
        <v>0</v>
      </c>
      <c r="M44" s="1512">
        <f t="shared" si="14"/>
        <v>0</v>
      </c>
      <c r="N44" s="2169">
        <f>SUM(B44:M44)</f>
        <v>0</v>
      </c>
    </row>
    <row r="45" spans="1:14" ht="18" thickBot="1" x14ac:dyDescent="0.35"/>
    <row r="46" spans="1:14" ht="20.25" thickBot="1" x14ac:dyDescent="0.35">
      <c r="A46" s="1832">
        <f>A40+1</f>
        <v>5</v>
      </c>
      <c r="B46" s="1831">
        <f>B40+1</f>
        <v>2031</v>
      </c>
      <c r="C46" s="1080"/>
    </row>
    <row r="47" spans="1:14" ht="19.5" customHeight="1" x14ac:dyDescent="0.3">
      <c r="A47" s="1514" t="s">
        <v>863</v>
      </c>
      <c r="B47" s="1513">
        <v>61</v>
      </c>
      <c r="C47" s="1513">
        <v>62</v>
      </c>
      <c r="D47" s="1513">
        <v>63</v>
      </c>
      <c r="E47" s="1513">
        <v>64</v>
      </c>
      <c r="F47" s="1513">
        <v>65</v>
      </c>
      <c r="G47" s="1513">
        <v>66</v>
      </c>
      <c r="H47" s="1513">
        <v>67</v>
      </c>
      <c r="I47" s="1513">
        <v>68</v>
      </c>
      <c r="J47" s="1513">
        <v>69</v>
      </c>
      <c r="K47" s="1513">
        <v>70</v>
      </c>
      <c r="L47" s="1513">
        <v>71</v>
      </c>
      <c r="M47" s="1513">
        <v>72</v>
      </c>
      <c r="N47" s="2167" t="s">
        <v>860</v>
      </c>
    </row>
    <row r="48" spans="1:14" ht="19.5" customHeight="1" x14ac:dyDescent="0.3">
      <c r="A48" s="1509" t="s">
        <v>1012</v>
      </c>
      <c r="B48" s="1510">
        <f t="shared" ref="B48:M48" si="15">B49+B50</f>
        <v>0</v>
      </c>
      <c r="C48" s="1510">
        <f t="shared" si="15"/>
        <v>0</v>
      </c>
      <c r="D48" s="1510">
        <f t="shared" si="15"/>
        <v>0</v>
      </c>
      <c r="E48" s="1510">
        <f t="shared" si="15"/>
        <v>0</v>
      </c>
      <c r="F48" s="1510">
        <f t="shared" si="15"/>
        <v>0</v>
      </c>
      <c r="G48" s="1510">
        <f t="shared" si="15"/>
        <v>0</v>
      </c>
      <c r="H48" s="1510">
        <f t="shared" si="15"/>
        <v>0</v>
      </c>
      <c r="I48" s="1510">
        <f t="shared" si="15"/>
        <v>0</v>
      </c>
      <c r="J48" s="1510">
        <f t="shared" si="15"/>
        <v>0</v>
      </c>
      <c r="K48" s="1510">
        <f t="shared" si="15"/>
        <v>0</v>
      </c>
      <c r="L48" s="1510">
        <f t="shared" si="15"/>
        <v>0</v>
      </c>
      <c r="M48" s="1510">
        <f t="shared" si="15"/>
        <v>0</v>
      </c>
      <c r="N48" s="2168">
        <f>SUM(B48:M48)</f>
        <v>0</v>
      </c>
    </row>
    <row r="49" spans="1:14" ht="19.5" customHeight="1" x14ac:dyDescent="0.3">
      <c r="A49" s="1509" t="s">
        <v>862</v>
      </c>
      <c r="B49" s="1510">
        <f t="shared" ref="B49:M49" si="16">IF(MOD((B47-$G$8)*$B$10,12),0,IF(B47&lt;$G$9,$B$6*$B$7/$B$10,IF(B47&lt;=$G$10,IPMT($B$7/$B$10,(B47-$G$8)*$B$10/12-$B$11+1,$B$9,-$B$6),0)))
+IF(MOD((B47-$H$8)*$C$10,12),0,IF(B47&lt;$H$9,$C$6*$C$7/$C$10,IF(B47&lt;=$H$10,IPMT($C$7/$C$10,(B47-$H$8)*$C$10/12-$C$11+1,$C$9,-$C$6),0)))</f>
        <v>0</v>
      </c>
      <c r="C49" s="1510">
        <f t="shared" si="16"/>
        <v>0</v>
      </c>
      <c r="D49" s="1510">
        <f t="shared" si="16"/>
        <v>0</v>
      </c>
      <c r="E49" s="1510">
        <f t="shared" si="16"/>
        <v>0</v>
      </c>
      <c r="F49" s="1510">
        <f t="shared" si="16"/>
        <v>0</v>
      </c>
      <c r="G49" s="1510">
        <f t="shared" si="16"/>
        <v>0</v>
      </c>
      <c r="H49" s="1510">
        <f t="shared" si="16"/>
        <v>0</v>
      </c>
      <c r="I49" s="1510">
        <f t="shared" si="16"/>
        <v>0</v>
      </c>
      <c r="J49" s="1510">
        <f t="shared" si="16"/>
        <v>0</v>
      </c>
      <c r="K49" s="1510">
        <f t="shared" si="16"/>
        <v>0</v>
      </c>
      <c r="L49" s="1510">
        <f t="shared" si="16"/>
        <v>0</v>
      </c>
      <c r="M49" s="1510">
        <f t="shared" si="16"/>
        <v>0</v>
      </c>
      <c r="N49" s="2168">
        <f>SUM(B49:M49)</f>
        <v>0</v>
      </c>
    </row>
    <row r="50" spans="1:14" ht="19.5" customHeight="1" thickBot="1" x14ac:dyDescent="0.35">
      <c r="A50" s="1511" t="s">
        <v>998</v>
      </c>
      <c r="B50" s="1512">
        <f t="shared" ref="B50:M50" si="17">IF(AND(B47&gt;=$G$9,B47&lt;=$G$10,MOD((B47-$G$8)*$B$10,12)=0),PPMT($B$7/$B$10,(B47-$G$8)*$B$10/12-$B$11+1,$B$9,-$B$6),0)
+IF(AND(B47&gt;=$H$9,B47&lt;=$H$10,MOD((B47-$H$8)*$C$10,12)=0),PPMT($C$7/$C$10,(B47-$H$8)*$C$10/12-$C$11+1,$C$9,-$C$6),0)</f>
        <v>0</v>
      </c>
      <c r="C50" s="1512">
        <f t="shared" si="17"/>
        <v>0</v>
      </c>
      <c r="D50" s="1512">
        <f t="shared" si="17"/>
        <v>0</v>
      </c>
      <c r="E50" s="1512">
        <f t="shared" si="17"/>
        <v>0</v>
      </c>
      <c r="F50" s="1512">
        <f t="shared" si="17"/>
        <v>0</v>
      </c>
      <c r="G50" s="1512">
        <f t="shared" si="17"/>
        <v>0</v>
      </c>
      <c r="H50" s="1512">
        <f t="shared" si="17"/>
        <v>0</v>
      </c>
      <c r="I50" s="1512">
        <f t="shared" si="17"/>
        <v>0</v>
      </c>
      <c r="J50" s="1512">
        <f t="shared" si="17"/>
        <v>0</v>
      </c>
      <c r="K50" s="1512">
        <f t="shared" si="17"/>
        <v>0</v>
      </c>
      <c r="L50" s="1512">
        <f t="shared" si="17"/>
        <v>0</v>
      </c>
      <c r="M50" s="1512">
        <f t="shared" si="17"/>
        <v>0</v>
      </c>
      <c r="N50" s="2169">
        <f>SUM(B50:M50)</f>
        <v>0</v>
      </c>
    </row>
  </sheetData>
  <sheetProtection sheet="1" objects="1" scenarios="1" formatCells="0" formatColumns="0"/>
  <phoneticPr fontId="13" type="noConversion"/>
  <conditionalFormatting sqref="B18:M20">
    <cfRule type="expression" dxfId="42" priority="1" stopIfTrue="1">
      <formula>B$17&lt;mes0</formula>
    </cfRule>
  </conditionalFormatting>
  <dataValidations xWindow="303" yWindow="297" count="6">
    <dataValidation type="whole" allowBlank="1" showInputMessage="1" showErrorMessage="1" sqref="B11:C11" xr:uid="{00000000-0002-0000-0D00-000000000000}">
      <formula1>0</formula1>
      <formula2>plazo/npagos*12</formula2>
    </dataValidation>
    <dataValidation type="list" allowBlank="1" showInputMessage="1" showErrorMessage="1" prompt="  1 = 1 solo pago anual_x000a_  2 = pagos semestrales_x000a_  3 = pagos cuatrimestrales_x000a_  4 = pagos trimestrales_x000a_  6 = pagos bimensuales_x000a_12 = pagos mensuales" sqref="B10:C10" xr:uid="{00000000-0002-0000-0D00-000001000000}">
      <formula1>"1,2,3,4,6,12"</formula1>
    </dataValidation>
    <dataValidation type="whole" allowBlank="1" showInputMessage="1" showErrorMessage="1" sqref="B9:C9" xr:uid="{00000000-0002-0000-0D00-000002000000}">
      <formula1>0</formula1>
      <formula2>400</formula2>
    </dataValidation>
    <dataValidation type="whole" allowBlank="1" showInputMessage="1" showErrorMessage="1" prompt="Mes en el que se recibe el préstamo. El periodo siguiente será el primer pago. NO puede ser anterior al mes inicial." sqref="B12" xr:uid="{00000000-0002-0000-0D00-000003000000}">
      <formula1>mes0-1</formula1>
      <formula2>24</formula2>
    </dataValidation>
    <dataValidation allowBlank="1" showInputMessage="1" showErrorMessage="1" prompt="Tipo nominal anual" sqref="B7:C7" xr:uid="{00000000-0002-0000-0D00-000004000000}"/>
    <dataValidation type="decimal" allowBlank="1" showInputMessage="1" showErrorMessage="1" sqref="B8:C8" xr:uid="{00000000-0002-0000-0D00-000005000000}">
      <formula1>0</formula1>
      <formula2>0.05</formula2>
    </dataValidation>
  </dataValidations>
  <printOptions horizontalCentered="1"/>
  <pageMargins left="0.56000000000000005" right="0.69" top="0.55000000000000004" bottom="0.56999999999999995" header="0.46" footer="0.36"/>
  <pageSetup paperSize="9" scale="54" orientation="landscape" horizontalDpi="4294967292" verticalDpi="300" r:id="rId1"/>
  <headerFooter alignWithMargins="0">
    <oddFooter>&amp;A</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0">
    <tabColor rgb="FF7CC9D0"/>
    <pageSetUpPr fitToPage="1"/>
  </sheetPr>
  <dimension ref="A1:N57"/>
  <sheetViews>
    <sheetView showGridLines="0" workbookViewId="0"/>
  </sheetViews>
  <sheetFormatPr baseColWidth="10" defaultRowHeight="17.25" x14ac:dyDescent="0.3"/>
  <cols>
    <col min="1" max="1" width="28.625" style="1079" customWidth="1"/>
    <col min="2" max="2" width="14.25" style="1079" customWidth="1"/>
    <col min="3" max="3" width="13.625" style="1079" customWidth="1"/>
    <col min="4" max="4" width="15.25" style="1079" customWidth="1"/>
    <col min="5" max="5" width="12" style="1079" customWidth="1"/>
    <col min="6" max="6" width="15.875" style="1079" customWidth="1"/>
    <col min="7" max="7" width="13.5" style="1079" customWidth="1"/>
    <col min="8" max="8" width="11.75" style="1079" customWidth="1"/>
    <col min="9" max="9" width="11.875" style="1079" customWidth="1"/>
    <col min="10" max="10" width="14.625" style="1079" bestFit="1" customWidth="1"/>
    <col min="11" max="11" width="16.25" style="1079" customWidth="1"/>
    <col min="12" max="13" width="14.625" style="1079" bestFit="1" customWidth="1"/>
    <col min="14" max="14" width="12.875" style="1079" customWidth="1"/>
    <col min="15" max="16384" width="11" style="1079"/>
  </cols>
  <sheetData>
    <row r="1" spans="1:14" ht="27.75" x14ac:dyDescent="0.45">
      <c r="A1" s="1308" t="s">
        <v>833</v>
      </c>
      <c r="B1" s="1398"/>
      <c r="C1" s="1398"/>
      <c r="D1" s="1398"/>
      <c r="E1" s="1397"/>
      <c r="F1" s="1535"/>
      <c r="G1" s="1398"/>
      <c r="H1" s="1398"/>
      <c r="I1" s="1398"/>
      <c r="J1" s="2260"/>
      <c r="K1" s="2260"/>
      <c r="L1" s="2260"/>
      <c r="M1" s="2259"/>
      <c r="N1" s="2259"/>
    </row>
    <row r="2" spans="1:14" ht="27.75" x14ac:dyDescent="0.45">
      <c r="A2" s="1081">
        <f>'Datos Básicos'!B8</f>
        <v>0</v>
      </c>
      <c r="F2" s="1082"/>
      <c r="J2" s="1082"/>
    </row>
    <row r="3" spans="1:14" ht="19.5" customHeight="1" x14ac:dyDescent="0.3">
      <c r="C3" s="1080"/>
      <c r="F3" s="1082"/>
    </row>
    <row r="4" spans="1:14" ht="19.5" customHeight="1" x14ac:dyDescent="0.3">
      <c r="C4" s="1080"/>
      <c r="F4" s="1082"/>
    </row>
    <row r="5" spans="1:14" ht="19.5" customHeight="1" thickBot="1" x14ac:dyDescent="0.35">
      <c r="C5" s="1080"/>
      <c r="F5" s="1082"/>
    </row>
    <row r="6" spans="1:14" x14ac:dyDescent="0.3">
      <c r="A6" s="1833" t="s">
        <v>818</v>
      </c>
      <c r="B6" s="1833" t="str">
        <f>'Financiación Inicial'!F23</f>
        <v>Renting 1</v>
      </c>
      <c r="C6" s="1833" t="str">
        <f>'Financiación Inicial'!G23</f>
        <v>Renting 2</v>
      </c>
      <c r="F6" s="1833" t="s">
        <v>819</v>
      </c>
      <c r="G6" s="1833"/>
      <c r="H6" s="1833" t="str">
        <f>B6</f>
        <v>Renting 1</v>
      </c>
      <c r="I6" s="1833" t="str">
        <f>C6</f>
        <v>Renting 2</v>
      </c>
    </row>
    <row r="7" spans="1:14" ht="19.5" x14ac:dyDescent="0.3">
      <c r="A7" s="1523" t="s">
        <v>385</v>
      </c>
      <c r="B7" s="1175">
        <f>'Financiación Inicial'!F24</f>
        <v>0</v>
      </c>
      <c r="C7" s="1529">
        <f>'Financiación Inicial'!G24</f>
        <v>0</v>
      </c>
      <c r="F7" s="1523"/>
      <c r="G7" s="1178" t="s">
        <v>834</v>
      </c>
      <c r="H7" s="1177">
        <f>B11*12/B12</f>
        <v>48</v>
      </c>
      <c r="I7" s="1525">
        <f>C11*12/C12</f>
        <v>36</v>
      </c>
    </row>
    <row r="8" spans="1:14" ht="21" x14ac:dyDescent="0.3">
      <c r="A8" s="1523" t="s">
        <v>809</v>
      </c>
      <c r="B8" s="1175">
        <f>'Financiación Inicial'!F29</f>
        <v>0</v>
      </c>
      <c r="C8" s="1529">
        <f>'Financiación Inicial'!G29</f>
        <v>0</v>
      </c>
      <c r="F8" s="1523"/>
      <c r="G8" s="1178" t="s">
        <v>836</v>
      </c>
      <c r="H8" s="1177">
        <f>mes0</f>
        <v>1</v>
      </c>
      <c r="I8" s="1525">
        <f>mes0</f>
        <v>1</v>
      </c>
    </row>
    <row r="9" spans="1:14" ht="20.25" thickBot="1" x14ac:dyDescent="0.35">
      <c r="A9" s="1523" t="s">
        <v>959</v>
      </c>
      <c r="B9" s="1176">
        <f>'Financiación Inicial'!F25</f>
        <v>0.08</v>
      </c>
      <c r="C9" s="1524">
        <f>'Financiación Inicial'!G25</f>
        <v>0.1</v>
      </c>
      <c r="F9" s="1526"/>
      <c r="G9" s="1530" t="s">
        <v>835</v>
      </c>
      <c r="H9" s="1531">
        <f>H7+H8-1</f>
        <v>48</v>
      </c>
      <c r="I9" s="1532">
        <f>I7+I8-1</f>
        <v>36</v>
      </c>
    </row>
    <row r="10" spans="1:14" ht="19.5" x14ac:dyDescent="0.3">
      <c r="A10" s="1523" t="s">
        <v>56</v>
      </c>
      <c r="B10" s="1176">
        <f>'Financiación Inicial'!F26</f>
        <v>5.0000000000000001E-3</v>
      </c>
      <c r="C10" s="1524">
        <f>'Financiación Inicial'!G26</f>
        <v>0.01</v>
      </c>
    </row>
    <row r="11" spans="1:14" ht="19.5" x14ac:dyDescent="0.3">
      <c r="A11" s="1523" t="s">
        <v>1011</v>
      </c>
      <c r="B11" s="1177">
        <f>'Financiación Inicial'!F27</f>
        <v>24</v>
      </c>
      <c r="C11" s="1525">
        <f>'Financiación Inicial'!G27</f>
        <v>36</v>
      </c>
    </row>
    <row r="12" spans="1:14" ht="20.25" thickBot="1" x14ac:dyDescent="0.35">
      <c r="A12" s="1526" t="s">
        <v>1010</v>
      </c>
      <c r="B12" s="1531">
        <f>'Financiación Inicial'!F28</f>
        <v>6</v>
      </c>
      <c r="C12" s="1532">
        <f>'Financiación Inicial'!G28</f>
        <v>12</v>
      </c>
    </row>
    <row r="13" spans="1:14" ht="12" customHeight="1" thickBot="1" x14ac:dyDescent="0.35">
      <c r="A13" s="1533"/>
      <c r="B13" s="1084"/>
      <c r="F13" s="1082"/>
    </row>
    <row r="14" spans="1:14" ht="19.5" customHeight="1" thickBot="1" x14ac:dyDescent="0.35">
      <c r="A14" s="1545" t="s">
        <v>825</v>
      </c>
      <c r="B14" s="1537">
        <f>PMT(B9/B12,B11,-B7,B8)</f>
        <v>0</v>
      </c>
      <c r="C14" s="1538">
        <f>PMT(C9/C12,C11,-C7,C8)</f>
        <v>0</v>
      </c>
      <c r="E14" s="206" t="str">
        <f>IF('Inversiones AC'!B21&lt;-0.5,'Inversiones AC'!B25,"")</f>
        <v/>
      </c>
      <c r="F14" s="1082"/>
    </row>
    <row r="15" spans="1:14" ht="20.25" thickBot="1" x14ac:dyDescent="0.35">
      <c r="A15" s="1534"/>
      <c r="B15" s="1539" t="str">
        <f>CONCATENATE("€ / ",IF(B12=12,"mes",CONCATENATE(12/B12," meses")))</f>
        <v>€ / 2 meses</v>
      </c>
      <c r="C15" s="1540" t="str">
        <f>CONCATENATE("€ / ",IF(C12=12,"mes",CONCATENATE(12/C12," meses")))</f>
        <v>€ / mes</v>
      </c>
      <c r="F15" s="1082"/>
    </row>
    <row r="16" spans="1:14" ht="19.5" customHeight="1" thickBot="1" x14ac:dyDescent="0.35">
      <c r="A16" s="1085"/>
      <c r="C16" s="1080"/>
      <c r="F16" s="1080"/>
    </row>
    <row r="17" spans="1:14" ht="19.5" customHeight="1" thickBot="1" x14ac:dyDescent="0.35">
      <c r="A17" s="1548" t="str">
        <f>'Datos Básicos'!B16</f>
        <v>Año 0</v>
      </c>
      <c r="B17" s="1541">
        <f>'Datos Básicos'!B17</f>
        <v>2026</v>
      </c>
      <c r="C17" s="1080"/>
    </row>
    <row r="18" spans="1:14" ht="19.5" customHeight="1" x14ac:dyDescent="0.3">
      <c r="A18" s="1550" t="s">
        <v>863</v>
      </c>
      <c r="B18" s="1513">
        <v>1</v>
      </c>
      <c r="C18" s="1513">
        <f t="shared" ref="C18:M18" si="0">B18+1</f>
        <v>2</v>
      </c>
      <c r="D18" s="1513">
        <f t="shared" si="0"/>
        <v>3</v>
      </c>
      <c r="E18" s="1513">
        <f t="shared" si="0"/>
        <v>4</v>
      </c>
      <c r="F18" s="1513">
        <f t="shared" si="0"/>
        <v>5</v>
      </c>
      <c r="G18" s="1513">
        <f t="shared" si="0"/>
        <v>6</v>
      </c>
      <c r="H18" s="1513">
        <f t="shared" si="0"/>
        <v>7</v>
      </c>
      <c r="I18" s="1513">
        <f t="shared" si="0"/>
        <v>8</v>
      </c>
      <c r="J18" s="1513">
        <f t="shared" si="0"/>
        <v>9</v>
      </c>
      <c r="K18" s="1513">
        <f t="shared" si="0"/>
        <v>10</v>
      </c>
      <c r="L18" s="1513">
        <f t="shared" si="0"/>
        <v>11</v>
      </c>
      <c r="M18" s="1513">
        <f t="shared" si="0"/>
        <v>12</v>
      </c>
      <c r="N18" s="2167" t="s">
        <v>860</v>
      </c>
    </row>
    <row r="19" spans="1:14" ht="19.5" customHeight="1" x14ac:dyDescent="0.3">
      <c r="A19" s="1509" t="str">
        <f>CONCATENATE("Pagos ",$B$6)</f>
        <v>Pagos Renting 1</v>
      </c>
      <c r="B19" s="1510">
        <f t="shared" ref="B19:M19" si="1">IF(B18=$H$8,$B$10*$B$7,0)+IF(AND(B18&gt;=$H$8,B18&lt;=$H$9,MOD((B18)*$B$12,12)=0),$B$14,0)</f>
        <v>0</v>
      </c>
      <c r="C19" s="1510">
        <f t="shared" si="1"/>
        <v>0</v>
      </c>
      <c r="D19" s="1510">
        <f t="shared" si="1"/>
        <v>0</v>
      </c>
      <c r="E19" s="1510">
        <f t="shared" si="1"/>
        <v>0</v>
      </c>
      <c r="F19" s="1510">
        <f t="shared" si="1"/>
        <v>0</v>
      </c>
      <c r="G19" s="1510">
        <f t="shared" si="1"/>
        <v>0</v>
      </c>
      <c r="H19" s="1510">
        <f t="shared" si="1"/>
        <v>0</v>
      </c>
      <c r="I19" s="1510">
        <f t="shared" si="1"/>
        <v>0</v>
      </c>
      <c r="J19" s="1510">
        <f t="shared" si="1"/>
        <v>0</v>
      </c>
      <c r="K19" s="1510">
        <f t="shared" si="1"/>
        <v>0</v>
      </c>
      <c r="L19" s="1510">
        <f t="shared" si="1"/>
        <v>0</v>
      </c>
      <c r="M19" s="1510">
        <f t="shared" si="1"/>
        <v>0</v>
      </c>
      <c r="N19" s="2168">
        <f>SUM(B19:M19)</f>
        <v>0</v>
      </c>
    </row>
    <row r="20" spans="1:14" ht="19.5" customHeight="1" x14ac:dyDescent="0.3">
      <c r="A20" s="1509" t="str">
        <f>CONCATENATE("Pagos ",$C$6)</f>
        <v>Pagos Renting 2</v>
      </c>
      <c r="B20" s="1510">
        <f t="shared" ref="B20:M20" si="2">IF(B18=$I$8,$C$10*$C$7,0)+IF(AND(B18&gt;=$I$8,B18&lt;=$I$9,MOD((B18)*$C$12,12)=0),$C$14,0)</f>
        <v>0</v>
      </c>
      <c r="C20" s="1510">
        <f t="shared" si="2"/>
        <v>0</v>
      </c>
      <c r="D20" s="1510">
        <f t="shared" si="2"/>
        <v>0</v>
      </c>
      <c r="E20" s="1510">
        <f t="shared" si="2"/>
        <v>0</v>
      </c>
      <c r="F20" s="1510">
        <f t="shared" si="2"/>
        <v>0</v>
      </c>
      <c r="G20" s="1510">
        <f t="shared" si="2"/>
        <v>0</v>
      </c>
      <c r="H20" s="1510">
        <f t="shared" si="2"/>
        <v>0</v>
      </c>
      <c r="I20" s="1510">
        <f t="shared" si="2"/>
        <v>0</v>
      </c>
      <c r="J20" s="1510">
        <f t="shared" si="2"/>
        <v>0</v>
      </c>
      <c r="K20" s="1510">
        <f t="shared" si="2"/>
        <v>0</v>
      </c>
      <c r="L20" s="1510">
        <f t="shared" si="2"/>
        <v>0</v>
      </c>
      <c r="M20" s="1510">
        <f t="shared" si="2"/>
        <v>0</v>
      </c>
      <c r="N20" s="2168">
        <f>SUM(B20:M20)</f>
        <v>0</v>
      </c>
    </row>
    <row r="21" spans="1:14" ht="19.5" customHeight="1" x14ac:dyDescent="0.3">
      <c r="A21" s="1509" t="s">
        <v>803</v>
      </c>
      <c r="B21" s="1549">
        <f t="shared" ref="B21:M21" si="3">SUM(B19:B20)</f>
        <v>0</v>
      </c>
      <c r="C21" s="1549">
        <f t="shared" si="3"/>
        <v>0</v>
      </c>
      <c r="D21" s="1549">
        <f t="shared" si="3"/>
        <v>0</v>
      </c>
      <c r="E21" s="1549">
        <f t="shared" si="3"/>
        <v>0</v>
      </c>
      <c r="F21" s="1549">
        <f t="shared" si="3"/>
        <v>0</v>
      </c>
      <c r="G21" s="1549">
        <f t="shared" si="3"/>
        <v>0</v>
      </c>
      <c r="H21" s="1549">
        <f t="shared" si="3"/>
        <v>0</v>
      </c>
      <c r="I21" s="1549">
        <f t="shared" si="3"/>
        <v>0</v>
      </c>
      <c r="J21" s="1549">
        <f t="shared" si="3"/>
        <v>0</v>
      </c>
      <c r="K21" s="1549">
        <f t="shared" si="3"/>
        <v>0</v>
      </c>
      <c r="L21" s="1549">
        <f t="shared" si="3"/>
        <v>0</v>
      </c>
      <c r="M21" s="1549">
        <f t="shared" si="3"/>
        <v>0</v>
      </c>
      <c r="N21" s="2168">
        <f>SUM(B21:M21)</f>
        <v>0</v>
      </c>
    </row>
    <row r="22" spans="1:14" ht="19.5" customHeight="1" thickBot="1" x14ac:dyDescent="0.35">
      <c r="A22" s="1511" t="s">
        <v>349</v>
      </c>
      <c r="B22" s="1512">
        <f>B21*Parametros!$F$33</f>
        <v>0</v>
      </c>
      <c r="C22" s="1512">
        <f>C21*Parametros!$F$33</f>
        <v>0</v>
      </c>
      <c r="D22" s="1512">
        <f>D21*Parametros!$F$33</f>
        <v>0</v>
      </c>
      <c r="E22" s="1512">
        <f>E21*Parametros!$F$33</f>
        <v>0</v>
      </c>
      <c r="F22" s="1512">
        <f>F21*Parametros!$F$33</f>
        <v>0</v>
      </c>
      <c r="G22" s="1512">
        <f>G21*Parametros!$F$33</f>
        <v>0</v>
      </c>
      <c r="H22" s="1512">
        <f>H21*Parametros!$F$33</f>
        <v>0</v>
      </c>
      <c r="I22" s="1512">
        <f>I21*Parametros!$F$33</f>
        <v>0</v>
      </c>
      <c r="J22" s="1512">
        <f>J21*Parametros!$F$33</f>
        <v>0</v>
      </c>
      <c r="K22" s="1512">
        <f>K21*Parametros!$F$33</f>
        <v>0</v>
      </c>
      <c r="L22" s="1512">
        <f>L21*Parametros!$F$33</f>
        <v>0</v>
      </c>
      <c r="M22" s="1512">
        <f>M21*Parametros!$F$33</f>
        <v>0</v>
      </c>
      <c r="N22" s="2169">
        <f>SUM(B22:M22)</f>
        <v>0</v>
      </c>
    </row>
    <row r="23" spans="1:14" ht="19.5" customHeight="1" x14ac:dyDescent="0.3">
      <c r="A23" s="1077"/>
      <c r="B23" s="1078"/>
      <c r="C23" s="1078"/>
      <c r="D23" s="1078"/>
      <c r="E23" s="1078"/>
      <c r="F23" s="1078"/>
      <c r="G23" s="1078"/>
      <c r="H23" s="1078"/>
      <c r="I23" s="1078"/>
      <c r="J23" s="1078"/>
      <c r="K23" s="1078"/>
      <c r="L23" s="1078"/>
      <c r="M23" s="1078"/>
      <c r="N23" s="1078"/>
    </row>
    <row r="24" spans="1:14" ht="19.5" customHeight="1" thickBot="1" x14ac:dyDescent="0.35">
      <c r="A24" s="1077"/>
      <c r="B24" s="1078"/>
      <c r="C24" s="1078"/>
      <c r="D24" s="1078"/>
      <c r="E24" s="1078"/>
      <c r="F24" s="1078"/>
      <c r="G24" s="1078"/>
      <c r="H24" s="1078"/>
      <c r="I24" s="1078"/>
      <c r="J24" s="1078"/>
      <c r="K24" s="1078"/>
      <c r="L24" s="1078"/>
      <c r="M24" s="1078"/>
      <c r="N24" s="1078"/>
    </row>
    <row r="25" spans="1:14" ht="19.5" customHeight="1" thickBot="1" x14ac:dyDescent="0.35">
      <c r="A25" s="1544">
        <f>'Datos Básicos'!C16</f>
        <v>1</v>
      </c>
      <c r="B25" s="1542">
        <f>B17+1</f>
        <v>2027</v>
      </c>
      <c r="C25" s="1080"/>
    </row>
    <row r="26" spans="1:14" ht="19.5" customHeight="1" x14ac:dyDescent="0.3">
      <c r="A26" s="1514" t="s">
        <v>863</v>
      </c>
      <c r="B26" s="1513">
        <f>B18+12</f>
        <v>13</v>
      </c>
      <c r="C26" s="1513">
        <f t="shared" ref="C26:M26" si="4">B26+1</f>
        <v>14</v>
      </c>
      <c r="D26" s="1513">
        <f t="shared" si="4"/>
        <v>15</v>
      </c>
      <c r="E26" s="1513">
        <f t="shared" si="4"/>
        <v>16</v>
      </c>
      <c r="F26" s="1513">
        <f t="shared" si="4"/>
        <v>17</v>
      </c>
      <c r="G26" s="1513">
        <f t="shared" si="4"/>
        <v>18</v>
      </c>
      <c r="H26" s="1513">
        <f t="shared" si="4"/>
        <v>19</v>
      </c>
      <c r="I26" s="1513">
        <f t="shared" si="4"/>
        <v>20</v>
      </c>
      <c r="J26" s="1513">
        <f t="shared" si="4"/>
        <v>21</v>
      </c>
      <c r="K26" s="1513">
        <f t="shared" si="4"/>
        <v>22</v>
      </c>
      <c r="L26" s="1513">
        <f t="shared" si="4"/>
        <v>23</v>
      </c>
      <c r="M26" s="1513">
        <f t="shared" si="4"/>
        <v>24</v>
      </c>
      <c r="N26" s="2167" t="s">
        <v>860</v>
      </c>
    </row>
    <row r="27" spans="1:14" ht="19.5" customHeight="1" x14ac:dyDescent="0.3">
      <c r="A27" s="1509" t="str">
        <f>CONCATENATE("Pagos ",$B$6)</f>
        <v>Pagos Renting 1</v>
      </c>
      <c r="B27" s="1510">
        <f>IF(AND(B26&gt;=$H$8,B26&lt;=$H$9,MOD((B26)*$B$12,12)=0),$B$14,0)</f>
        <v>0</v>
      </c>
      <c r="C27" s="1510">
        <f t="shared" ref="C27:M27" si="5">IF(C26=$H$8,$B$10*$B$7,0)+IF(AND(C26&gt;=$H$8,C26&lt;=$H$9,MOD((C26)*$B$12,12)=0),$B$14,0)</f>
        <v>0</v>
      </c>
      <c r="D27" s="1510">
        <f t="shared" si="5"/>
        <v>0</v>
      </c>
      <c r="E27" s="1510">
        <f t="shared" si="5"/>
        <v>0</v>
      </c>
      <c r="F27" s="1510">
        <f t="shared" si="5"/>
        <v>0</v>
      </c>
      <c r="G27" s="1510">
        <f t="shared" si="5"/>
        <v>0</v>
      </c>
      <c r="H27" s="1510">
        <f t="shared" si="5"/>
        <v>0</v>
      </c>
      <c r="I27" s="1510">
        <f t="shared" si="5"/>
        <v>0</v>
      </c>
      <c r="J27" s="1510">
        <f t="shared" si="5"/>
        <v>0</v>
      </c>
      <c r="K27" s="1510">
        <f t="shared" si="5"/>
        <v>0</v>
      </c>
      <c r="L27" s="1510">
        <f t="shared" si="5"/>
        <v>0</v>
      </c>
      <c r="M27" s="1510">
        <f t="shared" si="5"/>
        <v>0</v>
      </c>
      <c r="N27" s="2168">
        <f>SUM(B27:M27)</f>
        <v>0</v>
      </c>
    </row>
    <row r="28" spans="1:14" ht="19.5" customHeight="1" x14ac:dyDescent="0.3">
      <c r="A28" s="1509" t="str">
        <f>CONCATENATE("Pagos ",$C$6)</f>
        <v>Pagos Renting 2</v>
      </c>
      <c r="B28" s="1510">
        <f>IF(AND(B26&gt;=$I$8,B26&lt;=$I$9,MOD((B26)*$C$12,12)=0),$C$14,0)</f>
        <v>0</v>
      </c>
      <c r="C28" s="1510">
        <f t="shared" ref="C28:M28" si="6">IF(C26=$I$8,$C$10*$C$7,0)+IF(AND(C26&gt;=$I$8,C26&lt;=$I$9,MOD((C26)*$C$12,12)=0),$C$14,0)</f>
        <v>0</v>
      </c>
      <c r="D28" s="1510">
        <f t="shared" si="6"/>
        <v>0</v>
      </c>
      <c r="E28" s="1510">
        <f t="shared" si="6"/>
        <v>0</v>
      </c>
      <c r="F28" s="1510">
        <f t="shared" si="6"/>
        <v>0</v>
      </c>
      <c r="G28" s="1510">
        <f t="shared" si="6"/>
        <v>0</v>
      </c>
      <c r="H28" s="1510">
        <f t="shared" si="6"/>
        <v>0</v>
      </c>
      <c r="I28" s="1510">
        <f t="shared" si="6"/>
        <v>0</v>
      </c>
      <c r="J28" s="1510">
        <f t="shared" si="6"/>
        <v>0</v>
      </c>
      <c r="K28" s="1510">
        <f t="shared" si="6"/>
        <v>0</v>
      </c>
      <c r="L28" s="1510">
        <f t="shared" si="6"/>
        <v>0</v>
      </c>
      <c r="M28" s="1510">
        <f t="shared" si="6"/>
        <v>0</v>
      </c>
      <c r="N28" s="2168">
        <f>SUM(B28:M28)</f>
        <v>0</v>
      </c>
    </row>
    <row r="29" spans="1:14" ht="19.5" customHeight="1" x14ac:dyDescent="0.3">
      <c r="A29" s="1509" t="s">
        <v>803</v>
      </c>
      <c r="B29" s="1510">
        <f t="shared" ref="B29:M29" si="7">SUM(B27:B28)</f>
        <v>0</v>
      </c>
      <c r="C29" s="1510">
        <f t="shared" si="7"/>
        <v>0</v>
      </c>
      <c r="D29" s="1510">
        <f t="shared" si="7"/>
        <v>0</v>
      </c>
      <c r="E29" s="1510">
        <f t="shared" si="7"/>
        <v>0</v>
      </c>
      <c r="F29" s="1510">
        <f t="shared" si="7"/>
        <v>0</v>
      </c>
      <c r="G29" s="1510">
        <f t="shared" si="7"/>
        <v>0</v>
      </c>
      <c r="H29" s="1510">
        <f t="shared" si="7"/>
        <v>0</v>
      </c>
      <c r="I29" s="1510">
        <f t="shared" si="7"/>
        <v>0</v>
      </c>
      <c r="J29" s="1510">
        <f t="shared" si="7"/>
        <v>0</v>
      </c>
      <c r="K29" s="1510">
        <f t="shared" si="7"/>
        <v>0</v>
      </c>
      <c r="L29" s="1510">
        <f t="shared" si="7"/>
        <v>0</v>
      </c>
      <c r="M29" s="1510">
        <f t="shared" si="7"/>
        <v>0</v>
      </c>
      <c r="N29" s="2168">
        <f>SUM(B29:M29)</f>
        <v>0</v>
      </c>
    </row>
    <row r="30" spans="1:14" ht="19.5" customHeight="1" thickBot="1" x14ac:dyDescent="0.35">
      <c r="A30" s="1511" t="s">
        <v>349</v>
      </c>
      <c r="B30" s="1512">
        <f>B29*Parametros!$F$33</f>
        <v>0</v>
      </c>
      <c r="C30" s="1512">
        <f>C29*Parametros!$F$33</f>
        <v>0</v>
      </c>
      <c r="D30" s="1512">
        <f>D29*Parametros!$F$33</f>
        <v>0</v>
      </c>
      <c r="E30" s="1512">
        <f>E29*Parametros!$F$33</f>
        <v>0</v>
      </c>
      <c r="F30" s="1512">
        <f>F29*Parametros!$F$33</f>
        <v>0</v>
      </c>
      <c r="G30" s="1512">
        <f>G29*Parametros!$F$33</f>
        <v>0</v>
      </c>
      <c r="H30" s="1512">
        <f>H29*Parametros!$F$33</f>
        <v>0</v>
      </c>
      <c r="I30" s="1512">
        <f>I29*Parametros!$F$33</f>
        <v>0</v>
      </c>
      <c r="J30" s="1512">
        <f>J29*Parametros!$F$33</f>
        <v>0</v>
      </c>
      <c r="K30" s="1512">
        <f>K29*Parametros!$F$33</f>
        <v>0</v>
      </c>
      <c r="L30" s="1512">
        <f>L29*Parametros!$F$33</f>
        <v>0</v>
      </c>
      <c r="M30" s="1512">
        <f>M29*Parametros!$F$33</f>
        <v>0</v>
      </c>
      <c r="N30" s="2169">
        <f>SUM(B30:M30)</f>
        <v>0</v>
      </c>
    </row>
    <row r="31" spans="1:14" ht="19.5" customHeight="1" x14ac:dyDescent="0.3">
      <c r="A31" s="1077"/>
      <c r="B31" s="1078"/>
      <c r="C31" s="1078"/>
      <c r="D31" s="1078"/>
      <c r="E31" s="1078"/>
      <c r="F31" s="1078"/>
      <c r="G31" s="1078"/>
      <c r="H31" s="1078"/>
      <c r="I31" s="1078"/>
      <c r="J31" s="1078"/>
      <c r="K31" s="1078"/>
      <c r="L31" s="1078"/>
      <c r="M31" s="1078"/>
      <c r="N31" s="1078"/>
    </row>
    <row r="32" spans="1:14" ht="19.5" customHeight="1" thickBot="1" x14ac:dyDescent="0.35">
      <c r="A32" s="1077"/>
      <c r="B32" s="1078"/>
      <c r="C32" s="1078"/>
      <c r="D32" s="1078"/>
      <c r="E32" s="1078"/>
      <c r="F32" s="1078"/>
      <c r="G32" s="1078"/>
      <c r="H32" s="1078"/>
      <c r="I32" s="1078"/>
      <c r="J32" s="1078"/>
      <c r="K32" s="1078"/>
      <c r="L32" s="1078"/>
      <c r="M32" s="1078"/>
      <c r="N32" s="1078"/>
    </row>
    <row r="33" spans="1:14" ht="19.5" customHeight="1" thickBot="1" x14ac:dyDescent="0.35">
      <c r="A33" s="1544">
        <f>A25+1</f>
        <v>2</v>
      </c>
      <c r="B33" s="1542">
        <f>B25+1</f>
        <v>2028</v>
      </c>
      <c r="C33" s="1080"/>
    </row>
    <row r="34" spans="1:14" ht="19.5" customHeight="1" x14ac:dyDescent="0.3">
      <c r="A34" s="1514" t="s">
        <v>863</v>
      </c>
      <c r="B34" s="1513">
        <f>B26+12</f>
        <v>25</v>
      </c>
      <c r="C34" s="1513">
        <f t="shared" ref="C34:M34" si="8">B34+1</f>
        <v>26</v>
      </c>
      <c r="D34" s="1513">
        <f t="shared" si="8"/>
        <v>27</v>
      </c>
      <c r="E34" s="1513">
        <f t="shared" si="8"/>
        <v>28</v>
      </c>
      <c r="F34" s="1513">
        <f t="shared" si="8"/>
        <v>29</v>
      </c>
      <c r="G34" s="1513">
        <f t="shared" si="8"/>
        <v>30</v>
      </c>
      <c r="H34" s="1513">
        <f t="shared" si="8"/>
        <v>31</v>
      </c>
      <c r="I34" s="1513">
        <f t="shared" si="8"/>
        <v>32</v>
      </c>
      <c r="J34" s="1513">
        <f t="shared" si="8"/>
        <v>33</v>
      </c>
      <c r="K34" s="1513">
        <f t="shared" si="8"/>
        <v>34</v>
      </c>
      <c r="L34" s="1513">
        <f t="shared" si="8"/>
        <v>35</v>
      </c>
      <c r="M34" s="1513">
        <f t="shared" si="8"/>
        <v>36</v>
      </c>
      <c r="N34" s="2167" t="s">
        <v>860</v>
      </c>
    </row>
    <row r="35" spans="1:14" ht="19.5" customHeight="1" x14ac:dyDescent="0.3">
      <c r="A35" s="1509" t="str">
        <f>CONCATENATE("Pagos ",$B$6)</f>
        <v>Pagos Renting 1</v>
      </c>
      <c r="B35" s="1510">
        <f t="shared" ref="B35:M35" si="9">IF(B34=$H$8,$B$10*$B$7,0)+IF(AND(B34&gt;=$H$8,B34&lt;=$H$9,MOD((B34)*$B$12,12)=0),$B$14,0)</f>
        <v>0</v>
      </c>
      <c r="C35" s="1510">
        <f t="shared" si="9"/>
        <v>0</v>
      </c>
      <c r="D35" s="1510">
        <f t="shared" si="9"/>
        <v>0</v>
      </c>
      <c r="E35" s="1510">
        <f t="shared" si="9"/>
        <v>0</v>
      </c>
      <c r="F35" s="1510">
        <f t="shared" si="9"/>
        <v>0</v>
      </c>
      <c r="G35" s="1510">
        <f t="shared" si="9"/>
        <v>0</v>
      </c>
      <c r="H35" s="1510">
        <f t="shared" si="9"/>
        <v>0</v>
      </c>
      <c r="I35" s="1510">
        <f t="shared" si="9"/>
        <v>0</v>
      </c>
      <c r="J35" s="1510">
        <f t="shared" si="9"/>
        <v>0</v>
      </c>
      <c r="K35" s="1510">
        <f t="shared" si="9"/>
        <v>0</v>
      </c>
      <c r="L35" s="1510">
        <f t="shared" si="9"/>
        <v>0</v>
      </c>
      <c r="M35" s="1510">
        <f t="shared" si="9"/>
        <v>0</v>
      </c>
      <c r="N35" s="2168">
        <f>SUM(B35:M35)</f>
        <v>0</v>
      </c>
    </row>
    <row r="36" spans="1:14" ht="19.5" customHeight="1" x14ac:dyDescent="0.3">
      <c r="A36" s="1509" t="str">
        <f>CONCATENATE("Pagos ",$C$6)</f>
        <v>Pagos Renting 2</v>
      </c>
      <c r="B36" s="1510">
        <f t="shared" ref="B36:M36" si="10">IF(B34=$I$8,$C$10*$C$7,0)+IF(AND(B34&gt;=$I$8,B34&lt;=$I$9,MOD((B34)*$C$12,12)=0),$C$14,0)</f>
        <v>0</v>
      </c>
      <c r="C36" s="1510">
        <f t="shared" si="10"/>
        <v>0</v>
      </c>
      <c r="D36" s="1510">
        <f t="shared" si="10"/>
        <v>0</v>
      </c>
      <c r="E36" s="1510">
        <f t="shared" si="10"/>
        <v>0</v>
      </c>
      <c r="F36" s="1510">
        <f t="shared" si="10"/>
        <v>0</v>
      </c>
      <c r="G36" s="1510">
        <f t="shared" si="10"/>
        <v>0</v>
      </c>
      <c r="H36" s="1510">
        <f t="shared" si="10"/>
        <v>0</v>
      </c>
      <c r="I36" s="1510">
        <f t="shared" si="10"/>
        <v>0</v>
      </c>
      <c r="J36" s="1510">
        <f t="shared" si="10"/>
        <v>0</v>
      </c>
      <c r="K36" s="1510">
        <f t="shared" si="10"/>
        <v>0</v>
      </c>
      <c r="L36" s="1510">
        <f t="shared" si="10"/>
        <v>0</v>
      </c>
      <c r="M36" s="1510">
        <f t="shared" si="10"/>
        <v>0</v>
      </c>
      <c r="N36" s="2168">
        <f>SUM(B36:M36)</f>
        <v>0</v>
      </c>
    </row>
    <row r="37" spans="1:14" ht="19.5" customHeight="1" x14ac:dyDescent="0.3">
      <c r="A37" s="1509" t="s">
        <v>803</v>
      </c>
      <c r="B37" s="1510">
        <f t="shared" ref="B37:M37" si="11">SUM(B35:B36)</f>
        <v>0</v>
      </c>
      <c r="C37" s="1510">
        <f t="shared" si="11"/>
        <v>0</v>
      </c>
      <c r="D37" s="1510">
        <f t="shared" si="11"/>
        <v>0</v>
      </c>
      <c r="E37" s="1510">
        <f t="shared" si="11"/>
        <v>0</v>
      </c>
      <c r="F37" s="1510">
        <f t="shared" si="11"/>
        <v>0</v>
      </c>
      <c r="G37" s="1510">
        <f t="shared" si="11"/>
        <v>0</v>
      </c>
      <c r="H37" s="1510">
        <f t="shared" si="11"/>
        <v>0</v>
      </c>
      <c r="I37" s="1510">
        <f t="shared" si="11"/>
        <v>0</v>
      </c>
      <c r="J37" s="1510">
        <f t="shared" si="11"/>
        <v>0</v>
      </c>
      <c r="K37" s="1510">
        <f t="shared" si="11"/>
        <v>0</v>
      </c>
      <c r="L37" s="1510">
        <f t="shared" si="11"/>
        <v>0</v>
      </c>
      <c r="M37" s="1510">
        <f t="shared" si="11"/>
        <v>0</v>
      </c>
      <c r="N37" s="2168">
        <f>SUM(B37:M37)</f>
        <v>0</v>
      </c>
    </row>
    <row r="38" spans="1:14" ht="19.5" customHeight="1" thickBot="1" x14ac:dyDescent="0.35">
      <c r="A38" s="1511" t="s">
        <v>349</v>
      </c>
      <c r="B38" s="1512">
        <f>B37*Parametros!$F$33</f>
        <v>0</v>
      </c>
      <c r="C38" s="1512">
        <f>C37*Parametros!$F$33</f>
        <v>0</v>
      </c>
      <c r="D38" s="1512">
        <f>D37*Parametros!$F$33</f>
        <v>0</v>
      </c>
      <c r="E38" s="1512">
        <f>E37*Parametros!$F$33</f>
        <v>0</v>
      </c>
      <c r="F38" s="1512">
        <f>F37*Parametros!$F$33</f>
        <v>0</v>
      </c>
      <c r="G38" s="1512">
        <f>G37*Parametros!$F$33</f>
        <v>0</v>
      </c>
      <c r="H38" s="1512">
        <f>H37*Parametros!$F$33</f>
        <v>0</v>
      </c>
      <c r="I38" s="1512">
        <f>I37*Parametros!$F$33</f>
        <v>0</v>
      </c>
      <c r="J38" s="1512">
        <f>J37*Parametros!$F$33</f>
        <v>0</v>
      </c>
      <c r="K38" s="1512">
        <f>K37*Parametros!$F$33</f>
        <v>0</v>
      </c>
      <c r="L38" s="1512">
        <f>L37*Parametros!$F$33</f>
        <v>0</v>
      </c>
      <c r="M38" s="1512">
        <f>M37*Parametros!$F$33</f>
        <v>0</v>
      </c>
      <c r="N38" s="2169">
        <f>SUM(B38:M38)</f>
        <v>0</v>
      </c>
    </row>
    <row r="39" spans="1:14" ht="19.5" customHeight="1" x14ac:dyDescent="0.3">
      <c r="A39" s="1077"/>
      <c r="B39" s="1078"/>
      <c r="C39" s="1078"/>
      <c r="D39" s="1078"/>
      <c r="E39" s="1078"/>
      <c r="F39" s="1078"/>
      <c r="G39" s="1078"/>
      <c r="H39" s="1078"/>
      <c r="I39" s="1078"/>
      <c r="J39" s="1078"/>
      <c r="K39" s="1078"/>
      <c r="L39" s="1078"/>
      <c r="M39" s="1078"/>
      <c r="N39" s="1078"/>
    </row>
    <row r="40" spans="1:14" ht="19.5" customHeight="1" thickBot="1" x14ac:dyDescent="0.35">
      <c r="A40" s="1077"/>
      <c r="B40" s="1078"/>
      <c r="C40" s="1078"/>
      <c r="D40" s="1078"/>
      <c r="E40" s="1078"/>
      <c r="F40" s="1078"/>
      <c r="G40" s="1078"/>
      <c r="H40" s="1078"/>
      <c r="I40" s="1078"/>
      <c r="J40" s="1078"/>
      <c r="K40" s="1078"/>
      <c r="L40" s="1078"/>
      <c r="M40" s="1078"/>
      <c r="N40" s="1078"/>
    </row>
    <row r="41" spans="1:14" ht="19.5" customHeight="1" thickBot="1" x14ac:dyDescent="0.35">
      <c r="A41" s="1544">
        <f>A33+1</f>
        <v>3</v>
      </c>
      <c r="B41" s="1542">
        <f>B33+1</f>
        <v>2029</v>
      </c>
      <c r="C41" s="1080"/>
    </row>
    <row r="42" spans="1:14" ht="19.5" customHeight="1" x14ac:dyDescent="0.3">
      <c r="A42" s="1514" t="s">
        <v>863</v>
      </c>
      <c r="B42" s="1513">
        <f>B34+12</f>
        <v>37</v>
      </c>
      <c r="C42" s="1513">
        <f t="shared" ref="C42:M42" si="12">B42+1</f>
        <v>38</v>
      </c>
      <c r="D42" s="1513">
        <f t="shared" si="12"/>
        <v>39</v>
      </c>
      <c r="E42" s="1513">
        <f t="shared" si="12"/>
        <v>40</v>
      </c>
      <c r="F42" s="1513">
        <f t="shared" si="12"/>
        <v>41</v>
      </c>
      <c r="G42" s="1513">
        <f t="shared" si="12"/>
        <v>42</v>
      </c>
      <c r="H42" s="1513">
        <f t="shared" si="12"/>
        <v>43</v>
      </c>
      <c r="I42" s="1513">
        <f t="shared" si="12"/>
        <v>44</v>
      </c>
      <c r="J42" s="1513">
        <f t="shared" si="12"/>
        <v>45</v>
      </c>
      <c r="K42" s="1513">
        <f t="shared" si="12"/>
        <v>46</v>
      </c>
      <c r="L42" s="1513">
        <f t="shared" si="12"/>
        <v>47</v>
      </c>
      <c r="M42" s="1513">
        <f t="shared" si="12"/>
        <v>48</v>
      </c>
      <c r="N42" s="2167" t="s">
        <v>860</v>
      </c>
    </row>
    <row r="43" spans="1:14" ht="19.5" customHeight="1" x14ac:dyDescent="0.3">
      <c r="A43" s="1509" t="str">
        <f>CONCATENATE("Pagos ",$B$6)</f>
        <v>Pagos Renting 1</v>
      </c>
      <c r="B43" s="1510">
        <f t="shared" ref="B43:M43" si="13">IF(B42=$H$8,$B$10*$B$7,0)+IF(AND(B42&gt;=$H$8,B42&lt;=$H$9,MOD((B42)*$B$12,12)=0),$B$14,0)</f>
        <v>0</v>
      </c>
      <c r="C43" s="1510">
        <f t="shared" si="13"/>
        <v>0</v>
      </c>
      <c r="D43" s="1510">
        <f t="shared" si="13"/>
        <v>0</v>
      </c>
      <c r="E43" s="1510">
        <f t="shared" si="13"/>
        <v>0</v>
      </c>
      <c r="F43" s="1510">
        <f t="shared" si="13"/>
        <v>0</v>
      </c>
      <c r="G43" s="1510">
        <f t="shared" si="13"/>
        <v>0</v>
      </c>
      <c r="H43" s="1510">
        <f t="shared" si="13"/>
        <v>0</v>
      </c>
      <c r="I43" s="1510">
        <f t="shared" si="13"/>
        <v>0</v>
      </c>
      <c r="J43" s="1510">
        <f t="shared" si="13"/>
        <v>0</v>
      </c>
      <c r="K43" s="1510">
        <f t="shared" si="13"/>
        <v>0</v>
      </c>
      <c r="L43" s="1510">
        <f t="shared" si="13"/>
        <v>0</v>
      </c>
      <c r="M43" s="1510">
        <f t="shared" si="13"/>
        <v>0</v>
      </c>
      <c r="N43" s="2168">
        <f>SUM(B43:M43)</f>
        <v>0</v>
      </c>
    </row>
    <row r="44" spans="1:14" ht="19.5" customHeight="1" x14ac:dyDescent="0.3">
      <c r="A44" s="1509" t="str">
        <f>CONCATENATE("Pagos ",$C$6)</f>
        <v>Pagos Renting 2</v>
      </c>
      <c r="B44" s="1510">
        <f t="shared" ref="B44:M44" si="14">IF(B42=$I$8,$C$10*$C$7,0)+IF(AND(B42&gt;=$I$8,B42&lt;=$I$9,MOD((B42)*$C$12,12)=0),$C$14,0)</f>
        <v>0</v>
      </c>
      <c r="C44" s="1510">
        <f t="shared" si="14"/>
        <v>0</v>
      </c>
      <c r="D44" s="1510">
        <f t="shared" si="14"/>
        <v>0</v>
      </c>
      <c r="E44" s="1510">
        <f t="shared" si="14"/>
        <v>0</v>
      </c>
      <c r="F44" s="1510">
        <f t="shared" si="14"/>
        <v>0</v>
      </c>
      <c r="G44" s="1510">
        <f t="shared" si="14"/>
        <v>0</v>
      </c>
      <c r="H44" s="1510">
        <f t="shared" si="14"/>
        <v>0</v>
      </c>
      <c r="I44" s="1510">
        <f t="shared" si="14"/>
        <v>0</v>
      </c>
      <c r="J44" s="1510">
        <f t="shared" si="14"/>
        <v>0</v>
      </c>
      <c r="K44" s="1510">
        <f t="shared" si="14"/>
        <v>0</v>
      </c>
      <c r="L44" s="1510">
        <f t="shared" si="14"/>
        <v>0</v>
      </c>
      <c r="M44" s="1510">
        <f t="shared" si="14"/>
        <v>0</v>
      </c>
      <c r="N44" s="2168">
        <f>SUM(B44:M44)</f>
        <v>0</v>
      </c>
    </row>
    <row r="45" spans="1:14" ht="19.5" customHeight="1" x14ac:dyDescent="0.3">
      <c r="A45" s="1509" t="s">
        <v>803</v>
      </c>
      <c r="B45" s="1510">
        <f t="shared" ref="B45:M45" si="15">SUM(B43:B44)</f>
        <v>0</v>
      </c>
      <c r="C45" s="1510">
        <f t="shared" si="15"/>
        <v>0</v>
      </c>
      <c r="D45" s="1510">
        <f t="shared" si="15"/>
        <v>0</v>
      </c>
      <c r="E45" s="1510">
        <f t="shared" si="15"/>
        <v>0</v>
      </c>
      <c r="F45" s="1510">
        <f t="shared" si="15"/>
        <v>0</v>
      </c>
      <c r="G45" s="1510">
        <f t="shared" si="15"/>
        <v>0</v>
      </c>
      <c r="H45" s="1510">
        <f t="shared" si="15"/>
        <v>0</v>
      </c>
      <c r="I45" s="1510">
        <f t="shared" si="15"/>
        <v>0</v>
      </c>
      <c r="J45" s="1510">
        <f t="shared" si="15"/>
        <v>0</v>
      </c>
      <c r="K45" s="1510">
        <f t="shared" si="15"/>
        <v>0</v>
      </c>
      <c r="L45" s="1510">
        <f t="shared" si="15"/>
        <v>0</v>
      </c>
      <c r="M45" s="1510">
        <f t="shared" si="15"/>
        <v>0</v>
      </c>
      <c r="N45" s="2168">
        <f>SUM(B45:M45)</f>
        <v>0</v>
      </c>
    </row>
    <row r="46" spans="1:14" ht="19.5" customHeight="1" thickBot="1" x14ac:dyDescent="0.35">
      <c r="A46" s="1511" t="s">
        <v>349</v>
      </c>
      <c r="B46" s="1512">
        <f>B45*Parametros!$F$33</f>
        <v>0</v>
      </c>
      <c r="C46" s="1512">
        <f>C45*Parametros!$F$33</f>
        <v>0</v>
      </c>
      <c r="D46" s="1512">
        <f>D45*Parametros!$F$33</f>
        <v>0</v>
      </c>
      <c r="E46" s="1512">
        <f>E45*Parametros!$F$33</f>
        <v>0</v>
      </c>
      <c r="F46" s="1512">
        <f>F45*Parametros!$F$33</f>
        <v>0</v>
      </c>
      <c r="G46" s="1512">
        <f>G45*Parametros!$F$33</f>
        <v>0</v>
      </c>
      <c r="H46" s="1512">
        <f>H45*Parametros!$F$33</f>
        <v>0</v>
      </c>
      <c r="I46" s="1512">
        <f>I45*Parametros!$F$33</f>
        <v>0</v>
      </c>
      <c r="J46" s="1512">
        <f>J45*Parametros!$F$33</f>
        <v>0</v>
      </c>
      <c r="K46" s="1512">
        <f>K45*Parametros!$F$33</f>
        <v>0</v>
      </c>
      <c r="L46" s="1512">
        <f>L45*Parametros!$F$33</f>
        <v>0</v>
      </c>
      <c r="M46" s="1512">
        <f>M45*Parametros!$F$33</f>
        <v>0</v>
      </c>
      <c r="N46" s="2169">
        <f>SUM(B46:M46)</f>
        <v>0</v>
      </c>
    </row>
    <row r="47" spans="1:14" ht="19.5" customHeight="1" x14ac:dyDescent="0.3">
      <c r="A47" s="1077"/>
      <c r="B47" s="1078"/>
      <c r="C47" s="1078"/>
      <c r="D47" s="1078"/>
      <c r="E47" s="1078"/>
      <c r="F47" s="1078"/>
      <c r="G47" s="1078"/>
      <c r="H47" s="1078"/>
      <c r="I47" s="1078"/>
      <c r="J47" s="1078"/>
      <c r="K47" s="1078"/>
      <c r="L47" s="1078"/>
      <c r="M47" s="1078"/>
      <c r="N47" s="1078"/>
    </row>
    <row r="48" spans="1:14" ht="19.5" customHeight="1" thickBot="1" x14ac:dyDescent="0.35">
      <c r="A48" s="1077"/>
      <c r="B48" s="1078"/>
      <c r="C48" s="1078"/>
      <c r="D48" s="1078"/>
      <c r="E48" s="1078"/>
      <c r="F48" s="1078"/>
      <c r="G48" s="1078"/>
      <c r="H48" s="1078"/>
      <c r="I48" s="1078"/>
      <c r="J48" s="1078"/>
      <c r="K48" s="1078"/>
      <c r="L48" s="1078"/>
      <c r="M48" s="1078"/>
      <c r="N48" s="1078"/>
    </row>
    <row r="49" spans="1:14" ht="19.5" customHeight="1" thickBot="1" x14ac:dyDescent="0.35">
      <c r="A49" s="1544">
        <f>A41+1</f>
        <v>4</v>
      </c>
      <c r="B49" s="1542">
        <f>B41+1</f>
        <v>2030</v>
      </c>
      <c r="C49" s="1080"/>
    </row>
    <row r="50" spans="1:14" ht="19.5" customHeight="1" x14ac:dyDescent="0.3">
      <c r="A50" s="1514" t="s">
        <v>863</v>
      </c>
      <c r="B50" s="1513">
        <f>B42+12</f>
        <v>49</v>
      </c>
      <c r="C50" s="1513">
        <f t="shared" ref="C50:M50" si="16">B50+1</f>
        <v>50</v>
      </c>
      <c r="D50" s="1513">
        <f t="shared" si="16"/>
        <v>51</v>
      </c>
      <c r="E50" s="1513">
        <f t="shared" si="16"/>
        <v>52</v>
      </c>
      <c r="F50" s="1513">
        <f t="shared" si="16"/>
        <v>53</v>
      </c>
      <c r="G50" s="1513">
        <f t="shared" si="16"/>
        <v>54</v>
      </c>
      <c r="H50" s="1513">
        <f t="shared" si="16"/>
        <v>55</v>
      </c>
      <c r="I50" s="1513">
        <f t="shared" si="16"/>
        <v>56</v>
      </c>
      <c r="J50" s="1513">
        <f t="shared" si="16"/>
        <v>57</v>
      </c>
      <c r="K50" s="1513">
        <f t="shared" si="16"/>
        <v>58</v>
      </c>
      <c r="L50" s="1513">
        <f t="shared" si="16"/>
        <v>59</v>
      </c>
      <c r="M50" s="1513">
        <f t="shared" si="16"/>
        <v>60</v>
      </c>
      <c r="N50" s="2167" t="s">
        <v>860</v>
      </c>
    </row>
    <row r="51" spans="1:14" ht="19.5" customHeight="1" x14ac:dyDescent="0.3">
      <c r="A51" s="1509" t="str">
        <f>CONCATENATE("Pagos ",$B$6)</f>
        <v>Pagos Renting 1</v>
      </c>
      <c r="B51" s="1510">
        <f t="shared" ref="B51:M51" si="17">IF(B50=$H$8,$B$10*$B$7,0)+IF(AND(B50&gt;=$H$8,B50&lt;=$H$9,MOD((B50)*$B$12,12)=0),$B$14,0)</f>
        <v>0</v>
      </c>
      <c r="C51" s="1510">
        <f t="shared" si="17"/>
        <v>0</v>
      </c>
      <c r="D51" s="1510">
        <f t="shared" si="17"/>
        <v>0</v>
      </c>
      <c r="E51" s="1510">
        <f t="shared" si="17"/>
        <v>0</v>
      </c>
      <c r="F51" s="1510">
        <f t="shared" si="17"/>
        <v>0</v>
      </c>
      <c r="G51" s="1510">
        <f t="shared" si="17"/>
        <v>0</v>
      </c>
      <c r="H51" s="1510">
        <f t="shared" si="17"/>
        <v>0</v>
      </c>
      <c r="I51" s="1510">
        <f t="shared" si="17"/>
        <v>0</v>
      </c>
      <c r="J51" s="1510">
        <f t="shared" si="17"/>
        <v>0</v>
      </c>
      <c r="K51" s="1510">
        <f t="shared" si="17"/>
        <v>0</v>
      </c>
      <c r="L51" s="1510">
        <f t="shared" si="17"/>
        <v>0</v>
      </c>
      <c r="M51" s="1510">
        <f t="shared" si="17"/>
        <v>0</v>
      </c>
      <c r="N51" s="2168">
        <f>SUM(B51:M51)</f>
        <v>0</v>
      </c>
    </row>
    <row r="52" spans="1:14" ht="19.5" customHeight="1" x14ac:dyDescent="0.3">
      <c r="A52" s="1509" t="str">
        <f>CONCATENATE("Pagos ",$C$6)</f>
        <v>Pagos Renting 2</v>
      </c>
      <c r="B52" s="1510">
        <f t="shared" ref="B52:M52" si="18">IF(B50=$I$8,$C$10*$C$7,0)+IF(AND(B50&gt;=$I$8,B50&lt;=$I$9,MOD((B50)*$C$12,12)=0),$C$14,0)</f>
        <v>0</v>
      </c>
      <c r="C52" s="1510">
        <f t="shared" si="18"/>
        <v>0</v>
      </c>
      <c r="D52" s="1510">
        <f t="shared" si="18"/>
        <v>0</v>
      </c>
      <c r="E52" s="1510">
        <f t="shared" si="18"/>
        <v>0</v>
      </c>
      <c r="F52" s="1510">
        <f t="shared" si="18"/>
        <v>0</v>
      </c>
      <c r="G52" s="1510">
        <f t="shared" si="18"/>
        <v>0</v>
      </c>
      <c r="H52" s="1510">
        <f t="shared" si="18"/>
        <v>0</v>
      </c>
      <c r="I52" s="1510">
        <f t="shared" si="18"/>
        <v>0</v>
      </c>
      <c r="J52" s="1510">
        <f t="shared" si="18"/>
        <v>0</v>
      </c>
      <c r="K52" s="1510">
        <f t="shared" si="18"/>
        <v>0</v>
      </c>
      <c r="L52" s="1510">
        <f t="shared" si="18"/>
        <v>0</v>
      </c>
      <c r="M52" s="1510">
        <f t="shared" si="18"/>
        <v>0</v>
      </c>
      <c r="N52" s="2168">
        <f>SUM(B52:M52)</f>
        <v>0</v>
      </c>
    </row>
    <row r="53" spans="1:14" ht="19.5" customHeight="1" x14ac:dyDescent="0.3">
      <c r="A53" s="1509" t="s">
        <v>803</v>
      </c>
      <c r="B53" s="1510">
        <f t="shared" ref="B53:M53" si="19">SUM(B51:B52)</f>
        <v>0</v>
      </c>
      <c r="C53" s="1510">
        <f t="shared" si="19"/>
        <v>0</v>
      </c>
      <c r="D53" s="1510">
        <f t="shared" si="19"/>
        <v>0</v>
      </c>
      <c r="E53" s="1510">
        <f t="shared" si="19"/>
        <v>0</v>
      </c>
      <c r="F53" s="1510">
        <f t="shared" si="19"/>
        <v>0</v>
      </c>
      <c r="G53" s="1510">
        <f t="shared" si="19"/>
        <v>0</v>
      </c>
      <c r="H53" s="1510">
        <f t="shared" si="19"/>
        <v>0</v>
      </c>
      <c r="I53" s="1510">
        <f t="shared" si="19"/>
        <v>0</v>
      </c>
      <c r="J53" s="1510">
        <f t="shared" si="19"/>
        <v>0</v>
      </c>
      <c r="K53" s="1510">
        <f t="shared" si="19"/>
        <v>0</v>
      </c>
      <c r="L53" s="1510">
        <f t="shared" si="19"/>
        <v>0</v>
      </c>
      <c r="M53" s="1510">
        <f t="shared" si="19"/>
        <v>0</v>
      </c>
      <c r="N53" s="2168">
        <f>SUM(B53:M53)</f>
        <v>0</v>
      </c>
    </row>
    <row r="54" spans="1:14" ht="19.5" customHeight="1" thickBot="1" x14ac:dyDescent="0.35">
      <c r="A54" s="1511" t="s">
        <v>349</v>
      </c>
      <c r="B54" s="1512">
        <f>B53*Parametros!$F$33</f>
        <v>0</v>
      </c>
      <c r="C54" s="1512">
        <f>C53*Parametros!$F$33</f>
        <v>0</v>
      </c>
      <c r="D54" s="1512">
        <f>D53*Parametros!$F$33</f>
        <v>0</v>
      </c>
      <c r="E54" s="1512">
        <f>E53*Parametros!$F$33</f>
        <v>0</v>
      </c>
      <c r="F54" s="1512">
        <f>F53*Parametros!$F$33</f>
        <v>0</v>
      </c>
      <c r="G54" s="1512">
        <f>G53*Parametros!$F$33</f>
        <v>0</v>
      </c>
      <c r="H54" s="1512">
        <f>H53*Parametros!$F$33</f>
        <v>0</v>
      </c>
      <c r="I54" s="1512">
        <f>I53*Parametros!$F$33</f>
        <v>0</v>
      </c>
      <c r="J54" s="1512">
        <f>J53*Parametros!$F$33</f>
        <v>0</v>
      </c>
      <c r="K54" s="1512">
        <f>K53*Parametros!$F$33</f>
        <v>0</v>
      </c>
      <c r="L54" s="1512">
        <f>L53*Parametros!$F$33</f>
        <v>0</v>
      </c>
      <c r="M54" s="1512">
        <f>M53*Parametros!$F$33</f>
        <v>0</v>
      </c>
      <c r="N54" s="2169">
        <f>SUM(B54:M54)</f>
        <v>0</v>
      </c>
    </row>
    <row r="55" spans="1:14" ht="19.5" customHeight="1" x14ac:dyDescent="0.3">
      <c r="A55" s="1077"/>
      <c r="B55" s="1078"/>
      <c r="C55" s="1078"/>
      <c r="D55" s="1078"/>
      <c r="E55" s="1078"/>
      <c r="F55" s="1078"/>
      <c r="G55" s="1078"/>
      <c r="H55" s="1078"/>
      <c r="I55" s="1078"/>
      <c r="J55" s="1078"/>
      <c r="K55" s="1078"/>
      <c r="L55" s="1078"/>
      <c r="M55" s="1078"/>
      <c r="N55" s="1078"/>
    </row>
    <row r="57" spans="1:14" ht="19.5" customHeight="1" x14ac:dyDescent="0.3">
      <c r="A57" s="1084"/>
    </row>
  </sheetData>
  <sheetProtection sheet="1" objects="1" scenarios="1" formatCells="0" formatColumns="0"/>
  <phoneticPr fontId="13" type="noConversion"/>
  <conditionalFormatting sqref="B19:M22">
    <cfRule type="expression" dxfId="41" priority="1" stopIfTrue="1">
      <formula>B$18&lt;mes0</formula>
    </cfRule>
  </conditionalFormatting>
  <dataValidations xWindow="106" yWindow="209" count="3">
    <dataValidation type="whole" allowBlank="1" showInputMessage="1" showErrorMessage="1" prompt="Mes en el que se recibe el préstamo. El periodo siguiente será el primer pago. NO puede ser anterior al mes inicial." sqref="B13" xr:uid="{00000000-0002-0000-0E00-000000000000}">
      <formula1>mes0-1</formula1>
      <formula2>24</formula2>
    </dataValidation>
    <dataValidation type="whole" allowBlank="1" showInputMessage="1" showErrorMessage="1" sqref="B11:C12" xr:uid="{00000000-0002-0000-0E00-000001000000}">
      <formula1>0</formula1>
      <formula2>400</formula2>
    </dataValidation>
    <dataValidation allowBlank="1" showInputMessage="1" showErrorMessage="1" prompt="Tipo nominal anual" sqref="B9:C10" xr:uid="{00000000-0002-0000-0E00-000002000000}"/>
  </dataValidations>
  <printOptions horizontalCentered="1"/>
  <pageMargins left="0.56000000000000005" right="0.69" top="0.54" bottom="0.61" header="0.39" footer="0.43"/>
  <pageSetup paperSize="9" scale="48" orientation="landscape" horizontalDpi="4294967292" verticalDpi="300" r:id="rId1"/>
  <headerFooter alignWithMargins="0">
    <oddFooter>&amp;A</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9">
    <tabColor rgb="FF7CC9D0"/>
    <pageSetUpPr fitToPage="1"/>
  </sheetPr>
  <dimension ref="A1:N58"/>
  <sheetViews>
    <sheetView showGridLines="0" workbookViewId="0"/>
  </sheetViews>
  <sheetFormatPr baseColWidth="10" defaultRowHeight="17.25" x14ac:dyDescent="0.3"/>
  <cols>
    <col min="1" max="1" width="28.625" style="1079" customWidth="1"/>
    <col min="2" max="2" width="14.25" style="1079" customWidth="1"/>
    <col min="3" max="3" width="13.625" style="1079" customWidth="1"/>
    <col min="4" max="4" width="15.25" style="1079" customWidth="1"/>
    <col min="5" max="5" width="12" style="1079" customWidth="1"/>
    <col min="6" max="6" width="15.875" style="1079" customWidth="1"/>
    <col min="7" max="7" width="13.5" style="1079" customWidth="1"/>
    <col min="8" max="8" width="11.75" style="1079" customWidth="1"/>
    <col min="9" max="9" width="11.875" style="1079" customWidth="1"/>
    <col min="10" max="10" width="14.625" style="1079" bestFit="1" customWidth="1"/>
    <col min="11" max="11" width="15.375" style="1079" customWidth="1"/>
    <col min="12" max="13" width="14.625" style="1079" bestFit="1" customWidth="1"/>
    <col min="14" max="14" width="12.875" style="1079" customWidth="1"/>
    <col min="15" max="16384" width="11" style="1079"/>
  </cols>
  <sheetData>
    <row r="1" spans="1:14" ht="30" customHeight="1" x14ac:dyDescent="0.45">
      <c r="A1" s="1308" t="s">
        <v>797</v>
      </c>
      <c r="B1" s="1398"/>
      <c r="C1" s="1398"/>
      <c r="D1" s="1398"/>
      <c r="E1" s="1397"/>
      <c r="F1" s="1535"/>
      <c r="G1" s="1398"/>
      <c r="H1" s="1398"/>
      <c r="I1" s="1398"/>
      <c r="J1" s="2259"/>
      <c r="K1" s="2259"/>
      <c r="L1" s="2259"/>
      <c r="M1" s="2259"/>
      <c r="N1" s="2259"/>
    </row>
    <row r="2" spans="1:14" ht="27.75" x14ac:dyDescent="0.45">
      <c r="A2" s="1081">
        <f>'Datos Básicos'!B8</f>
        <v>0</v>
      </c>
      <c r="F2" s="1082"/>
      <c r="L2" s="1083"/>
    </row>
    <row r="3" spans="1:14" ht="19.5" customHeight="1" x14ac:dyDescent="0.3">
      <c r="C3" s="1080"/>
      <c r="F3" s="1082"/>
    </row>
    <row r="4" spans="1:14" ht="19.5" customHeight="1" x14ac:dyDescent="0.3">
      <c r="C4" s="1080"/>
      <c r="F4" s="1082"/>
    </row>
    <row r="5" spans="1:14" ht="19.5" customHeight="1" thickBot="1" x14ac:dyDescent="0.35">
      <c r="C5" s="1080"/>
      <c r="F5" s="1082"/>
    </row>
    <row r="6" spans="1:14" x14ac:dyDescent="0.3">
      <c r="A6" s="1833" t="s">
        <v>818</v>
      </c>
      <c r="B6" s="1833" t="str">
        <f>'Financiación Inicial'!F14</f>
        <v>Leasing 1</v>
      </c>
      <c r="C6" s="1833" t="str">
        <f>'Financiación Inicial'!G14</f>
        <v>Leasing 2</v>
      </c>
      <c r="F6" s="1833" t="s">
        <v>819</v>
      </c>
      <c r="G6" s="1833"/>
      <c r="H6" s="1833" t="str">
        <f>B6</f>
        <v>Leasing 1</v>
      </c>
      <c r="I6" s="1833" t="str">
        <f>C6</f>
        <v>Leasing 2</v>
      </c>
    </row>
    <row r="7" spans="1:14" ht="19.5" x14ac:dyDescent="0.3">
      <c r="A7" s="1523" t="s">
        <v>385</v>
      </c>
      <c r="B7" s="1175">
        <f>'Financiación Inicial'!F15</f>
        <v>0</v>
      </c>
      <c r="C7" s="1529">
        <f>'Financiación Inicial'!G15</f>
        <v>0</v>
      </c>
      <c r="F7" s="1523"/>
      <c r="G7" s="1178" t="s">
        <v>806</v>
      </c>
      <c r="H7" s="1177">
        <f>B11*12/B12</f>
        <v>36</v>
      </c>
      <c r="I7" s="1525">
        <f>C11*12/C12</f>
        <v>60</v>
      </c>
    </row>
    <row r="8" spans="1:14" ht="19.5" x14ac:dyDescent="0.3">
      <c r="A8" s="1523" t="s">
        <v>809</v>
      </c>
      <c r="B8" s="1175">
        <f>'Financiación Inicial'!F16</f>
        <v>0</v>
      </c>
      <c r="C8" s="1529">
        <f>'Financiación Inicial'!G16</f>
        <v>0</v>
      </c>
      <c r="F8" s="1523"/>
      <c r="G8" s="1178" t="s">
        <v>807</v>
      </c>
      <c r="H8" s="1177">
        <f>mes0</f>
        <v>1</v>
      </c>
      <c r="I8" s="1525">
        <f>mes0</f>
        <v>1</v>
      </c>
    </row>
    <row r="9" spans="1:14" ht="20.25" thickBot="1" x14ac:dyDescent="0.35">
      <c r="A9" s="1523" t="s">
        <v>959</v>
      </c>
      <c r="B9" s="1176">
        <f>'Financiación Inicial'!F17</f>
        <v>5.5E-2</v>
      </c>
      <c r="C9" s="1524">
        <f>'Financiación Inicial'!G17</f>
        <v>7.0000000000000007E-2</v>
      </c>
      <c r="F9" s="1526"/>
      <c r="G9" s="1530" t="s">
        <v>808</v>
      </c>
      <c r="H9" s="1531">
        <f>H7+H8-1</f>
        <v>36</v>
      </c>
      <c r="I9" s="1532">
        <f>I7+I8-1</f>
        <v>60</v>
      </c>
    </row>
    <row r="10" spans="1:14" ht="19.5" x14ac:dyDescent="0.3">
      <c r="A10" s="1523" t="s">
        <v>56</v>
      </c>
      <c r="B10" s="1176">
        <f>'Financiación Inicial'!F18</f>
        <v>0</v>
      </c>
      <c r="C10" s="1524">
        <f>'Financiación Inicial'!G18</f>
        <v>0</v>
      </c>
    </row>
    <row r="11" spans="1:14" ht="19.5" x14ac:dyDescent="0.3">
      <c r="A11" s="1523" t="s">
        <v>1011</v>
      </c>
      <c r="B11" s="1177">
        <f>'Financiación Inicial'!F19</f>
        <v>36</v>
      </c>
      <c r="C11" s="1525">
        <f>'Financiación Inicial'!G19</f>
        <v>60</v>
      </c>
      <c r="F11" s="1086"/>
      <c r="G11" s="1087" t="s">
        <v>389</v>
      </c>
      <c r="H11" s="1088">
        <f>mes0</f>
        <v>1</v>
      </c>
      <c r="I11" s="1088">
        <f>mes0</f>
        <v>1</v>
      </c>
    </row>
    <row r="12" spans="1:14" ht="19.5" x14ac:dyDescent="0.3">
      <c r="A12" s="1526" t="s">
        <v>1010</v>
      </c>
      <c r="B12" s="1531">
        <f>'Financiación Inicial'!F20</f>
        <v>12</v>
      </c>
      <c r="C12" s="1532">
        <f>'Financiación Inicial'!G20</f>
        <v>12</v>
      </c>
    </row>
    <row r="13" spans="1:14" ht="15.75" hidden="1" customHeight="1" thickBot="1" x14ac:dyDescent="0.35">
      <c r="A13" s="1546" t="s">
        <v>1013</v>
      </c>
      <c r="B13" s="1547">
        <v>0</v>
      </c>
      <c r="C13" s="1547">
        <v>0</v>
      </c>
      <c r="F13" s="1082"/>
    </row>
    <row r="14" spans="1:14" x14ac:dyDescent="0.3">
      <c r="A14" s="1533"/>
      <c r="B14" s="1084"/>
      <c r="F14" s="1082"/>
    </row>
    <row r="15" spans="1:14" ht="19.5" customHeight="1" x14ac:dyDescent="0.3">
      <c r="A15" s="1545" t="s">
        <v>811</v>
      </c>
      <c r="B15" s="1537">
        <f>PMT(B9/B12,B11,-B7,B8)</f>
        <v>0</v>
      </c>
      <c r="C15" s="1538">
        <f>PMT(C9/C12,C11,-C7,C8)</f>
        <v>0</v>
      </c>
      <c r="E15" s="206" t="str">
        <f>IF('Inversiones AC'!B21&lt;-0.5,'Inversiones AC'!B25,"")</f>
        <v/>
      </c>
      <c r="F15" s="1082"/>
    </row>
    <row r="16" spans="1:14" ht="20.25" customHeight="1" thickBot="1" x14ac:dyDescent="0.35">
      <c r="A16" s="1534"/>
      <c r="B16" s="1539" t="str">
        <f>CONCATENATE("€ / ",IF(B12=12,"mes",CONCATENATE(12/B12," meses")))</f>
        <v>€ / mes</v>
      </c>
      <c r="C16" s="1540" t="str">
        <f>CONCATENATE("€ / ",IF(C12=12,"mes",CONCATENATE(12/C12," meses")))</f>
        <v>€ / mes</v>
      </c>
      <c r="F16" s="1082"/>
    </row>
    <row r="17" spans="1:14" ht="19.5" customHeight="1" thickBot="1" x14ac:dyDescent="0.35">
      <c r="A17" s="1085"/>
      <c r="C17" s="1080"/>
      <c r="F17" s="1080"/>
    </row>
    <row r="18" spans="1:14" ht="19.5" customHeight="1" thickBot="1" x14ac:dyDescent="0.35">
      <c r="A18" s="1543" t="str">
        <f>'Datos Básicos'!B16</f>
        <v>Año 0</v>
      </c>
      <c r="B18" s="1541">
        <f>'Datos Básicos'!B17</f>
        <v>2026</v>
      </c>
      <c r="C18" s="1080"/>
    </row>
    <row r="19" spans="1:14" ht="19.5" customHeight="1" x14ac:dyDescent="0.3">
      <c r="A19" s="1514" t="s">
        <v>863</v>
      </c>
      <c r="B19" s="1513">
        <v>1</v>
      </c>
      <c r="C19" s="1513">
        <v>2</v>
      </c>
      <c r="D19" s="1513">
        <v>3</v>
      </c>
      <c r="E19" s="1513">
        <v>4</v>
      </c>
      <c r="F19" s="1513">
        <v>5</v>
      </c>
      <c r="G19" s="1513">
        <v>6</v>
      </c>
      <c r="H19" s="1513">
        <v>7</v>
      </c>
      <c r="I19" s="1513">
        <v>8</v>
      </c>
      <c r="J19" s="1513">
        <v>9</v>
      </c>
      <c r="K19" s="1513">
        <v>10</v>
      </c>
      <c r="L19" s="1513">
        <v>11</v>
      </c>
      <c r="M19" s="1513">
        <v>12</v>
      </c>
      <c r="N19" s="2167" t="s">
        <v>860</v>
      </c>
    </row>
    <row r="20" spans="1:14" ht="19.5" customHeight="1" x14ac:dyDescent="0.3">
      <c r="A20" s="1509" t="s">
        <v>1012</v>
      </c>
      <c r="B20" s="1510">
        <f t="shared" ref="B20:M20" si="0">B21+B22</f>
        <v>0</v>
      </c>
      <c r="C20" s="1510">
        <f t="shared" si="0"/>
        <v>0</v>
      </c>
      <c r="D20" s="1510">
        <f t="shared" si="0"/>
        <v>0</v>
      </c>
      <c r="E20" s="1510">
        <f t="shared" si="0"/>
        <v>0</v>
      </c>
      <c r="F20" s="1510">
        <f t="shared" si="0"/>
        <v>0</v>
      </c>
      <c r="G20" s="1510">
        <f t="shared" si="0"/>
        <v>0</v>
      </c>
      <c r="H20" s="1510">
        <f t="shared" si="0"/>
        <v>0</v>
      </c>
      <c r="I20" s="1510">
        <f t="shared" si="0"/>
        <v>0</v>
      </c>
      <c r="J20" s="1510">
        <f t="shared" si="0"/>
        <v>0</v>
      </c>
      <c r="K20" s="1510">
        <f t="shared" si="0"/>
        <v>0</v>
      </c>
      <c r="L20" s="1510">
        <f t="shared" si="0"/>
        <v>0</v>
      </c>
      <c r="M20" s="1510">
        <f t="shared" si="0"/>
        <v>0</v>
      </c>
      <c r="N20" s="2168">
        <f>SUM(B20:M20)</f>
        <v>0</v>
      </c>
    </row>
    <row r="21" spans="1:14" ht="19.5" customHeight="1" x14ac:dyDescent="0.3">
      <c r="A21" s="1509" t="s">
        <v>862</v>
      </c>
      <c r="B21" s="1510">
        <f t="shared" ref="B21:M21" si="1">IF(B19=$H$11,$B$7*$B$10,0)+IF(B19=$I$11,$C$7*$C$10,0)
+IF(MOD((B19-$H$11)*$B$12,12),0,IF(B19&lt;$H$11,0,IF(B19&lt;$H$8,$B$7*$B$9/$B$12,IF(B19&lt;=$H$9,IPMT($B$9/$B$12,(B19-$H$11)*$B$12/12-$B$13+1,$B$11,-$B$7),0))))
+IF(MOD((B19-$I$11)*$C$12,12),0,IF(B19&lt;$I$11,0,IF(B19&lt;$I$8,$C$7*$C$9/$C$12,IF(B19&lt;=$I$9,IPMT($C$9/$C$12,(B19-$I$11)*$C$12/12-$C$13+1,$C$11,-$C$7),0))))</f>
        <v>0</v>
      </c>
      <c r="C21" s="1510">
        <f t="shared" si="1"/>
        <v>0</v>
      </c>
      <c r="D21" s="1510">
        <f t="shared" si="1"/>
        <v>0</v>
      </c>
      <c r="E21" s="1510">
        <f t="shared" si="1"/>
        <v>0</v>
      </c>
      <c r="F21" s="1510">
        <f t="shared" si="1"/>
        <v>0</v>
      </c>
      <c r="G21" s="1510">
        <f t="shared" si="1"/>
        <v>0</v>
      </c>
      <c r="H21" s="1510">
        <f t="shared" si="1"/>
        <v>0</v>
      </c>
      <c r="I21" s="1510">
        <f t="shared" si="1"/>
        <v>0</v>
      </c>
      <c r="J21" s="1510">
        <f t="shared" si="1"/>
        <v>0</v>
      </c>
      <c r="K21" s="1510">
        <f t="shared" si="1"/>
        <v>0</v>
      </c>
      <c r="L21" s="1510">
        <f t="shared" si="1"/>
        <v>0</v>
      </c>
      <c r="M21" s="1510">
        <f t="shared" si="1"/>
        <v>0</v>
      </c>
      <c r="N21" s="2168">
        <f>SUM(B21:M21)</f>
        <v>0</v>
      </c>
    </row>
    <row r="22" spans="1:14" ht="19.5" customHeight="1" x14ac:dyDescent="0.3">
      <c r="A22" s="1509" t="s">
        <v>998</v>
      </c>
      <c r="B22" s="1510">
        <f t="shared" ref="B22:M22" si="2">IF(AND(B19&gt;=$H$8,B19&lt;=$H$9,MOD((B19-$H$11)*$B$12,12)=0),PPMT($B$9/$B$12,(B19-$H$11)*$B$12/12-$B$13+1,$B$11,-$B$7),0)
+IF(AND(B19&gt;=$I$8,B19&lt;=$I$9,MOD((B19-$I$11)*$C$12,12)=0),PPMT($C$9/$C$12,(B19-$I$11)*$C$12/12-$C$13+1,$C$11,-$C$7),0)</f>
        <v>0</v>
      </c>
      <c r="C22" s="1510">
        <f t="shared" si="2"/>
        <v>0</v>
      </c>
      <c r="D22" s="1510">
        <f t="shared" si="2"/>
        <v>0</v>
      </c>
      <c r="E22" s="1510">
        <f t="shared" si="2"/>
        <v>0</v>
      </c>
      <c r="F22" s="1510">
        <f t="shared" si="2"/>
        <v>0</v>
      </c>
      <c r="G22" s="1510">
        <f t="shared" si="2"/>
        <v>0</v>
      </c>
      <c r="H22" s="1510">
        <f t="shared" si="2"/>
        <v>0</v>
      </c>
      <c r="I22" s="1510">
        <f t="shared" si="2"/>
        <v>0</v>
      </c>
      <c r="J22" s="1510">
        <f t="shared" si="2"/>
        <v>0</v>
      </c>
      <c r="K22" s="1510">
        <f t="shared" si="2"/>
        <v>0</v>
      </c>
      <c r="L22" s="1510">
        <f t="shared" si="2"/>
        <v>0</v>
      </c>
      <c r="M22" s="1510">
        <f t="shared" si="2"/>
        <v>0</v>
      </c>
      <c r="N22" s="2168">
        <f>SUM(B22:M22)</f>
        <v>0</v>
      </c>
    </row>
    <row r="23" spans="1:14" ht="19.5" customHeight="1" thickBot="1" x14ac:dyDescent="0.35">
      <c r="A23" s="1511" t="s">
        <v>349</v>
      </c>
      <c r="B23" s="1512">
        <f>B20*Parametros!$F$33</f>
        <v>0</v>
      </c>
      <c r="C23" s="1512">
        <f>C20*Parametros!$F$33</f>
        <v>0</v>
      </c>
      <c r="D23" s="1512">
        <f>D20*Parametros!$F$33</f>
        <v>0</v>
      </c>
      <c r="E23" s="1512">
        <f>E20*Parametros!$F$33</f>
        <v>0</v>
      </c>
      <c r="F23" s="1512">
        <f>F20*Parametros!$F$33</f>
        <v>0</v>
      </c>
      <c r="G23" s="1512">
        <f>G20*Parametros!$F$33</f>
        <v>0</v>
      </c>
      <c r="H23" s="1512">
        <f>H20*Parametros!$F$33</f>
        <v>0</v>
      </c>
      <c r="I23" s="1512">
        <f>I20*Parametros!$F$33</f>
        <v>0</v>
      </c>
      <c r="J23" s="1512">
        <f>J20*Parametros!$F$33</f>
        <v>0</v>
      </c>
      <c r="K23" s="1512">
        <f>K20*Parametros!$F$33</f>
        <v>0</v>
      </c>
      <c r="L23" s="1512">
        <f>L20*Parametros!$F$33</f>
        <v>0</v>
      </c>
      <c r="M23" s="1512">
        <f>M20*Parametros!$F$33</f>
        <v>0</v>
      </c>
      <c r="N23" s="2169">
        <f>SUM(B23:M23)</f>
        <v>0</v>
      </c>
    </row>
    <row r="24" spans="1:14" ht="19.5" customHeight="1" thickBot="1" x14ac:dyDescent="0.35">
      <c r="A24" s="1084"/>
    </row>
    <row r="25" spans="1:14" ht="19.5" customHeight="1" thickBot="1" x14ac:dyDescent="0.35">
      <c r="A25" s="1544">
        <f>'Datos Básicos'!C16</f>
        <v>1</v>
      </c>
      <c r="B25" s="1542">
        <f>B18+1</f>
        <v>2027</v>
      </c>
      <c r="C25" s="1080"/>
    </row>
    <row r="26" spans="1:14" ht="19.5" customHeight="1" x14ac:dyDescent="0.3">
      <c r="A26" s="1514" t="s">
        <v>863</v>
      </c>
      <c r="B26" s="1513">
        <v>13</v>
      </c>
      <c r="C26" s="1513">
        <v>14</v>
      </c>
      <c r="D26" s="1513">
        <v>15</v>
      </c>
      <c r="E26" s="1513">
        <v>16</v>
      </c>
      <c r="F26" s="1513">
        <v>17</v>
      </c>
      <c r="G26" s="1513">
        <v>18</v>
      </c>
      <c r="H26" s="1513">
        <v>19</v>
      </c>
      <c r="I26" s="1513">
        <v>20</v>
      </c>
      <c r="J26" s="1513">
        <v>21</v>
      </c>
      <c r="K26" s="1513">
        <v>22</v>
      </c>
      <c r="L26" s="1513">
        <v>23</v>
      </c>
      <c r="M26" s="1513">
        <v>24</v>
      </c>
      <c r="N26" s="2167" t="s">
        <v>860</v>
      </c>
    </row>
    <row r="27" spans="1:14" ht="19.5" customHeight="1" x14ac:dyDescent="0.3">
      <c r="A27" s="1509" t="s">
        <v>1012</v>
      </c>
      <c r="B27" s="1510">
        <f t="shared" ref="B27:M27" si="3">B28+B29</f>
        <v>0</v>
      </c>
      <c r="C27" s="1510">
        <f t="shared" si="3"/>
        <v>0</v>
      </c>
      <c r="D27" s="1510">
        <f t="shared" si="3"/>
        <v>0</v>
      </c>
      <c r="E27" s="1510">
        <f t="shared" si="3"/>
        <v>0</v>
      </c>
      <c r="F27" s="1510">
        <f t="shared" si="3"/>
        <v>0</v>
      </c>
      <c r="G27" s="1510">
        <f t="shared" si="3"/>
        <v>0</v>
      </c>
      <c r="H27" s="1510">
        <f t="shared" si="3"/>
        <v>0</v>
      </c>
      <c r="I27" s="1510">
        <f t="shared" si="3"/>
        <v>0</v>
      </c>
      <c r="J27" s="1510">
        <f t="shared" si="3"/>
        <v>0</v>
      </c>
      <c r="K27" s="1510">
        <f t="shared" si="3"/>
        <v>0</v>
      </c>
      <c r="L27" s="1510">
        <f t="shared" si="3"/>
        <v>0</v>
      </c>
      <c r="M27" s="1510">
        <f t="shared" si="3"/>
        <v>0</v>
      </c>
      <c r="N27" s="2168">
        <f>SUM(B27:M27)</f>
        <v>0</v>
      </c>
    </row>
    <row r="28" spans="1:14" ht="19.5" customHeight="1" x14ac:dyDescent="0.3">
      <c r="A28" s="1509" t="s">
        <v>862</v>
      </c>
      <c r="B28" s="1510">
        <f t="shared" ref="B28:M28" si="4">+IF(MOD((B26-$H$11)*$B$12,12),0,IF(B26&lt;$H$11,0,IF(B26&lt;$H$8,$B$7*$B$9/$B$12,IF(B26&lt;=$H$9,IPMT($B$9/$B$12,(B26-$H$11)*$B$12/12-$B$13+1,$B$11,-$B$7),0))))
+IF(MOD((B26-$I$11)*$C$12,12),0,IF(B26&lt;$I$11,0,IF(B26&lt;$I$8,$C$7*$C$9/$C$12,IF(B26&lt;=$I$9,IPMT($C$9/$C$12,(B26-$I$11)*$C$12/12-$C$13+1,$C$11,-$C$7),0))))</f>
        <v>0</v>
      </c>
      <c r="C28" s="1510">
        <f t="shared" si="4"/>
        <v>0</v>
      </c>
      <c r="D28" s="1510">
        <f t="shared" si="4"/>
        <v>0</v>
      </c>
      <c r="E28" s="1510">
        <f t="shared" si="4"/>
        <v>0</v>
      </c>
      <c r="F28" s="1510">
        <f t="shared" si="4"/>
        <v>0</v>
      </c>
      <c r="G28" s="1510">
        <f t="shared" si="4"/>
        <v>0</v>
      </c>
      <c r="H28" s="1510">
        <f t="shared" si="4"/>
        <v>0</v>
      </c>
      <c r="I28" s="1510">
        <f t="shared" si="4"/>
        <v>0</v>
      </c>
      <c r="J28" s="1510">
        <f t="shared" si="4"/>
        <v>0</v>
      </c>
      <c r="K28" s="1510">
        <f t="shared" si="4"/>
        <v>0</v>
      </c>
      <c r="L28" s="1510">
        <f t="shared" si="4"/>
        <v>0</v>
      </c>
      <c r="M28" s="1510">
        <f t="shared" si="4"/>
        <v>0</v>
      </c>
      <c r="N28" s="2168">
        <f>SUM(B28:M28)</f>
        <v>0</v>
      </c>
    </row>
    <row r="29" spans="1:14" ht="19.5" customHeight="1" x14ac:dyDescent="0.3">
      <c r="A29" s="1509" t="s">
        <v>998</v>
      </c>
      <c r="B29" s="1510">
        <f t="shared" ref="B29:M29" si="5">IF(AND(B26&gt;=$H$8,B26&lt;=$H$9,MOD((B26-$H$11)*$B$12,12)=0),PPMT($B$9/$B$12,(B26-$H$11)*$B$12/12-$B$13+1,$B$11,-$B$7),0)
+IF(AND(B26&gt;=$I$8,B26&lt;=$I$9,MOD((B26-$I$11)*$C$12,12)=0),PPMT($C$9/$C$12,(B26-$I$11)*$C$12/12-$C$13+1,$C$11,-$C$7),0)</f>
        <v>0</v>
      </c>
      <c r="C29" s="1510">
        <f t="shared" si="5"/>
        <v>0</v>
      </c>
      <c r="D29" s="1510">
        <f t="shared" si="5"/>
        <v>0</v>
      </c>
      <c r="E29" s="1510">
        <f t="shared" si="5"/>
        <v>0</v>
      </c>
      <c r="F29" s="1510">
        <f t="shared" si="5"/>
        <v>0</v>
      </c>
      <c r="G29" s="1510">
        <f t="shared" si="5"/>
        <v>0</v>
      </c>
      <c r="H29" s="1510">
        <f t="shared" si="5"/>
        <v>0</v>
      </c>
      <c r="I29" s="1510">
        <f t="shared" si="5"/>
        <v>0</v>
      </c>
      <c r="J29" s="1510">
        <f t="shared" si="5"/>
        <v>0</v>
      </c>
      <c r="K29" s="1510">
        <f t="shared" si="5"/>
        <v>0</v>
      </c>
      <c r="L29" s="1510">
        <f t="shared" si="5"/>
        <v>0</v>
      </c>
      <c r="M29" s="1510">
        <f t="shared" si="5"/>
        <v>0</v>
      </c>
      <c r="N29" s="2168">
        <f>SUM(B29:M29)</f>
        <v>0</v>
      </c>
    </row>
    <row r="30" spans="1:14" ht="19.5" customHeight="1" thickBot="1" x14ac:dyDescent="0.35">
      <c r="A30" s="1511" t="s">
        <v>349</v>
      </c>
      <c r="B30" s="1512">
        <f>B27*Parametros!$F$33</f>
        <v>0</v>
      </c>
      <c r="C30" s="1512">
        <f>C27*Parametros!$F$33</f>
        <v>0</v>
      </c>
      <c r="D30" s="1512">
        <f>D27*Parametros!$F$33</f>
        <v>0</v>
      </c>
      <c r="E30" s="1512">
        <f>E27*Parametros!$F$33</f>
        <v>0</v>
      </c>
      <c r="F30" s="1512">
        <f>F27*Parametros!$F$33</f>
        <v>0</v>
      </c>
      <c r="G30" s="1512">
        <f>G27*Parametros!$F$33</f>
        <v>0</v>
      </c>
      <c r="H30" s="1512">
        <f>H27*Parametros!$F$33</f>
        <v>0</v>
      </c>
      <c r="I30" s="1512">
        <f>I27*Parametros!$F$33</f>
        <v>0</v>
      </c>
      <c r="J30" s="1512">
        <f>J27*Parametros!$F$33</f>
        <v>0</v>
      </c>
      <c r="K30" s="1512">
        <f>K27*Parametros!$F$33</f>
        <v>0</v>
      </c>
      <c r="L30" s="1512">
        <f>L27*Parametros!$F$33</f>
        <v>0</v>
      </c>
      <c r="M30" s="1512">
        <f>M27*Parametros!$F$33</f>
        <v>0</v>
      </c>
      <c r="N30" s="2169">
        <f>SUM(B30:M30)</f>
        <v>0</v>
      </c>
    </row>
    <row r="31" spans="1:14" ht="18" thickBot="1" x14ac:dyDescent="0.35"/>
    <row r="32" spans="1:14" ht="20.25" thickBot="1" x14ac:dyDescent="0.35">
      <c r="A32" s="1544">
        <f>A25+1</f>
        <v>2</v>
      </c>
      <c r="B32" s="1542">
        <f>B25+1</f>
        <v>2028</v>
      </c>
      <c r="C32" s="1080"/>
    </row>
    <row r="33" spans="1:14" ht="19.5" customHeight="1" x14ac:dyDescent="0.3">
      <c r="A33" s="1514" t="s">
        <v>863</v>
      </c>
      <c r="B33" s="1513">
        <v>25</v>
      </c>
      <c r="C33" s="1513">
        <v>26</v>
      </c>
      <c r="D33" s="1513">
        <v>27</v>
      </c>
      <c r="E33" s="1513">
        <v>28</v>
      </c>
      <c r="F33" s="1513">
        <v>29</v>
      </c>
      <c r="G33" s="1513">
        <v>30</v>
      </c>
      <c r="H33" s="1513">
        <v>31</v>
      </c>
      <c r="I33" s="1513">
        <v>32</v>
      </c>
      <c r="J33" s="1513">
        <v>33</v>
      </c>
      <c r="K33" s="1513">
        <v>34</v>
      </c>
      <c r="L33" s="1513">
        <v>35</v>
      </c>
      <c r="M33" s="1513">
        <v>36</v>
      </c>
      <c r="N33" s="2167" t="s">
        <v>860</v>
      </c>
    </row>
    <row r="34" spans="1:14" ht="19.5" customHeight="1" x14ac:dyDescent="0.3">
      <c r="A34" s="1509" t="s">
        <v>1012</v>
      </c>
      <c r="B34" s="1510">
        <f t="shared" ref="B34:M34" si="6">B35+B36</f>
        <v>0</v>
      </c>
      <c r="C34" s="1510">
        <f t="shared" si="6"/>
        <v>0</v>
      </c>
      <c r="D34" s="1510">
        <f t="shared" si="6"/>
        <v>0</v>
      </c>
      <c r="E34" s="1510">
        <f t="shared" si="6"/>
        <v>0</v>
      </c>
      <c r="F34" s="1510">
        <f t="shared" si="6"/>
        <v>0</v>
      </c>
      <c r="G34" s="1510">
        <f t="shared" si="6"/>
        <v>0</v>
      </c>
      <c r="H34" s="1510">
        <f t="shared" si="6"/>
        <v>0</v>
      </c>
      <c r="I34" s="1510">
        <f t="shared" si="6"/>
        <v>0</v>
      </c>
      <c r="J34" s="1510">
        <f t="shared" si="6"/>
        <v>0</v>
      </c>
      <c r="K34" s="1510">
        <f t="shared" si="6"/>
        <v>0</v>
      </c>
      <c r="L34" s="1510">
        <f t="shared" si="6"/>
        <v>0</v>
      </c>
      <c r="M34" s="1510">
        <f t="shared" si="6"/>
        <v>0</v>
      </c>
      <c r="N34" s="2168">
        <f>SUM(B34:M34)</f>
        <v>0</v>
      </c>
    </row>
    <row r="35" spans="1:14" ht="19.5" customHeight="1" x14ac:dyDescent="0.3">
      <c r="A35" s="1509" t="s">
        <v>862</v>
      </c>
      <c r="B35" s="1510">
        <f t="shared" ref="B35:M35" si="7">+IF(MOD((B33-$H$11)*$B$12,12),0,IF(B33&lt;$H$8,$B$7*$B$9/$B$12,IF(B33&lt;=$H$9,IPMT($B$9/$B$12,(B33-$H$11)*$B$12/12-$B$13+1,$B$11,-$B$7),0)))
+IF(MOD((B33-$I$11)*$C$12,12),0,IF(B33&lt;$I$8,$C$7*$C$9/$C$12,IF(B33&lt;=$I$9,IPMT($C$9/$C$12,(B33-$I$11)*$C$12/12-$C$13+1,$C$11,-$C$7),0)))</f>
        <v>0</v>
      </c>
      <c r="C35" s="1510">
        <f t="shared" si="7"/>
        <v>0</v>
      </c>
      <c r="D35" s="1510">
        <f t="shared" si="7"/>
        <v>0</v>
      </c>
      <c r="E35" s="1510">
        <f t="shared" si="7"/>
        <v>0</v>
      </c>
      <c r="F35" s="1510">
        <f t="shared" si="7"/>
        <v>0</v>
      </c>
      <c r="G35" s="1510">
        <f t="shared" si="7"/>
        <v>0</v>
      </c>
      <c r="H35" s="1510">
        <f t="shared" si="7"/>
        <v>0</v>
      </c>
      <c r="I35" s="1510">
        <f t="shared" si="7"/>
        <v>0</v>
      </c>
      <c r="J35" s="1510">
        <f t="shared" si="7"/>
        <v>0</v>
      </c>
      <c r="K35" s="1510">
        <f t="shared" si="7"/>
        <v>0</v>
      </c>
      <c r="L35" s="1510">
        <f t="shared" si="7"/>
        <v>0</v>
      </c>
      <c r="M35" s="1510">
        <f t="shared" si="7"/>
        <v>0</v>
      </c>
      <c r="N35" s="2168">
        <f>SUM(B35:M35)</f>
        <v>0</v>
      </c>
    </row>
    <row r="36" spans="1:14" ht="19.5" customHeight="1" x14ac:dyDescent="0.3">
      <c r="A36" s="1509" t="s">
        <v>998</v>
      </c>
      <c r="B36" s="1510">
        <f t="shared" ref="B36:M36" si="8">IF(AND(B33&gt;=$H$8,B33&lt;=$H$9,MOD((B33-$H$11)*$B$12,12)=0),PPMT($B$9/$B$12,(B33-$H$11)*$B$12/12-$B$13+1,$B$11,-$B$7),0)
+IF(AND(B33&gt;=$I$8,B33&lt;=$I$9,MOD((B33-$I$11)*$C$12,12)=0),PPMT($C$9/$C$12,(B33-$I$11)*$C$12/12-$C$13+1,$C$11,-$C$7),0)</f>
        <v>0</v>
      </c>
      <c r="C36" s="1510">
        <f t="shared" si="8"/>
        <v>0</v>
      </c>
      <c r="D36" s="1510">
        <f t="shared" si="8"/>
        <v>0</v>
      </c>
      <c r="E36" s="1510">
        <f t="shared" si="8"/>
        <v>0</v>
      </c>
      <c r="F36" s="1510">
        <f t="shared" si="8"/>
        <v>0</v>
      </c>
      <c r="G36" s="1510">
        <f t="shared" si="8"/>
        <v>0</v>
      </c>
      <c r="H36" s="1510">
        <f t="shared" si="8"/>
        <v>0</v>
      </c>
      <c r="I36" s="1510">
        <f t="shared" si="8"/>
        <v>0</v>
      </c>
      <c r="J36" s="1510">
        <f t="shared" si="8"/>
        <v>0</v>
      </c>
      <c r="K36" s="1510">
        <f t="shared" si="8"/>
        <v>0</v>
      </c>
      <c r="L36" s="1510">
        <f t="shared" si="8"/>
        <v>0</v>
      </c>
      <c r="M36" s="1510">
        <f t="shared" si="8"/>
        <v>0</v>
      </c>
      <c r="N36" s="2168">
        <f>SUM(B36:M36)</f>
        <v>0</v>
      </c>
    </row>
    <row r="37" spans="1:14" ht="19.5" customHeight="1" thickBot="1" x14ac:dyDescent="0.35">
      <c r="A37" s="1511" t="s">
        <v>349</v>
      </c>
      <c r="B37" s="1512">
        <f>B34*Parametros!$F$33</f>
        <v>0</v>
      </c>
      <c r="C37" s="1512">
        <f>C34*Parametros!$F$33</f>
        <v>0</v>
      </c>
      <c r="D37" s="1512">
        <f>D34*Parametros!$F$33</f>
        <v>0</v>
      </c>
      <c r="E37" s="1512">
        <f>E34*Parametros!$F$33</f>
        <v>0</v>
      </c>
      <c r="F37" s="1512">
        <f>F34*Parametros!$F$33</f>
        <v>0</v>
      </c>
      <c r="G37" s="1512">
        <f>G34*Parametros!$F$33</f>
        <v>0</v>
      </c>
      <c r="H37" s="1512">
        <f>H34*Parametros!$F$33</f>
        <v>0</v>
      </c>
      <c r="I37" s="1512">
        <f>I34*Parametros!$F$33</f>
        <v>0</v>
      </c>
      <c r="J37" s="1512">
        <f>J34*Parametros!$F$33</f>
        <v>0</v>
      </c>
      <c r="K37" s="1512">
        <f>K34*Parametros!$F$33</f>
        <v>0</v>
      </c>
      <c r="L37" s="1512">
        <f>L34*Parametros!$F$33</f>
        <v>0</v>
      </c>
      <c r="M37" s="1512">
        <f>M34*Parametros!$F$33</f>
        <v>0</v>
      </c>
      <c r="N37" s="2169">
        <f>SUM(B37:M37)</f>
        <v>0</v>
      </c>
    </row>
    <row r="38" spans="1:14" ht="18" thickBot="1" x14ac:dyDescent="0.35"/>
    <row r="39" spans="1:14" ht="20.25" thickBot="1" x14ac:dyDescent="0.35">
      <c r="A39" s="1544">
        <f>A32+1</f>
        <v>3</v>
      </c>
      <c r="B39" s="1542">
        <f>B32+1</f>
        <v>2029</v>
      </c>
      <c r="C39" s="1080"/>
    </row>
    <row r="40" spans="1:14" ht="19.5" customHeight="1" x14ac:dyDescent="0.3">
      <c r="A40" s="1514" t="s">
        <v>863</v>
      </c>
      <c r="B40" s="1513">
        <v>37</v>
      </c>
      <c r="C40" s="1513">
        <v>38</v>
      </c>
      <c r="D40" s="1513">
        <v>39</v>
      </c>
      <c r="E40" s="1513">
        <v>40</v>
      </c>
      <c r="F40" s="1513">
        <v>41</v>
      </c>
      <c r="G40" s="1513">
        <v>42</v>
      </c>
      <c r="H40" s="1513">
        <v>43</v>
      </c>
      <c r="I40" s="1513">
        <v>44</v>
      </c>
      <c r="J40" s="1513">
        <v>45</v>
      </c>
      <c r="K40" s="1513">
        <v>46</v>
      </c>
      <c r="L40" s="1513">
        <v>47</v>
      </c>
      <c r="M40" s="1513">
        <v>48</v>
      </c>
      <c r="N40" s="2167" t="s">
        <v>860</v>
      </c>
    </row>
    <row r="41" spans="1:14" ht="19.5" customHeight="1" x14ac:dyDescent="0.3">
      <c r="A41" s="1509" t="s">
        <v>1012</v>
      </c>
      <c r="B41" s="1510">
        <f t="shared" ref="B41:M41" si="9">B42+B43</f>
        <v>0</v>
      </c>
      <c r="C41" s="1510">
        <f t="shared" si="9"/>
        <v>0</v>
      </c>
      <c r="D41" s="1510">
        <f t="shared" si="9"/>
        <v>0</v>
      </c>
      <c r="E41" s="1510">
        <f t="shared" si="9"/>
        <v>0</v>
      </c>
      <c r="F41" s="1510">
        <f t="shared" si="9"/>
        <v>0</v>
      </c>
      <c r="G41" s="1510">
        <f t="shared" si="9"/>
        <v>0</v>
      </c>
      <c r="H41" s="1510">
        <f t="shared" si="9"/>
        <v>0</v>
      </c>
      <c r="I41" s="1510">
        <f t="shared" si="9"/>
        <v>0</v>
      </c>
      <c r="J41" s="1510">
        <f t="shared" si="9"/>
        <v>0</v>
      </c>
      <c r="K41" s="1510">
        <f t="shared" si="9"/>
        <v>0</v>
      </c>
      <c r="L41" s="1510">
        <f t="shared" si="9"/>
        <v>0</v>
      </c>
      <c r="M41" s="1510">
        <f t="shared" si="9"/>
        <v>0</v>
      </c>
      <c r="N41" s="2168">
        <f>SUM(B41:M41)</f>
        <v>0</v>
      </c>
    </row>
    <row r="42" spans="1:14" ht="19.5" customHeight="1" x14ac:dyDescent="0.3">
      <c r="A42" s="1509" t="s">
        <v>862</v>
      </c>
      <c r="B42" s="1510">
        <f t="shared" ref="B42:M42" si="10">+IF(MOD((B40-$H$11)*$B$12,12),0,IF(B40&lt;$H$8,$B$7*$B$9/$B$12,IF(B40&lt;=$H$9,IPMT($B$9/$B$12,(B40-$H$11)*$B$12/12-$B$13+1,$B$11,-$B$7),0)))
+IF(MOD((B40-$I$11)*$C$12,12),0,IF(B40&lt;$I$8,$C$7*$C$9/$C$12,IF(B40&lt;=$I$9,IPMT($C$9/$C$12,(B40-$I$11)*$C$12/12-$C$13+1,$C$11,-$C$7),0)))</f>
        <v>0</v>
      </c>
      <c r="C42" s="1510">
        <f t="shared" si="10"/>
        <v>0</v>
      </c>
      <c r="D42" s="1510">
        <f t="shared" si="10"/>
        <v>0</v>
      </c>
      <c r="E42" s="1510">
        <f t="shared" si="10"/>
        <v>0</v>
      </c>
      <c r="F42" s="1510">
        <f t="shared" si="10"/>
        <v>0</v>
      </c>
      <c r="G42" s="1510">
        <f t="shared" si="10"/>
        <v>0</v>
      </c>
      <c r="H42" s="1510">
        <f t="shared" si="10"/>
        <v>0</v>
      </c>
      <c r="I42" s="1510">
        <f t="shared" si="10"/>
        <v>0</v>
      </c>
      <c r="J42" s="1510">
        <f t="shared" si="10"/>
        <v>0</v>
      </c>
      <c r="K42" s="1510">
        <f t="shared" si="10"/>
        <v>0</v>
      </c>
      <c r="L42" s="1510">
        <f t="shared" si="10"/>
        <v>0</v>
      </c>
      <c r="M42" s="1510">
        <f t="shared" si="10"/>
        <v>0</v>
      </c>
      <c r="N42" s="2168">
        <f>SUM(B42:M42)</f>
        <v>0</v>
      </c>
    </row>
    <row r="43" spans="1:14" ht="19.5" customHeight="1" x14ac:dyDescent="0.3">
      <c r="A43" s="1509" t="s">
        <v>998</v>
      </c>
      <c r="B43" s="1510">
        <f t="shared" ref="B43:M43" si="11">IF(AND(B40&gt;=$H$8,B40&lt;=$H$9,MOD((B40-$H$11)*$B$12,12)=0),PPMT($B$9/$B$12,(B40-$H$11)*$B$12/12-$B$13+1,$B$11,-$B$7),0)
+IF(AND(B40&gt;=$I$8,B40&lt;=$I$9,MOD((B40-$I$11)*$C$12,12)=0),PPMT($C$9/$C$12,(B40-$I$11)*$C$12/12-$C$13+1,$C$11,-$C$7),0)</f>
        <v>0</v>
      </c>
      <c r="C43" s="1510">
        <f t="shared" si="11"/>
        <v>0</v>
      </c>
      <c r="D43" s="1510">
        <f t="shared" si="11"/>
        <v>0</v>
      </c>
      <c r="E43" s="1510">
        <f t="shared" si="11"/>
        <v>0</v>
      </c>
      <c r="F43" s="1510">
        <f t="shared" si="11"/>
        <v>0</v>
      </c>
      <c r="G43" s="1510">
        <f t="shared" si="11"/>
        <v>0</v>
      </c>
      <c r="H43" s="1510">
        <f t="shared" si="11"/>
        <v>0</v>
      </c>
      <c r="I43" s="1510">
        <f t="shared" si="11"/>
        <v>0</v>
      </c>
      <c r="J43" s="1510">
        <f t="shared" si="11"/>
        <v>0</v>
      </c>
      <c r="K43" s="1510">
        <f t="shared" si="11"/>
        <v>0</v>
      </c>
      <c r="L43" s="1510">
        <f t="shared" si="11"/>
        <v>0</v>
      </c>
      <c r="M43" s="1510">
        <f t="shared" si="11"/>
        <v>0</v>
      </c>
      <c r="N43" s="2168">
        <f>SUM(B43:M43)</f>
        <v>0</v>
      </c>
    </row>
    <row r="44" spans="1:14" ht="19.5" customHeight="1" thickBot="1" x14ac:dyDescent="0.35">
      <c r="A44" s="1511" t="s">
        <v>349</v>
      </c>
      <c r="B44" s="1512">
        <f>B41*Parametros!$F$33</f>
        <v>0</v>
      </c>
      <c r="C44" s="1512">
        <f>C41*Parametros!$F$33</f>
        <v>0</v>
      </c>
      <c r="D44" s="1512">
        <f>D41*Parametros!$F$33</f>
        <v>0</v>
      </c>
      <c r="E44" s="1512">
        <f>E41*Parametros!$F$33</f>
        <v>0</v>
      </c>
      <c r="F44" s="1512">
        <f>F41*Parametros!$F$33</f>
        <v>0</v>
      </c>
      <c r="G44" s="1512">
        <f>G41*Parametros!$F$33</f>
        <v>0</v>
      </c>
      <c r="H44" s="1512">
        <f>H41*Parametros!$F$33</f>
        <v>0</v>
      </c>
      <c r="I44" s="1512">
        <f>I41*Parametros!$F$33</f>
        <v>0</v>
      </c>
      <c r="J44" s="1512">
        <f>J41*Parametros!$F$33</f>
        <v>0</v>
      </c>
      <c r="K44" s="1512">
        <f>K41*Parametros!$F$33</f>
        <v>0</v>
      </c>
      <c r="L44" s="1512">
        <f>L41*Parametros!$F$33</f>
        <v>0</v>
      </c>
      <c r="M44" s="1512">
        <f>M41*Parametros!$F$33</f>
        <v>0</v>
      </c>
      <c r="N44" s="2169">
        <f>SUM(B44:M44)</f>
        <v>0</v>
      </c>
    </row>
    <row r="45" spans="1:14" ht="18" thickBot="1" x14ac:dyDescent="0.35"/>
    <row r="46" spans="1:14" ht="20.25" thickBot="1" x14ac:dyDescent="0.35">
      <c r="A46" s="1544">
        <f>A39+1</f>
        <v>4</v>
      </c>
      <c r="B46" s="1542">
        <f>B39+1</f>
        <v>2030</v>
      </c>
      <c r="C46" s="1080"/>
    </row>
    <row r="47" spans="1:14" ht="19.5" customHeight="1" x14ac:dyDescent="0.3">
      <c r="A47" s="1514" t="s">
        <v>863</v>
      </c>
      <c r="B47" s="1513">
        <v>49</v>
      </c>
      <c r="C47" s="1513">
        <v>50</v>
      </c>
      <c r="D47" s="1513">
        <v>51</v>
      </c>
      <c r="E47" s="1513">
        <v>52</v>
      </c>
      <c r="F47" s="1513">
        <v>53</v>
      </c>
      <c r="G47" s="1513">
        <v>54</v>
      </c>
      <c r="H47" s="1513">
        <v>55</v>
      </c>
      <c r="I47" s="1513">
        <v>56</v>
      </c>
      <c r="J47" s="1513">
        <v>57</v>
      </c>
      <c r="K47" s="1513">
        <v>58</v>
      </c>
      <c r="L47" s="1513">
        <v>59</v>
      </c>
      <c r="M47" s="1513">
        <v>60</v>
      </c>
      <c r="N47" s="2167" t="s">
        <v>860</v>
      </c>
    </row>
    <row r="48" spans="1:14" ht="19.5" customHeight="1" x14ac:dyDescent="0.3">
      <c r="A48" s="1509" t="s">
        <v>1012</v>
      </c>
      <c r="B48" s="1510">
        <f t="shared" ref="B48:M48" si="12">B49+B50</f>
        <v>0</v>
      </c>
      <c r="C48" s="1510">
        <f t="shared" si="12"/>
        <v>0</v>
      </c>
      <c r="D48" s="1510">
        <f t="shared" si="12"/>
        <v>0</v>
      </c>
      <c r="E48" s="1510">
        <f t="shared" si="12"/>
        <v>0</v>
      </c>
      <c r="F48" s="1510">
        <f t="shared" si="12"/>
        <v>0</v>
      </c>
      <c r="G48" s="1510">
        <f t="shared" si="12"/>
        <v>0</v>
      </c>
      <c r="H48" s="1510">
        <f t="shared" si="12"/>
        <v>0</v>
      </c>
      <c r="I48" s="1510">
        <f t="shared" si="12"/>
        <v>0</v>
      </c>
      <c r="J48" s="1510">
        <f t="shared" si="12"/>
        <v>0</v>
      </c>
      <c r="K48" s="1510">
        <f t="shared" si="12"/>
        <v>0</v>
      </c>
      <c r="L48" s="1510">
        <f t="shared" si="12"/>
        <v>0</v>
      </c>
      <c r="M48" s="1510">
        <f t="shared" si="12"/>
        <v>0</v>
      </c>
      <c r="N48" s="2168">
        <f>SUM(B48:M48)</f>
        <v>0</v>
      </c>
    </row>
    <row r="49" spans="1:14" ht="19.5" customHeight="1" x14ac:dyDescent="0.3">
      <c r="A49" s="1509" t="s">
        <v>862</v>
      </c>
      <c r="B49" s="1510">
        <f t="shared" ref="B49:M49" si="13">+IF(MOD((B47-$H$11)*$B$12,12),0,IF(B47&lt;$H$8,$B$7*$B$9/$B$12,IF(B47&lt;=$H$9,IPMT($B$9/$B$12,(B47-$H$11)*$B$12/12-$B$13+1,$B$11,-$B$7),0)))
+IF(MOD((B47-$I$11)*$C$12,12),0,IF(B47&lt;$I$8,$C$7*$C$9/$C$12,IF(B47&lt;=$I$9,IPMT($C$9/$C$12,(B47-$I$11)*$C$12/12-$C$13+1,$C$11,-$C$7),0)))</f>
        <v>0</v>
      </c>
      <c r="C49" s="1510">
        <f t="shared" si="13"/>
        <v>0</v>
      </c>
      <c r="D49" s="1510">
        <f t="shared" si="13"/>
        <v>0</v>
      </c>
      <c r="E49" s="1510">
        <f t="shared" si="13"/>
        <v>0</v>
      </c>
      <c r="F49" s="1510">
        <f t="shared" si="13"/>
        <v>0</v>
      </c>
      <c r="G49" s="1510">
        <f t="shared" si="13"/>
        <v>0</v>
      </c>
      <c r="H49" s="1510">
        <f t="shared" si="13"/>
        <v>0</v>
      </c>
      <c r="I49" s="1510">
        <f t="shared" si="13"/>
        <v>0</v>
      </c>
      <c r="J49" s="1510">
        <f t="shared" si="13"/>
        <v>0</v>
      </c>
      <c r="K49" s="1510">
        <f t="shared" si="13"/>
        <v>0</v>
      </c>
      <c r="L49" s="1510">
        <f t="shared" si="13"/>
        <v>0</v>
      </c>
      <c r="M49" s="1510">
        <f t="shared" si="13"/>
        <v>0</v>
      </c>
      <c r="N49" s="2168">
        <f>SUM(B49:M49)</f>
        <v>0</v>
      </c>
    </row>
    <row r="50" spans="1:14" ht="19.5" customHeight="1" x14ac:dyDescent="0.3">
      <c r="A50" s="1509" t="s">
        <v>998</v>
      </c>
      <c r="B50" s="1510">
        <f t="shared" ref="B50:M50" si="14">IF(AND(B47&gt;=$H$8,B47&lt;=$H$9,MOD((B47-$H$11)*$B$12,12)=0),PPMT($B$9/$B$12,(B47-$H$11)*$B$12/12-$B$13+1,$B$11,-$B$7),0)
+IF(AND(B47&gt;=$I$8,B47&lt;=$I$9,MOD((B47-$I$11)*$C$12,12)=0),PPMT($C$9/$C$12,(B47-$I$11)*$C$12/12-$C$13+1,$C$11,-$C$7),0)</f>
        <v>0</v>
      </c>
      <c r="C50" s="1510">
        <f t="shared" si="14"/>
        <v>0</v>
      </c>
      <c r="D50" s="1510">
        <f t="shared" si="14"/>
        <v>0</v>
      </c>
      <c r="E50" s="1510">
        <f t="shared" si="14"/>
        <v>0</v>
      </c>
      <c r="F50" s="1510">
        <f t="shared" si="14"/>
        <v>0</v>
      </c>
      <c r="G50" s="1510">
        <f t="shared" si="14"/>
        <v>0</v>
      </c>
      <c r="H50" s="1510">
        <f t="shared" si="14"/>
        <v>0</v>
      </c>
      <c r="I50" s="1510">
        <f t="shared" si="14"/>
        <v>0</v>
      </c>
      <c r="J50" s="1510">
        <f t="shared" si="14"/>
        <v>0</v>
      </c>
      <c r="K50" s="1510">
        <f t="shared" si="14"/>
        <v>0</v>
      </c>
      <c r="L50" s="1510">
        <f t="shared" si="14"/>
        <v>0</v>
      </c>
      <c r="M50" s="1510">
        <f t="shared" si="14"/>
        <v>0</v>
      </c>
      <c r="N50" s="2168">
        <f>SUM(B50:M50)</f>
        <v>0</v>
      </c>
    </row>
    <row r="51" spans="1:14" ht="19.5" customHeight="1" thickBot="1" x14ac:dyDescent="0.35">
      <c r="A51" s="1511" t="s">
        <v>349</v>
      </c>
      <c r="B51" s="1512">
        <f>B48*Parametros!$F$33</f>
        <v>0</v>
      </c>
      <c r="C51" s="1512">
        <f>C48*Parametros!$F$33</f>
        <v>0</v>
      </c>
      <c r="D51" s="1512">
        <f>D48*Parametros!$F$33</f>
        <v>0</v>
      </c>
      <c r="E51" s="1512">
        <f>E48*Parametros!$F$33</f>
        <v>0</v>
      </c>
      <c r="F51" s="1512">
        <f>F48*Parametros!$F$33</f>
        <v>0</v>
      </c>
      <c r="G51" s="1512">
        <f>G48*Parametros!$F$33</f>
        <v>0</v>
      </c>
      <c r="H51" s="1512">
        <f>H48*Parametros!$F$33</f>
        <v>0</v>
      </c>
      <c r="I51" s="1512">
        <f>I48*Parametros!$F$33</f>
        <v>0</v>
      </c>
      <c r="J51" s="1512">
        <f>J48*Parametros!$F$33</f>
        <v>0</v>
      </c>
      <c r="K51" s="1512">
        <f>K48*Parametros!$F$33</f>
        <v>0</v>
      </c>
      <c r="L51" s="1512">
        <f>L48*Parametros!$F$33</f>
        <v>0</v>
      </c>
      <c r="M51" s="1512">
        <f>M48*Parametros!$F$33</f>
        <v>0</v>
      </c>
      <c r="N51" s="2169">
        <f>SUM(B51:M51)</f>
        <v>0</v>
      </c>
    </row>
    <row r="52" spans="1:14" ht="18" thickBot="1" x14ac:dyDescent="0.35"/>
    <row r="53" spans="1:14" ht="20.25" thickBot="1" x14ac:dyDescent="0.35">
      <c r="A53" s="1544">
        <f>A46+1</f>
        <v>5</v>
      </c>
      <c r="B53" s="1542">
        <f>B46+1</f>
        <v>2031</v>
      </c>
      <c r="C53" s="1080"/>
    </row>
    <row r="54" spans="1:14" ht="19.5" customHeight="1" x14ac:dyDescent="0.3">
      <c r="A54" s="1514" t="s">
        <v>863</v>
      </c>
      <c r="B54" s="1513">
        <v>61</v>
      </c>
      <c r="C54" s="1513">
        <v>62</v>
      </c>
      <c r="D54" s="1513">
        <v>63</v>
      </c>
      <c r="E54" s="1513">
        <v>64</v>
      </c>
      <c r="F54" s="1513">
        <v>65</v>
      </c>
      <c r="G54" s="1513">
        <v>66</v>
      </c>
      <c r="H54" s="1513">
        <v>67</v>
      </c>
      <c r="I54" s="1513">
        <v>68</v>
      </c>
      <c r="J54" s="1513">
        <v>69</v>
      </c>
      <c r="K54" s="1513">
        <v>70</v>
      </c>
      <c r="L54" s="1513">
        <v>71</v>
      </c>
      <c r="M54" s="1513">
        <v>72</v>
      </c>
      <c r="N54" s="2167" t="s">
        <v>860</v>
      </c>
    </row>
    <row r="55" spans="1:14" ht="19.5" customHeight="1" x14ac:dyDescent="0.3">
      <c r="A55" s="1509" t="s">
        <v>1012</v>
      </c>
      <c r="B55" s="1510">
        <f t="shared" ref="B55:M55" si="15">B56+B57</f>
        <v>0</v>
      </c>
      <c r="C55" s="1510">
        <f t="shared" si="15"/>
        <v>0</v>
      </c>
      <c r="D55" s="1510">
        <f t="shared" si="15"/>
        <v>0</v>
      </c>
      <c r="E55" s="1510">
        <f t="shared" si="15"/>
        <v>0</v>
      </c>
      <c r="F55" s="1510">
        <f t="shared" si="15"/>
        <v>0</v>
      </c>
      <c r="G55" s="1510">
        <f t="shared" si="15"/>
        <v>0</v>
      </c>
      <c r="H55" s="1510">
        <f t="shared" si="15"/>
        <v>0</v>
      </c>
      <c r="I55" s="1510">
        <f t="shared" si="15"/>
        <v>0</v>
      </c>
      <c r="J55" s="1510">
        <f t="shared" si="15"/>
        <v>0</v>
      </c>
      <c r="K55" s="1510">
        <f t="shared" si="15"/>
        <v>0</v>
      </c>
      <c r="L55" s="1510">
        <f t="shared" si="15"/>
        <v>0</v>
      </c>
      <c r="M55" s="1510">
        <f t="shared" si="15"/>
        <v>0</v>
      </c>
      <c r="N55" s="2168">
        <f>SUM(B55:M55)</f>
        <v>0</v>
      </c>
    </row>
    <row r="56" spans="1:14" ht="19.5" customHeight="1" x14ac:dyDescent="0.3">
      <c r="A56" s="1509" t="s">
        <v>862</v>
      </c>
      <c r="B56" s="1510">
        <f t="shared" ref="B56:M56" si="16">IF(MOD((B54-$H$11)*$B$12,12),0,IF(B54&lt;$H$8,$B$7*$B$9/$B$12,IF(B54&lt;=$H$9,IPMT($B$9/$B$12,(B54-$H$11)*$B$12/12-$B$13+1,$B$11,-$B$7),0)))
+IF(MOD((B54-$I$11)*$C$12,12),0,IF(B54&lt;$I$8,$C$7*$C$9/$C$12,IF(B54&lt;=$I$9,IPMT($C$9/$C$12,(B54-$I$11)*$C$12/12-$C$13+1,$C$11,-$C$7),0)))</f>
        <v>0</v>
      </c>
      <c r="C56" s="1510">
        <f t="shared" si="16"/>
        <v>0</v>
      </c>
      <c r="D56" s="1510">
        <f t="shared" si="16"/>
        <v>0</v>
      </c>
      <c r="E56" s="1510">
        <f t="shared" si="16"/>
        <v>0</v>
      </c>
      <c r="F56" s="1510">
        <f t="shared" si="16"/>
        <v>0</v>
      </c>
      <c r="G56" s="1510">
        <f t="shared" si="16"/>
        <v>0</v>
      </c>
      <c r="H56" s="1510">
        <f t="shared" si="16"/>
        <v>0</v>
      </c>
      <c r="I56" s="1510">
        <f t="shared" si="16"/>
        <v>0</v>
      </c>
      <c r="J56" s="1510">
        <f t="shared" si="16"/>
        <v>0</v>
      </c>
      <c r="K56" s="1510">
        <f t="shared" si="16"/>
        <v>0</v>
      </c>
      <c r="L56" s="1510">
        <f t="shared" si="16"/>
        <v>0</v>
      </c>
      <c r="M56" s="1510">
        <f t="shared" si="16"/>
        <v>0</v>
      </c>
      <c r="N56" s="2168">
        <f>SUM(B56:M56)</f>
        <v>0</v>
      </c>
    </row>
    <row r="57" spans="1:14" ht="19.5" customHeight="1" x14ac:dyDescent="0.3">
      <c r="A57" s="1509" t="s">
        <v>998</v>
      </c>
      <c r="B57" s="1510">
        <f t="shared" ref="B57:M57" si="17">IF(AND(B54&gt;=$H$8,B54&lt;=$H$9,MOD((B54-$H$11)*$B$12,12)=0),PPMT($B$9/$B$12,(B54-$H$11)*$B$12/12-$B$13+1,$B$11,-$B$7),0)
+IF(AND(B54&gt;=$I$8,B54&lt;=$I$9,MOD((B54-$I$11)*$C$12,12)=0),PPMT($C$9/$C$12,(B54-$I$11)*$C$12/12-$C$13+1,$C$11,-$C$7),0)</f>
        <v>0</v>
      </c>
      <c r="C57" s="1510">
        <f t="shared" si="17"/>
        <v>0</v>
      </c>
      <c r="D57" s="1510">
        <f t="shared" si="17"/>
        <v>0</v>
      </c>
      <c r="E57" s="1510">
        <f t="shared" si="17"/>
        <v>0</v>
      </c>
      <c r="F57" s="1510">
        <f t="shared" si="17"/>
        <v>0</v>
      </c>
      <c r="G57" s="1510">
        <f t="shared" si="17"/>
        <v>0</v>
      </c>
      <c r="H57" s="1510">
        <f t="shared" si="17"/>
        <v>0</v>
      </c>
      <c r="I57" s="1510">
        <f t="shared" si="17"/>
        <v>0</v>
      </c>
      <c r="J57" s="1510">
        <f t="shared" si="17"/>
        <v>0</v>
      </c>
      <c r="K57" s="1510">
        <f t="shared" si="17"/>
        <v>0</v>
      </c>
      <c r="L57" s="1510">
        <f t="shared" si="17"/>
        <v>0</v>
      </c>
      <c r="M57" s="1510">
        <f t="shared" si="17"/>
        <v>0</v>
      </c>
      <c r="N57" s="2168">
        <f>SUM(B57:M57)</f>
        <v>0</v>
      </c>
    </row>
    <row r="58" spans="1:14" ht="19.5" customHeight="1" thickBot="1" x14ac:dyDescent="0.35">
      <c r="A58" s="1511" t="s">
        <v>349</v>
      </c>
      <c r="B58" s="1512">
        <f>B55*Parametros!$F$33</f>
        <v>0</v>
      </c>
      <c r="C58" s="1512">
        <f>C55*Parametros!$F$33</f>
        <v>0</v>
      </c>
      <c r="D58" s="1512">
        <f>D55*Parametros!$F$33</f>
        <v>0</v>
      </c>
      <c r="E58" s="1512">
        <f>E55*Parametros!$F$33</f>
        <v>0</v>
      </c>
      <c r="F58" s="1512">
        <f>F55*Parametros!$F$33</f>
        <v>0</v>
      </c>
      <c r="G58" s="1512">
        <f>G55*Parametros!$F$33</f>
        <v>0</v>
      </c>
      <c r="H58" s="1512">
        <f>H55*Parametros!$F$33</f>
        <v>0</v>
      </c>
      <c r="I58" s="1512">
        <f>I55*Parametros!$F$33</f>
        <v>0</v>
      </c>
      <c r="J58" s="1512">
        <f>J55*Parametros!$F$33</f>
        <v>0</v>
      </c>
      <c r="K58" s="1512">
        <f>K55*Parametros!$F$33</f>
        <v>0</v>
      </c>
      <c r="L58" s="1512">
        <f>L55*Parametros!$F$33</f>
        <v>0</v>
      </c>
      <c r="M58" s="1512">
        <f>M55*Parametros!$F$33</f>
        <v>0</v>
      </c>
      <c r="N58" s="2169">
        <f>SUM(B58:M58)</f>
        <v>0</v>
      </c>
    </row>
  </sheetData>
  <sheetProtection sheet="1" objects="1" scenarios="1" formatCells="0" formatColumns="0"/>
  <phoneticPr fontId="13" type="noConversion"/>
  <conditionalFormatting sqref="B20:M23">
    <cfRule type="expression" dxfId="40" priority="1" stopIfTrue="1">
      <formula>B$19&lt;mes0</formula>
    </cfRule>
  </conditionalFormatting>
  <dataValidations xWindow="106" yWindow="209" count="6">
    <dataValidation type="whole" allowBlank="1" showInputMessage="1" showErrorMessage="1" sqref="B13:C13" xr:uid="{00000000-0002-0000-0F00-000000000000}">
      <formula1>0</formula1>
      <formula2>plazo/npagos*12</formula2>
    </dataValidation>
    <dataValidation type="list" allowBlank="1" showInputMessage="1" showErrorMessage="1" prompt="  1 = 1 solo pago anual_x000a_  2 = pagos semestrales_x000a_  3 = pagos cuatrimestrales_x000a_  4 = pagos trimestrales_x000a_  6 = pagos bimensuales_x000a_12 = pagos mensuales" sqref="B12:C12" xr:uid="{00000000-0002-0000-0F00-000001000000}">
      <formula1>"1,2,3,4,6,12"</formula1>
    </dataValidation>
    <dataValidation type="whole" allowBlank="1" showInputMessage="1" showErrorMessage="1" sqref="B11:C11" xr:uid="{00000000-0002-0000-0F00-000002000000}">
      <formula1>0</formula1>
      <formula2>400</formula2>
    </dataValidation>
    <dataValidation type="whole" allowBlank="1" showInputMessage="1" showErrorMessage="1" prompt="Mes en el que se recibe el préstamo. El periodo siguiente será el primer pago. NO puede ser anterior al mes inicial." sqref="B14" xr:uid="{00000000-0002-0000-0F00-000003000000}">
      <formula1>mes0-1</formula1>
      <formula2>24</formula2>
    </dataValidation>
    <dataValidation allowBlank="1" showInputMessage="1" showErrorMessage="1" prompt="Tipo nominal anual" sqref="B9:C9" xr:uid="{00000000-0002-0000-0F00-000004000000}"/>
    <dataValidation type="decimal" allowBlank="1" showInputMessage="1" showErrorMessage="1" sqref="B10:C10" xr:uid="{00000000-0002-0000-0F00-000005000000}">
      <formula1>0</formula1>
      <formula2>0.05</formula2>
    </dataValidation>
  </dataValidations>
  <printOptions horizontalCentered="1"/>
  <pageMargins left="0.56000000000000005" right="0.69" top="0.54" bottom="0.61" header="0.39" footer="0.43"/>
  <pageSetup paperSize="9" scale="48" orientation="landscape" horizontalDpi="4294967292" verticalDpi="300" r:id="rId1"/>
  <headerFooter alignWithMargins="0">
    <oddFooter>&amp;A</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56">
    <tabColor rgb="FFA8DDD6"/>
    <pageSetUpPr fitToPage="1"/>
  </sheetPr>
  <dimension ref="A1:X46"/>
  <sheetViews>
    <sheetView showGridLines="0" workbookViewId="0">
      <selection sqref="A1:G1"/>
    </sheetView>
  </sheetViews>
  <sheetFormatPr baseColWidth="10" defaultRowHeight="17.25" x14ac:dyDescent="0.3"/>
  <cols>
    <col min="1" max="1" width="28.875" style="307" customWidth="1"/>
    <col min="2" max="2" width="10.375" style="307" customWidth="1"/>
    <col min="3" max="3" width="10.5" style="307" customWidth="1"/>
    <col min="4" max="4" width="11" style="307"/>
    <col min="5" max="5" width="10.125" style="307" customWidth="1"/>
    <col min="6" max="6" width="10.25" style="307" customWidth="1"/>
    <col min="7" max="7" width="10.75" style="307" customWidth="1"/>
    <col min="8" max="8" width="28.625" style="307" customWidth="1"/>
    <col min="9" max="10" width="9.5" style="307" customWidth="1"/>
    <col min="11" max="15" width="10.625" style="307" customWidth="1"/>
    <col min="16" max="18" width="9.5" style="307" customWidth="1"/>
    <col min="19" max="19" width="11" style="307" hidden="1" customWidth="1"/>
    <col min="20" max="20" width="16" style="307" hidden="1" customWidth="1"/>
    <col min="21" max="24" width="11" style="307" hidden="1" customWidth="1"/>
    <col min="25" max="16384" width="11" style="307"/>
  </cols>
  <sheetData>
    <row r="1" spans="1:24" ht="30" customHeight="1" x14ac:dyDescent="0.45">
      <c r="A1" s="2521" t="s">
        <v>1086</v>
      </c>
      <c r="B1" s="2506"/>
      <c r="C1" s="2506"/>
      <c r="D1" s="2506"/>
      <c r="E1" s="2506"/>
      <c r="F1" s="2506"/>
      <c r="G1" s="2506"/>
    </row>
    <row r="2" spans="1:24" ht="27.75" x14ac:dyDescent="0.45">
      <c r="A2" s="408">
        <f>'Datos Básicos'!B8</f>
        <v>0</v>
      </c>
      <c r="B2" s="408"/>
      <c r="C2" s="408"/>
      <c r="D2" s="408"/>
      <c r="E2" s="408"/>
      <c r="H2" s="1189"/>
      <c r="I2" s="1076"/>
    </row>
    <row r="3" spans="1:24" ht="27.75" x14ac:dyDescent="0.45">
      <c r="A3" s="408"/>
      <c r="B3" s="408"/>
      <c r="C3" s="408"/>
      <c r="D3" s="408"/>
      <c r="E3" s="408"/>
    </row>
    <row r="4" spans="1:24" ht="20.25" customHeight="1" x14ac:dyDescent="0.45">
      <c r="A4" s="408"/>
      <c r="E4" s="408"/>
    </row>
    <row r="5" spans="1:24" ht="20.25" customHeight="1" thickBot="1" x14ac:dyDescent="0.5">
      <c r="A5" s="408"/>
      <c r="E5" s="408"/>
    </row>
    <row r="6" spans="1:24" ht="20.25" customHeight="1" thickBot="1" x14ac:dyDescent="0.5">
      <c r="A6" s="408"/>
      <c r="B6" s="1337" t="s">
        <v>130</v>
      </c>
      <c r="C6" s="1335"/>
      <c r="D6" s="1336"/>
      <c r="E6" s="408"/>
    </row>
    <row r="7" spans="1:24" ht="20.25" customHeight="1" x14ac:dyDescent="0.45">
      <c r="A7" s="408"/>
      <c r="B7" s="1311" t="s">
        <v>740</v>
      </c>
      <c r="C7" s="726"/>
      <c r="D7" s="1312">
        <v>1</v>
      </c>
      <c r="E7" s="408"/>
      <c r="L7" s="2442" t="s">
        <v>1245</v>
      </c>
    </row>
    <row r="8" spans="1:24" ht="39" customHeight="1" thickBot="1" x14ac:dyDescent="0.5">
      <c r="A8" s="408"/>
      <c r="B8" s="2519" t="s">
        <v>493</v>
      </c>
      <c r="C8" s="2520"/>
      <c r="D8" s="1313">
        <v>0</v>
      </c>
      <c r="E8" s="408"/>
      <c r="L8" s="2338" t="s">
        <v>174</v>
      </c>
    </row>
    <row r="9" spans="1:24" ht="20.25" customHeight="1" x14ac:dyDescent="0.45">
      <c r="A9" s="408"/>
      <c r="B9" s="408"/>
      <c r="C9" s="408"/>
      <c r="D9" s="408"/>
      <c r="E9" s="408"/>
    </row>
    <row r="10" spans="1:24" ht="20.25" customHeight="1" x14ac:dyDescent="0.45">
      <c r="A10" s="408"/>
      <c r="B10" s="408"/>
      <c r="C10" s="408"/>
      <c r="D10" s="408"/>
      <c r="E10" s="408"/>
    </row>
    <row r="11" spans="1:24" ht="22.5" x14ac:dyDescent="0.35">
      <c r="A11" s="444" t="s">
        <v>124</v>
      </c>
    </row>
    <row r="12" spans="1:24" ht="18" customHeight="1" thickBot="1" x14ac:dyDescent="0.5">
      <c r="A12" s="408"/>
      <c r="T12" s="1034">
        <v>2026</v>
      </c>
      <c r="U12" s="1034">
        <v>2027</v>
      </c>
      <c r="V12" s="1034">
        <v>2028</v>
      </c>
      <c r="W12" s="1034">
        <v>2029</v>
      </c>
      <c r="X12" s="1034">
        <v>2030</v>
      </c>
    </row>
    <row r="13" spans="1:24" x14ac:dyDescent="0.3">
      <c r="A13" s="1517" t="s">
        <v>117</v>
      </c>
      <c r="B13" s="1518" t="str">
        <f>'Datos Básicos'!B16</f>
        <v>Año 0</v>
      </c>
      <c r="C13" s="1519">
        <f>'Datos Básicos'!C16</f>
        <v>1</v>
      </c>
      <c r="D13" s="1519">
        <f t="shared" ref="D13:F14" si="0">C13+1</f>
        <v>2</v>
      </c>
      <c r="E13" s="1519">
        <f t="shared" si="0"/>
        <v>3</v>
      </c>
      <c r="F13" s="1520">
        <f>E13+1</f>
        <v>4</v>
      </c>
      <c r="G13" s="1103"/>
      <c r="S13" s="307">
        <v>-100000</v>
      </c>
      <c r="T13" s="307">
        <v>205.88</v>
      </c>
      <c r="U13" s="307">
        <v>205.88</v>
      </c>
      <c r="V13" s="307">
        <v>205.88</v>
      </c>
      <c r="W13" s="307">
        <v>205.88</v>
      </c>
      <c r="X13" s="307">
        <v>205.88</v>
      </c>
    </row>
    <row r="14" spans="1:24" ht="18" thickBot="1" x14ac:dyDescent="0.35">
      <c r="A14" s="1521" t="s">
        <v>125</v>
      </c>
      <c r="B14" s="1522">
        <f>'Datos Básicos'!$B$17</f>
        <v>2026</v>
      </c>
      <c r="C14" s="1522">
        <f>B14+1</f>
        <v>2027</v>
      </c>
      <c r="D14" s="1522">
        <f t="shared" si="0"/>
        <v>2028</v>
      </c>
      <c r="E14" s="1522">
        <f t="shared" si="0"/>
        <v>2029</v>
      </c>
      <c r="F14" s="1522">
        <f t="shared" si="0"/>
        <v>2030</v>
      </c>
      <c r="G14" s="1104"/>
      <c r="S14" s="307">
        <v>670.00099999999998</v>
      </c>
      <c r="T14" s="307">
        <v>226.47</v>
      </c>
      <c r="U14" s="307">
        <v>226.47</v>
      </c>
      <c r="V14" s="307">
        <v>226.47</v>
      </c>
      <c r="W14" s="307">
        <v>226.47</v>
      </c>
      <c r="X14" s="307">
        <v>226.47</v>
      </c>
    </row>
    <row r="15" spans="1:24" x14ac:dyDescent="0.3">
      <c r="A15" s="1314" t="s">
        <v>731</v>
      </c>
      <c r="B15" s="1315">
        <v>1221</v>
      </c>
      <c r="C15" s="1316">
        <f t="shared" ref="C15:F16" si="1">B15*1.04</f>
        <v>1269.8400000000001</v>
      </c>
      <c r="D15" s="1316">
        <f t="shared" si="1"/>
        <v>1320.6336000000001</v>
      </c>
      <c r="E15" s="1316">
        <f t="shared" si="1"/>
        <v>1373.4589440000002</v>
      </c>
      <c r="F15" s="1317">
        <f t="shared" si="1"/>
        <v>1428.3973017600003</v>
      </c>
      <c r="G15" s="1105"/>
      <c r="H15" s="1517" t="s">
        <v>1249</v>
      </c>
      <c r="I15" s="1323">
        <v>5550</v>
      </c>
      <c r="S15" s="307">
        <v>900.00099999999998</v>
      </c>
      <c r="T15" s="307">
        <v>267.64999999999998</v>
      </c>
      <c r="U15" s="307">
        <v>267.64999999999998</v>
      </c>
      <c r="V15" s="307">
        <v>267.64999999999998</v>
      </c>
      <c r="W15" s="307">
        <v>267.64999999999998</v>
      </c>
      <c r="X15" s="307">
        <v>267.64999999999998</v>
      </c>
    </row>
    <row r="16" spans="1:24" ht="18" thickBot="1" x14ac:dyDescent="0.35">
      <c r="A16" s="1318" t="s">
        <v>732</v>
      </c>
      <c r="B16" s="1319">
        <v>0</v>
      </c>
      <c r="C16" s="1320">
        <f t="shared" si="1"/>
        <v>0</v>
      </c>
      <c r="D16" s="1320">
        <f t="shared" si="1"/>
        <v>0</v>
      </c>
      <c r="E16" s="1320">
        <f t="shared" si="1"/>
        <v>0</v>
      </c>
      <c r="F16" s="1321">
        <f t="shared" si="1"/>
        <v>0</v>
      </c>
      <c r="G16" s="1105"/>
      <c r="H16" s="2455" t="str">
        <f>IF(I15&lt;5550,"Mínimo 5.550","")</f>
        <v/>
      </c>
      <c r="S16" s="307">
        <v>1125.9010000000001</v>
      </c>
      <c r="T16" s="307">
        <v>299.56</v>
      </c>
      <c r="U16" s="307">
        <v>299.56</v>
      </c>
      <c r="V16" s="307">
        <v>299.56</v>
      </c>
      <c r="W16" s="307">
        <v>299.56</v>
      </c>
      <c r="X16" s="307">
        <v>299.56</v>
      </c>
    </row>
    <row r="17" spans="1:24" x14ac:dyDescent="0.3">
      <c r="S17" s="307">
        <v>1300.001</v>
      </c>
      <c r="T17" s="307">
        <v>302.64999999999998</v>
      </c>
      <c r="U17" s="307">
        <v>302.64999999999998</v>
      </c>
      <c r="V17" s="307">
        <v>302.64999999999998</v>
      </c>
      <c r="W17" s="307">
        <v>302.64999999999998</v>
      </c>
      <c r="X17" s="307">
        <v>302.64999999999998</v>
      </c>
    </row>
    <row r="18" spans="1:24" ht="18" thickBot="1" x14ac:dyDescent="0.35">
      <c r="S18" s="307">
        <v>1500.001</v>
      </c>
      <c r="T18" s="307">
        <v>302.64999999999998</v>
      </c>
      <c r="U18" s="307">
        <v>302.64999999999998</v>
      </c>
      <c r="V18" s="307">
        <v>302.64999999999998</v>
      </c>
      <c r="W18" s="307">
        <v>302.64999999999998</v>
      </c>
      <c r="X18" s="307">
        <v>302.64999999999998</v>
      </c>
    </row>
    <row r="19" spans="1:24" x14ac:dyDescent="0.3">
      <c r="A19" s="1515" t="s">
        <v>118</v>
      </c>
      <c r="B19" s="1516">
        <f>B14</f>
        <v>2026</v>
      </c>
      <c r="C19" s="1516">
        <f>C14</f>
        <v>2027</v>
      </c>
      <c r="D19" s="1516">
        <f>D14</f>
        <v>2028</v>
      </c>
      <c r="E19" s="1516">
        <f>E14</f>
        <v>2029</v>
      </c>
      <c r="F19" s="1516">
        <f>F14</f>
        <v>2030</v>
      </c>
      <c r="G19" s="1104"/>
      <c r="S19" s="307">
        <v>1700.001</v>
      </c>
      <c r="T19" s="307">
        <v>360.29</v>
      </c>
      <c r="U19" s="307">
        <v>360.29</v>
      </c>
      <c r="V19" s="307">
        <v>360.29</v>
      </c>
      <c r="W19" s="307">
        <v>360.29</v>
      </c>
      <c r="X19" s="307">
        <v>360.29</v>
      </c>
    </row>
    <row r="20" spans="1:24" x14ac:dyDescent="0.3">
      <c r="A20" s="1314" t="s">
        <v>733</v>
      </c>
      <c r="B20" s="1322">
        <v>0</v>
      </c>
      <c r="C20" s="1322">
        <f>B20</f>
        <v>0</v>
      </c>
      <c r="D20" s="1322">
        <f t="shared" ref="C20:D23" si="2">C20</f>
        <v>0</v>
      </c>
      <c r="E20" s="1322">
        <f t="shared" ref="E20:F23" si="3">D20</f>
        <v>0</v>
      </c>
      <c r="F20" s="1323">
        <f t="shared" si="3"/>
        <v>0</v>
      </c>
      <c r="G20" s="1106"/>
      <c r="S20" s="307">
        <v>1800.001</v>
      </c>
      <c r="T20" s="307">
        <v>380.88</v>
      </c>
      <c r="U20" s="307">
        <v>380.88</v>
      </c>
      <c r="V20" s="307">
        <v>380.88</v>
      </c>
      <c r="W20" s="307">
        <v>380.88</v>
      </c>
      <c r="X20" s="307">
        <v>380.88</v>
      </c>
    </row>
    <row r="21" spans="1:24" x14ac:dyDescent="0.3">
      <c r="A21" s="1314" t="s">
        <v>737</v>
      </c>
      <c r="B21" s="1324">
        <v>0</v>
      </c>
      <c r="C21" s="1324">
        <f t="shared" si="2"/>
        <v>0</v>
      </c>
      <c r="D21" s="1324">
        <f t="shared" si="2"/>
        <v>0</v>
      </c>
      <c r="E21" s="1324">
        <f t="shared" si="3"/>
        <v>0</v>
      </c>
      <c r="F21" s="1325">
        <f t="shared" si="3"/>
        <v>0</v>
      </c>
      <c r="G21" s="1107"/>
      <c r="S21" s="307">
        <v>2030.001</v>
      </c>
      <c r="T21" s="307">
        <v>401.47</v>
      </c>
      <c r="U21" s="307">
        <v>401.47</v>
      </c>
      <c r="V21" s="307">
        <v>401.47</v>
      </c>
      <c r="W21" s="307">
        <v>401.47</v>
      </c>
      <c r="X21" s="307">
        <v>401.47</v>
      </c>
    </row>
    <row r="22" spans="1:24" x14ac:dyDescent="0.3">
      <c r="A22" s="1314" t="s">
        <v>734</v>
      </c>
      <c r="B22" s="1326">
        <v>0.8</v>
      </c>
      <c r="C22" s="1326">
        <f t="shared" si="2"/>
        <v>0.8</v>
      </c>
      <c r="D22" s="1326">
        <f>C22</f>
        <v>0.8</v>
      </c>
      <c r="E22" s="1326">
        <f t="shared" si="3"/>
        <v>0.8</v>
      </c>
      <c r="F22" s="1327">
        <f t="shared" si="3"/>
        <v>0.8</v>
      </c>
      <c r="G22" s="1108"/>
      <c r="S22" s="307">
        <v>2330.0010000000002</v>
      </c>
      <c r="T22" s="307">
        <v>427.21</v>
      </c>
      <c r="U22" s="307">
        <v>427.21</v>
      </c>
      <c r="V22" s="307">
        <v>427.21</v>
      </c>
      <c r="W22" s="307">
        <v>427.21</v>
      </c>
      <c r="X22" s="307">
        <v>427.21</v>
      </c>
    </row>
    <row r="23" spans="1:24" ht="18" thickBot="1" x14ac:dyDescent="0.35">
      <c r="A23" s="1318" t="s">
        <v>738</v>
      </c>
      <c r="B23" s="1328">
        <v>0.8</v>
      </c>
      <c r="C23" s="1328">
        <f t="shared" si="2"/>
        <v>0.8</v>
      </c>
      <c r="D23" s="1328">
        <f t="shared" si="2"/>
        <v>0.8</v>
      </c>
      <c r="E23" s="1328">
        <f t="shared" si="3"/>
        <v>0.8</v>
      </c>
      <c r="F23" s="1329">
        <f t="shared" si="3"/>
        <v>0.8</v>
      </c>
      <c r="G23" s="1108"/>
      <c r="S23" s="307">
        <v>2760.0010000000002</v>
      </c>
      <c r="T23" s="307">
        <v>452.94</v>
      </c>
      <c r="U23" s="307">
        <v>452.94</v>
      </c>
      <c r="V23" s="307">
        <v>452.94</v>
      </c>
      <c r="W23" s="307">
        <v>452.94</v>
      </c>
      <c r="X23" s="307">
        <v>452.94</v>
      </c>
    </row>
    <row r="24" spans="1:24" x14ac:dyDescent="0.3">
      <c r="S24" s="307">
        <v>3190.0010000000002</v>
      </c>
      <c r="T24" s="307">
        <v>478.68</v>
      </c>
      <c r="U24" s="307">
        <v>478.68</v>
      </c>
      <c r="V24" s="307">
        <v>478.68</v>
      </c>
      <c r="W24" s="307">
        <v>478.68</v>
      </c>
      <c r="X24" s="307">
        <v>478.68</v>
      </c>
    </row>
    <row r="25" spans="1:24" ht="18" thickBot="1" x14ac:dyDescent="0.35">
      <c r="S25" s="307">
        <v>3620.0010000000002</v>
      </c>
      <c r="T25" s="307">
        <v>504.41</v>
      </c>
      <c r="U25" s="307">
        <v>504.41</v>
      </c>
      <c r="V25" s="307">
        <v>504.41</v>
      </c>
      <c r="W25" s="307">
        <v>504.41</v>
      </c>
      <c r="X25" s="307">
        <v>504.41</v>
      </c>
    </row>
    <row r="26" spans="1:24" ht="18" thickBot="1" x14ac:dyDescent="0.35">
      <c r="A26" s="1517" t="s">
        <v>119</v>
      </c>
      <c r="B26" s="1516">
        <f>B19</f>
        <v>2026</v>
      </c>
      <c r="C26" s="1516">
        <f>C19</f>
        <v>2027</v>
      </c>
      <c r="D26" s="1516">
        <f>D19</f>
        <v>2028</v>
      </c>
      <c r="E26" s="1516">
        <f>E19</f>
        <v>2029</v>
      </c>
      <c r="F26" s="1516">
        <f>F19</f>
        <v>2030</v>
      </c>
      <c r="G26" s="1104"/>
      <c r="H26" s="1517" t="s">
        <v>1246</v>
      </c>
      <c r="I26" s="1323" t="s">
        <v>1245</v>
      </c>
      <c r="K26" s="2522" t="s">
        <v>1251</v>
      </c>
      <c r="L26" s="2523"/>
      <c r="M26" s="2523"/>
      <c r="N26" s="2523"/>
      <c r="O26" s="2523"/>
      <c r="S26" s="307">
        <v>4050.0010000000002</v>
      </c>
      <c r="T26" s="307">
        <v>545.59</v>
      </c>
      <c r="U26" s="307">
        <v>545.59</v>
      </c>
      <c r="V26" s="307">
        <v>545.59</v>
      </c>
      <c r="W26" s="307">
        <v>545.59</v>
      </c>
      <c r="X26" s="307">
        <v>545.59</v>
      </c>
    </row>
    <row r="27" spans="1:24" ht="18" thickBot="1" x14ac:dyDescent="0.35">
      <c r="A27" s="1330" t="s">
        <v>739</v>
      </c>
      <c r="B27" s="1331">
        <v>0.32</v>
      </c>
      <c r="C27" s="1332">
        <f>B27</f>
        <v>0.32</v>
      </c>
      <c r="D27" s="1332">
        <f>C27</f>
        <v>0.32</v>
      </c>
      <c r="E27" s="1332">
        <f>D27</f>
        <v>0.32</v>
      </c>
      <c r="F27" s="1333">
        <f>E27</f>
        <v>0.32</v>
      </c>
      <c r="G27" s="1101"/>
      <c r="H27" s="1517" t="s">
        <v>1252</v>
      </c>
      <c r="I27" s="1323">
        <v>1221</v>
      </c>
      <c r="K27" s="1516">
        <f>B19</f>
        <v>2026</v>
      </c>
      <c r="L27" s="1516">
        <f t="shared" ref="L27:O27" si="4">C19</f>
        <v>2027</v>
      </c>
      <c r="M27" s="1516">
        <f t="shared" si="4"/>
        <v>2028</v>
      </c>
      <c r="N27" s="1516">
        <f t="shared" si="4"/>
        <v>2029</v>
      </c>
      <c r="O27" s="1516">
        <f t="shared" si="4"/>
        <v>2030</v>
      </c>
      <c r="S27" s="307">
        <v>6000.0010000000002</v>
      </c>
      <c r="T27" s="307">
        <v>607.35</v>
      </c>
      <c r="U27" s="307">
        <v>607.35</v>
      </c>
      <c r="V27" s="307">
        <v>607.35</v>
      </c>
      <c r="W27" s="307">
        <v>607.35</v>
      </c>
      <c r="X27" s="307">
        <v>607.35</v>
      </c>
    </row>
    <row r="28" spans="1:24" ht="18" thickBot="1" x14ac:dyDescent="0.35">
      <c r="A28" s="1334" t="s">
        <v>120</v>
      </c>
      <c r="B28" s="2443">
        <f>IF(I26="si",88.72,T35)</f>
        <v>88.72</v>
      </c>
      <c r="C28" s="2443">
        <f>IF(AND(U29&lt;(I27*14/12),B28=88.72),88.72,U35)</f>
        <v>88.72</v>
      </c>
      <c r="D28" s="2443">
        <f>V35</f>
        <v>205.88</v>
      </c>
      <c r="E28" s="2443">
        <f>W35</f>
        <v>205.88</v>
      </c>
      <c r="F28" s="2444">
        <f>X35</f>
        <v>205.88</v>
      </c>
      <c r="G28" s="1102"/>
      <c r="H28" s="1517" t="s">
        <v>1250</v>
      </c>
      <c r="I28" s="2468">
        <f>1-IF('Datos Básicos'!A33=1,0.93,0.97)</f>
        <v>6.9999999999999951E-2</v>
      </c>
      <c r="J28" s="2335"/>
      <c r="K28" s="2466">
        <f>T29</f>
        <v>0</v>
      </c>
      <c r="L28" s="2466">
        <f>U29</f>
        <v>0</v>
      </c>
      <c r="M28" s="2466">
        <f>V29</f>
        <v>0</v>
      </c>
      <c r="N28" s="2466">
        <f>W29</f>
        <v>0</v>
      </c>
      <c r="O28" s="2467">
        <f>X29</f>
        <v>0</v>
      </c>
    </row>
    <row r="29" spans="1:24" x14ac:dyDescent="0.3">
      <c r="T29" s="2456">
        <f>('PyG anuales'!B12-Plantilla!O17*B16*12-Plantilla!O17*B16*B27*12-'PyG anuales'!B16-'PyG anuales'!B17-'Gastos Financieros'!O13)*(1-$I$28)/12/D7</f>
        <v>0</v>
      </c>
      <c r="U29" s="2456">
        <f>('PyG anuales'!D12-Plantilla!O28*C16*12-Plantilla!O28*C16*C27*12-'PyG anuales'!D16-'PyG anuales'!D17-'Gastos Financieros'!O22)*(1-$I$28)/12/D7</f>
        <v>0</v>
      </c>
      <c r="V29" s="2456">
        <f>('PyG anuales'!G12-Plantilla!O39*D16*12-Plantilla!O39*D16*D27*12-'PyG anuales'!G16-'PyG anuales'!G17-'Gastos Financieros'!O31)*(1-$I$28)/12/D7</f>
        <v>0</v>
      </c>
      <c r="W29" s="2456">
        <f>('PyG anuales'!J12-Plantilla!O50*E16*12-Plantilla!O50*E16*E27*12-'PyG anuales'!J16-'PyG anuales'!J17-'Gastos Financieros'!O40)*(1-$I$28)/12/D7</f>
        <v>0</v>
      </c>
      <c r="X29" s="2456">
        <f>('PyG anuales'!J12-Plantilla!O61*F16*12-Plantilla!O61*F16*F27*12-'PyG anuales'!J16-'PyG anuales'!J17-'Gastos Financieros'!O49)*(1-$I$28)/12/D7</f>
        <v>0</v>
      </c>
    </row>
    <row r="30" spans="1:24" hidden="1" x14ac:dyDescent="0.3"/>
    <row r="31" spans="1:24" hidden="1" x14ac:dyDescent="0.3">
      <c r="A31" s="413" t="s">
        <v>123</v>
      </c>
      <c r="B31" s="414">
        <f>B14</f>
        <v>2026</v>
      </c>
      <c r="C31" s="414">
        <f>C14</f>
        <v>2027</v>
      </c>
      <c r="D31" s="415">
        <f>D14</f>
        <v>2028</v>
      </c>
      <c r="E31" s="415">
        <f>E14</f>
        <v>2029</v>
      </c>
      <c r="F31" s="415">
        <f>F14</f>
        <v>2030</v>
      </c>
      <c r="G31" s="547"/>
    </row>
    <row r="32" spans="1:24" hidden="1" x14ac:dyDescent="0.3">
      <c r="A32" s="416" t="s">
        <v>121</v>
      </c>
      <c r="B32" s="417">
        <v>6</v>
      </c>
      <c r="C32" s="418">
        <f>B32*(1+Parametros!C$14)</f>
        <v>6.12</v>
      </c>
      <c r="D32" s="419">
        <f>C32*(1+Parametros!D$14)</f>
        <v>6.2423999999999999</v>
      </c>
      <c r="E32" s="420">
        <f>D32*(1+Parametros!E$14)</f>
        <v>6.367248</v>
      </c>
      <c r="F32" s="420">
        <f>E32*(1+Parametros!F$14)</f>
        <v>6.4945929600000003</v>
      </c>
      <c r="G32" s="1109"/>
    </row>
    <row r="33" spans="1:24" ht="18" hidden="1" thickBot="1" x14ac:dyDescent="0.35">
      <c r="A33" s="421" t="s">
        <v>122</v>
      </c>
      <c r="B33" s="422">
        <v>18</v>
      </c>
      <c r="C33" s="423">
        <f>B33*(1+Parametros!C$14)</f>
        <v>18.36</v>
      </c>
      <c r="D33" s="424">
        <f>C33*(1+Parametros!D$14)</f>
        <v>18.7272</v>
      </c>
      <c r="E33" s="425">
        <f>D33*(1+Parametros!E$14)</f>
        <v>19.101744</v>
      </c>
      <c r="F33" s="425">
        <f>E33*(1+Parametros!F$14)</f>
        <v>19.483778879999999</v>
      </c>
      <c r="G33" s="1109"/>
    </row>
    <row r="35" spans="1:24" x14ac:dyDescent="0.3">
      <c r="A35" s="303" t="str">
        <f>CONCATENATE("Todas las cantidades monetarias están expresadas en ",Moneda," ( ",Parametros!$G$6," )")</f>
        <v>Todas las cantidades monetarias están expresadas en Euros ( € )</v>
      </c>
      <c r="T35" s="307">
        <f>VLOOKUP(T29,S13:T27,2,1)</f>
        <v>205.88</v>
      </c>
      <c r="U35" s="307">
        <f>VLOOKUP(U29,S13:U27,3,1)</f>
        <v>205.88</v>
      </c>
      <c r="V35" s="307">
        <f>VLOOKUP(V29,S13:V27,4,1)</f>
        <v>205.88</v>
      </c>
      <c r="W35" s="307">
        <f>V35</f>
        <v>205.88</v>
      </c>
      <c r="X35" s="307">
        <f>W35</f>
        <v>205.88</v>
      </c>
    </row>
    <row r="36" spans="1:24" ht="18" thickBot="1" x14ac:dyDescent="0.35"/>
    <row r="37" spans="1:24" ht="18" customHeight="1" thickBot="1" x14ac:dyDescent="0.35">
      <c r="A37" s="426" t="s">
        <v>289</v>
      </c>
      <c r="B37" s="427">
        <f>B26</f>
        <v>2026</v>
      </c>
      <c r="C37" s="427">
        <f>C26</f>
        <v>2027</v>
      </c>
      <c r="D37" s="428">
        <f>D26</f>
        <v>2028</v>
      </c>
      <c r="E37" s="427">
        <f>E26</f>
        <v>2029</v>
      </c>
      <c r="F37" s="429">
        <f>F26</f>
        <v>2030</v>
      </c>
      <c r="G37" s="547"/>
      <c r="T37" s="2469"/>
      <c r="U37" s="2456"/>
    </row>
    <row r="38" spans="1:24" x14ac:dyDescent="0.3">
      <c r="A38" s="430" t="s">
        <v>735</v>
      </c>
      <c r="B38" s="431">
        <f>IF(A40&lt;&gt;0,
('IRPF Prof y Autónomos'!K20-'IRPF Prof y Autónomos'!K22+'IRPF Prof y Autónomos'!$C$29)/(12+B20),
('PyG anuales'!B26+'G.F. 0'!O11)/(12+B20)/'G.F. 0'!$O$9)</f>
        <v>462.5</v>
      </c>
      <c r="C38" s="431">
        <f>IF(A40&lt;&gt;0,('IRPF Prof y Autónomos'!L20-'IRPF Prof y Autónomos'!L22+'IRPF Prof y Autónomos'!D29)/(12+C20),
('PyG anuales'!D26+'G.F. 1'!O11)/(12+C20)/'G.F. 1'!$O$9)</f>
        <v>471.75</v>
      </c>
      <c r="D38" s="432">
        <f>IF(A40&lt;&gt;0,('IRPF Prof y Autónomos'!M20-'IRPF Prof y Autónomos'!M22+'IRPF Prof y Autónomos'!E29)/(12+D20),
('PyG anuales'!G26+'G.F. 2'!O11)/(12+D20)/'G.F. 2'!$O$9)</f>
        <v>481.185</v>
      </c>
      <c r="E38" s="431">
        <f>IF($A$40&lt;&gt;0,('IRPF Prof y Autónomos'!N20-'IRPF Prof y Autónomos'!N22+'IRPF Prof y Autónomos'!F29)/(12+E20),
('PyG anuales'!J26+'G.F. 3'!$O$11)/(12+E20)/'G.F. 4'!$O$9)</f>
        <v>490.80870000000004</v>
      </c>
      <c r="F38" s="433">
        <f>IF($A$40&lt;&gt;0,('IRPF Prof y Autónomos'!O20-'IRPF Prof y Autónomos'!O22+'IRPF Prof y Autónomos'!G29)/(12+F20),
('PyG anuales'!M26+'G.F. 4'!$O$11)/(12+F20)/'G.F. 4'!$O$9)</f>
        <v>500.62487400000009</v>
      </c>
      <c r="G38" s="1110"/>
      <c r="T38" s="2469"/>
    </row>
    <row r="39" spans="1:24" ht="20.25" customHeight="1" thickBot="1" x14ac:dyDescent="0.35">
      <c r="A39" s="434" t="s">
        <v>736</v>
      </c>
      <c r="B39" s="435"/>
      <c r="C39" s="436">
        <f>(C38-B15)/B15</f>
        <v>-0.61363636363636365</v>
      </c>
      <c r="D39" s="437">
        <f>(D38-C15)/C15</f>
        <v>-0.62106643356643365</v>
      </c>
      <c r="E39" s="436">
        <f>(E38-D15)/D15</f>
        <v>-0.62835361753630981</v>
      </c>
      <c r="F39" s="438">
        <f>(F38-E15)/E15</f>
        <v>-0.63550066335291922</v>
      </c>
      <c r="G39" s="1111"/>
      <c r="T39" s="2469"/>
    </row>
    <row r="40" spans="1:24" ht="20.25" customHeight="1" x14ac:dyDescent="0.45">
      <c r="A40" s="439">
        <f>IF(D7=0,1,irpf)</f>
        <v>0.2</v>
      </c>
      <c r="E40" s="408"/>
      <c r="T40" s="2469"/>
    </row>
    <row r="41" spans="1:24" x14ac:dyDescent="0.3">
      <c r="A41" s="440"/>
      <c r="T41" s="2469"/>
    </row>
    <row r="42" spans="1:24" x14ac:dyDescent="0.3">
      <c r="T42" s="2469"/>
    </row>
    <row r="43" spans="1:24" x14ac:dyDescent="0.3">
      <c r="T43" s="2469"/>
    </row>
    <row r="44" spans="1:24" x14ac:dyDescent="0.3">
      <c r="T44" s="2469"/>
    </row>
    <row r="45" spans="1:24" x14ac:dyDescent="0.3">
      <c r="T45" s="2469"/>
    </row>
    <row r="46" spans="1:24" x14ac:dyDescent="0.3">
      <c r="T46" s="2469"/>
    </row>
  </sheetData>
  <sheetProtection sheet="1" formatCells="0" formatColumns="0"/>
  <mergeCells count="3">
    <mergeCell ref="B8:C8"/>
    <mergeCell ref="A1:G1"/>
    <mergeCell ref="K26:O26"/>
  </mergeCells>
  <phoneticPr fontId="13" type="noConversion"/>
  <dataValidations xWindow="339" yWindow="311" count="4">
    <dataValidation type="whole" allowBlank="1" showInputMessage="1" showErrorMessage="1" sqref="D7:D8" xr:uid="{00000000-0002-0000-1000-000000000000}">
      <formula1>0</formula1>
      <formula2>100</formula2>
    </dataValidation>
    <dataValidation type="list" allowBlank="1" showInputMessage="1" showErrorMessage="1" sqref="B20:G21" xr:uid="{00000000-0002-0000-1000-000001000000}">
      <formula1>"0,1,2,3,4,6"</formula1>
    </dataValidation>
    <dataValidation type="decimal" operator="greaterThanOrEqual" allowBlank="1" showInputMessage="1" showErrorMessage="1" sqref="C15:G16" xr:uid="{00000000-0002-0000-1000-000002000000}">
      <formula1>0</formula1>
    </dataValidation>
    <dataValidation type="list" allowBlank="1" showInputMessage="1" showErrorMessage="1" sqref="L7:L8 I26" xr:uid="{00000000-0002-0000-1000-000003000000}">
      <formula1>TARIFAPLANA</formula1>
    </dataValidation>
  </dataValidations>
  <printOptions horizontalCentered="1"/>
  <pageMargins left="0.82677165354330717" right="0.78740157480314965" top="0.8" bottom="0.39370078740157483" header="0" footer="0"/>
  <pageSetup paperSize="9" scale="98" orientation="portrait" horizontalDpi="300" r:id="rId1"/>
  <headerFooter alignWithMargins="0">
    <oddFooter>&amp;C&amp;A</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57">
    <tabColor rgb="FFF28B82"/>
    <pageSetUpPr fitToPage="1"/>
  </sheetPr>
  <dimension ref="A1:R61"/>
  <sheetViews>
    <sheetView showGridLines="0" topLeftCell="A40" workbookViewId="0">
      <selection activeCell="K13" sqref="K13"/>
    </sheetView>
  </sheetViews>
  <sheetFormatPr baseColWidth="10" defaultRowHeight="17.25" x14ac:dyDescent="0.3"/>
  <cols>
    <col min="1" max="1" width="26.25" style="307" customWidth="1"/>
    <col min="2" max="2" width="10.375" style="307" customWidth="1"/>
    <col min="3" max="3" width="10.5" style="307" customWidth="1"/>
    <col min="4" max="4" width="11" style="307"/>
    <col min="5" max="5" width="10.125" style="307" customWidth="1"/>
    <col min="6" max="6" width="10.75" style="307" customWidth="1"/>
    <col min="7" max="10" width="9.5" style="307" customWidth="1"/>
    <col min="11" max="11" width="11.25" style="307" customWidth="1"/>
    <col min="12" max="16" width="9.5" style="307" customWidth="1"/>
    <col min="17" max="17" width="21.875" style="307" bestFit="1" customWidth="1"/>
    <col min="18" max="18" width="9.5" style="307" customWidth="1"/>
    <col min="19" max="16384" width="11" style="307"/>
  </cols>
  <sheetData>
    <row r="1" spans="1:18" ht="30" customHeight="1" x14ac:dyDescent="0.45">
      <c r="A1" s="1655" t="s">
        <v>1087</v>
      </c>
      <c r="B1" s="2251"/>
      <c r="C1" s="2251"/>
      <c r="D1" s="2251"/>
      <c r="E1" s="2251"/>
      <c r="F1" s="2251"/>
      <c r="G1" s="2251"/>
      <c r="H1" s="2251"/>
      <c r="I1" s="2251"/>
      <c r="J1" s="2233"/>
      <c r="K1" s="2233"/>
      <c r="L1" s="2233"/>
      <c r="M1" s="2233"/>
      <c r="N1" s="2233"/>
      <c r="O1" s="2233"/>
      <c r="P1"/>
    </row>
    <row r="2" spans="1:18" ht="27.75" x14ac:dyDescent="0.45">
      <c r="A2" s="408">
        <f>'Datos Básicos'!B8</f>
        <v>0</v>
      </c>
      <c r="B2" s="408"/>
      <c r="C2" s="408"/>
      <c r="D2" s="408"/>
      <c r="E2" s="408"/>
      <c r="Q2" s="1189"/>
      <c r="R2" s="1075"/>
    </row>
    <row r="3" spans="1:18" ht="20.25" customHeight="1" x14ac:dyDescent="0.45">
      <c r="A3" s="408"/>
      <c r="B3" s="408"/>
      <c r="C3" s="408"/>
      <c r="D3" s="408"/>
      <c r="E3" s="408"/>
    </row>
    <row r="4" spans="1:18" ht="20.25" customHeight="1" x14ac:dyDescent="0.45">
      <c r="A4" s="408"/>
      <c r="B4" s="408"/>
      <c r="C4" s="408"/>
      <c r="D4" s="408"/>
      <c r="E4" s="408"/>
    </row>
    <row r="5" spans="1:18" ht="20.25" customHeight="1" thickBot="1" x14ac:dyDescent="0.5">
      <c r="A5" s="408"/>
      <c r="B5" s="408"/>
      <c r="C5" s="408"/>
      <c r="D5" s="408"/>
      <c r="E5" s="408"/>
    </row>
    <row r="6" spans="1:18" ht="18" thickBot="1" x14ac:dyDescent="0.35">
      <c r="A6" s="1379"/>
      <c r="B6" s="1380" t="s">
        <v>49</v>
      </c>
      <c r="C6" s="1381" t="str">
        <f>CONCATENATE("=  mes ",mes0," del ",'Datos Básicos'!B16)</f>
        <v>=  mes 1 del Año 0</v>
      </c>
      <c r="D6" s="1382"/>
      <c r="E6" s="1383" t="str">
        <f>CONCATENATE("= ",'Datos Básicos'!G19)</f>
        <v>= enero de 2026</v>
      </c>
      <c r="F6" s="1384"/>
    </row>
    <row r="7" spans="1:18" x14ac:dyDescent="0.3">
      <c r="C7" s="441"/>
    </row>
    <row r="8" spans="1:18" ht="18" thickBot="1" x14ac:dyDescent="0.35"/>
    <row r="9" spans="1:18" ht="28.5" thickBot="1" x14ac:dyDescent="0.5">
      <c r="A9" s="1864" t="s">
        <v>62</v>
      </c>
      <c r="B9" s="1865"/>
      <c r="C9" s="1865"/>
      <c r="D9" s="1865"/>
      <c r="E9" s="1866">
        <f>'Datos Básicos'!$B$17</f>
        <v>2026</v>
      </c>
    </row>
    <row r="10" spans="1:18" ht="21.75" customHeight="1" x14ac:dyDescent="0.3">
      <c r="A10" s="1369" t="s">
        <v>58</v>
      </c>
      <c r="B10" s="1370"/>
      <c r="C10" s="1371" t="str">
        <f>'Datos Gastos Fijos'!D7</f>
        <v>enero</v>
      </c>
      <c r="D10" s="1371" t="str">
        <f>'Datos Gastos Fijos'!E7</f>
        <v>febrero</v>
      </c>
      <c r="E10" s="1371" t="str">
        <f>'Datos Gastos Fijos'!F7</f>
        <v>marzo</v>
      </c>
      <c r="F10" s="1371" t="str">
        <f>'Datos Gastos Fijos'!G7</f>
        <v>abril</v>
      </c>
      <c r="G10" s="1371" t="str">
        <f>'Datos Gastos Fijos'!H7</f>
        <v>mayo</v>
      </c>
      <c r="H10" s="1371" t="str">
        <f>'Datos Gastos Fijos'!I7</f>
        <v>junio</v>
      </c>
      <c r="I10" s="1371" t="str">
        <f>'Datos Gastos Fijos'!J7</f>
        <v>julio</v>
      </c>
      <c r="J10" s="1371" t="str">
        <f>'Datos Gastos Fijos'!K7</f>
        <v>agosto</v>
      </c>
      <c r="K10" s="1371" t="str">
        <f>'Datos Gastos Fijos'!L7</f>
        <v>septiembre</v>
      </c>
      <c r="L10" s="1371" t="str">
        <f>'Datos Gastos Fijos'!M7</f>
        <v>octubre</v>
      </c>
      <c r="M10" s="1371" t="str">
        <f>'Datos Gastos Fijos'!N7</f>
        <v>noviembre</v>
      </c>
      <c r="N10" s="1371" t="str">
        <f>'Datos Gastos Fijos'!O7</f>
        <v>diciembre</v>
      </c>
      <c r="O10" s="2038" t="s">
        <v>47</v>
      </c>
      <c r="P10" s="495"/>
    </row>
    <row r="11" spans="1:18" x14ac:dyDescent="0.3">
      <c r="A11" s="1372" t="s">
        <v>165</v>
      </c>
      <c r="C11" s="1147">
        <v>0</v>
      </c>
      <c r="D11" s="1147">
        <v>0</v>
      </c>
      <c r="E11" s="1187">
        <v>0</v>
      </c>
      <c r="F11" s="1187">
        <v>0</v>
      </c>
      <c r="G11" s="1187">
        <v>0</v>
      </c>
      <c r="H11" s="1187">
        <v>0</v>
      </c>
      <c r="I11" s="1187">
        <v>0</v>
      </c>
      <c r="J11" s="1187">
        <v>0</v>
      </c>
      <c r="K11" s="1187">
        <v>0</v>
      </c>
      <c r="L11" s="1187">
        <v>0</v>
      </c>
      <c r="M11" s="1187">
        <v>0</v>
      </c>
      <c r="N11" s="1187">
        <v>0</v>
      </c>
      <c r="O11" s="2039">
        <f>AVERAGE(C11:N11)</f>
        <v>0</v>
      </c>
      <c r="P11" s="1112"/>
    </row>
    <row r="12" spans="1:18" x14ac:dyDescent="0.3">
      <c r="A12" s="1372" t="s">
        <v>166</v>
      </c>
      <c r="C12" s="1147">
        <v>0</v>
      </c>
      <c r="D12" s="1147">
        <v>0</v>
      </c>
      <c r="E12" s="1187">
        <v>0</v>
      </c>
      <c r="F12" s="1187">
        <v>0</v>
      </c>
      <c r="G12" s="1187">
        <v>0</v>
      </c>
      <c r="H12" s="1187">
        <v>0</v>
      </c>
      <c r="I12" s="1187"/>
      <c r="J12" s="1187">
        <v>0</v>
      </c>
      <c r="K12" s="1187">
        <v>0</v>
      </c>
      <c r="L12" s="1187">
        <v>0</v>
      </c>
      <c r="M12" s="1187">
        <v>0</v>
      </c>
      <c r="N12" s="1187">
        <v>0</v>
      </c>
      <c r="O12" s="2039">
        <f>AVERAGE(C12:N12)</f>
        <v>0</v>
      </c>
      <c r="P12" s="1112"/>
    </row>
    <row r="13" spans="1:18" x14ac:dyDescent="0.3">
      <c r="A13" s="1372" t="s">
        <v>167</v>
      </c>
      <c r="C13" s="1147">
        <v>0</v>
      </c>
      <c r="D13" s="1147">
        <v>0</v>
      </c>
      <c r="E13" s="1187">
        <v>0</v>
      </c>
      <c r="F13" s="1187">
        <v>0</v>
      </c>
      <c r="G13" s="1187">
        <v>0</v>
      </c>
      <c r="H13" s="1187">
        <v>0</v>
      </c>
      <c r="I13" s="1187">
        <v>0</v>
      </c>
      <c r="J13" s="1187">
        <v>0</v>
      </c>
      <c r="K13" s="1187">
        <v>0</v>
      </c>
      <c r="L13" s="1187">
        <v>0</v>
      </c>
      <c r="M13" s="1187">
        <v>0</v>
      </c>
      <c r="N13" s="1187">
        <v>0</v>
      </c>
      <c r="O13" s="2039">
        <f>AVERAGE(C13:N13)</f>
        <v>0</v>
      </c>
      <c r="P13" s="1112"/>
    </row>
    <row r="14" spans="1:18" x14ac:dyDescent="0.3">
      <c r="A14" s="1373"/>
      <c r="C14" s="1016">
        <v>1</v>
      </c>
      <c r="D14" s="1016">
        <v>2</v>
      </c>
      <c r="E14" s="1016">
        <v>3</v>
      </c>
      <c r="F14" s="1016">
        <v>4</v>
      </c>
      <c r="G14" s="1016">
        <v>5</v>
      </c>
      <c r="H14" s="1016">
        <v>6</v>
      </c>
      <c r="I14" s="1016">
        <v>7</v>
      </c>
      <c r="J14" s="1016">
        <v>8</v>
      </c>
      <c r="K14" s="1016">
        <v>9</v>
      </c>
      <c r="L14" s="1016">
        <v>10</v>
      </c>
      <c r="M14" s="1016">
        <v>11</v>
      </c>
      <c r="N14" s="1016">
        <v>12</v>
      </c>
      <c r="O14" s="2040"/>
    </row>
    <row r="15" spans="1:18" ht="21.75" customHeight="1" x14ac:dyDescent="0.3">
      <c r="A15" s="1375" t="s">
        <v>61</v>
      </c>
      <c r="B15" s="1146" t="s">
        <v>975</v>
      </c>
      <c r="C15" s="1146" t="str">
        <f t="shared" ref="C15:N15" si="0">C10</f>
        <v>enero</v>
      </c>
      <c r="D15" s="1146" t="str">
        <f t="shared" si="0"/>
        <v>febrero</v>
      </c>
      <c r="E15" s="1146" t="str">
        <f t="shared" si="0"/>
        <v>marzo</v>
      </c>
      <c r="F15" s="1146" t="str">
        <f t="shared" si="0"/>
        <v>abril</v>
      </c>
      <c r="G15" s="1146" t="str">
        <f t="shared" si="0"/>
        <v>mayo</v>
      </c>
      <c r="H15" s="1146" t="str">
        <f t="shared" si="0"/>
        <v>junio</v>
      </c>
      <c r="I15" s="1146" t="str">
        <f t="shared" si="0"/>
        <v>julio</v>
      </c>
      <c r="J15" s="1146" t="str">
        <f t="shared" si="0"/>
        <v>agosto</v>
      </c>
      <c r="K15" s="1146" t="str">
        <f t="shared" si="0"/>
        <v>septiembre</v>
      </c>
      <c r="L15" s="1146" t="str">
        <f t="shared" si="0"/>
        <v>octubre</v>
      </c>
      <c r="M15" s="1146" t="str">
        <f t="shared" si="0"/>
        <v>noviembre</v>
      </c>
      <c r="N15" s="1146" t="str">
        <f t="shared" si="0"/>
        <v>diciembre</v>
      </c>
      <c r="O15" s="2041" t="s">
        <v>47</v>
      </c>
      <c r="P15" s="495"/>
    </row>
    <row r="16" spans="1:18" x14ac:dyDescent="0.3">
      <c r="A16" s="1372" t="s">
        <v>57</v>
      </c>
      <c r="B16" s="1188">
        <f>'RR HH'!D7</f>
        <v>1</v>
      </c>
      <c r="C16" s="1110">
        <f t="shared" ref="C16:N16" si="1">IF(COLUMN(C$10)-2&lt;mes0,"",IF(COLUMN(C$10)-2=mes0,$B$16,B16+C11))</f>
        <v>1</v>
      </c>
      <c r="D16" s="1110">
        <f t="shared" si="1"/>
        <v>1</v>
      </c>
      <c r="E16" s="1110">
        <f t="shared" si="1"/>
        <v>1</v>
      </c>
      <c r="F16" s="1110">
        <f t="shared" si="1"/>
        <v>1</v>
      </c>
      <c r="G16" s="1110">
        <f t="shared" si="1"/>
        <v>1</v>
      </c>
      <c r="H16" s="1110">
        <f t="shared" si="1"/>
        <v>1</v>
      </c>
      <c r="I16" s="1110">
        <f t="shared" si="1"/>
        <v>1</v>
      </c>
      <c r="J16" s="1110">
        <f t="shared" si="1"/>
        <v>1</v>
      </c>
      <c r="K16" s="1110">
        <f t="shared" si="1"/>
        <v>1</v>
      </c>
      <c r="L16" s="1110">
        <f t="shared" si="1"/>
        <v>1</v>
      </c>
      <c r="M16" s="1110">
        <f t="shared" si="1"/>
        <v>1</v>
      </c>
      <c r="N16" s="1110">
        <f t="shared" si="1"/>
        <v>1</v>
      </c>
      <c r="O16" s="2042">
        <f>AVERAGE(C16:N16)</f>
        <v>1</v>
      </c>
      <c r="P16" s="1113"/>
    </row>
    <row r="17" spans="1:16" ht="18" thickBot="1" x14ac:dyDescent="0.35">
      <c r="A17" s="1376" t="s">
        <v>48</v>
      </c>
      <c r="B17" s="1377">
        <f>'RR HH'!D8</f>
        <v>0</v>
      </c>
      <c r="C17" s="1378">
        <f t="shared" ref="C17:N17" si="2">IF(COLUMN(C$10)-2&lt;mes0,"",IF(COLUMN(C$10)-2=mes0,$B$17,B17+C12+C13))</f>
        <v>0</v>
      </c>
      <c r="D17" s="1378">
        <f t="shared" si="2"/>
        <v>0</v>
      </c>
      <c r="E17" s="1378">
        <f t="shared" si="2"/>
        <v>0</v>
      </c>
      <c r="F17" s="1378">
        <f t="shared" si="2"/>
        <v>0</v>
      </c>
      <c r="G17" s="1378">
        <f t="shared" si="2"/>
        <v>0</v>
      </c>
      <c r="H17" s="1378">
        <f t="shared" si="2"/>
        <v>0</v>
      </c>
      <c r="I17" s="1378">
        <f t="shared" si="2"/>
        <v>0</v>
      </c>
      <c r="J17" s="1378">
        <f t="shared" si="2"/>
        <v>0</v>
      </c>
      <c r="K17" s="1378">
        <f t="shared" si="2"/>
        <v>0</v>
      </c>
      <c r="L17" s="1378">
        <f t="shared" si="2"/>
        <v>0</v>
      </c>
      <c r="M17" s="1378">
        <f t="shared" si="2"/>
        <v>0</v>
      </c>
      <c r="N17" s="1378">
        <f t="shared" si="2"/>
        <v>0</v>
      </c>
      <c r="O17" s="2043">
        <f>AVERAGE(C17:N17)</f>
        <v>0</v>
      </c>
      <c r="P17" s="1113"/>
    </row>
    <row r="19" spans="1:16" ht="18" thickBot="1" x14ac:dyDescent="0.35"/>
    <row r="20" spans="1:16" ht="28.5" thickBot="1" x14ac:dyDescent="0.5">
      <c r="A20" s="1864" t="s">
        <v>62</v>
      </c>
      <c r="B20" s="1865"/>
      <c r="C20" s="1865"/>
      <c r="D20" s="1865"/>
      <c r="E20" s="1866">
        <f>'Datos Básicos'!$B$17+1</f>
        <v>2027</v>
      </c>
    </row>
    <row r="21" spans="1:16" ht="21.75" customHeight="1" x14ac:dyDescent="0.3">
      <c r="A21" s="1369" t="s">
        <v>58</v>
      </c>
      <c r="B21" s="1370"/>
      <c r="C21" s="1371" t="str">
        <f t="shared" ref="C21:N21" si="3">C$10</f>
        <v>enero</v>
      </c>
      <c r="D21" s="1371" t="str">
        <f t="shared" si="3"/>
        <v>febrero</v>
      </c>
      <c r="E21" s="1371" t="str">
        <f t="shared" si="3"/>
        <v>marzo</v>
      </c>
      <c r="F21" s="1371" t="str">
        <f t="shared" si="3"/>
        <v>abril</v>
      </c>
      <c r="G21" s="1371" t="str">
        <f t="shared" si="3"/>
        <v>mayo</v>
      </c>
      <c r="H21" s="1371" t="str">
        <f t="shared" si="3"/>
        <v>junio</v>
      </c>
      <c r="I21" s="1371" t="str">
        <f t="shared" si="3"/>
        <v>julio</v>
      </c>
      <c r="J21" s="1371" t="str">
        <f t="shared" si="3"/>
        <v>agosto</v>
      </c>
      <c r="K21" s="1371" t="str">
        <f t="shared" si="3"/>
        <v>septiembre</v>
      </c>
      <c r="L21" s="1371" t="str">
        <f t="shared" si="3"/>
        <v>octubre</v>
      </c>
      <c r="M21" s="1371" t="str">
        <f t="shared" si="3"/>
        <v>noviembre</v>
      </c>
      <c r="N21" s="1371" t="str">
        <f t="shared" si="3"/>
        <v>diciembre</v>
      </c>
      <c r="O21" s="2038" t="s">
        <v>47</v>
      </c>
      <c r="P21" s="495"/>
    </row>
    <row r="22" spans="1:16" x14ac:dyDescent="0.3">
      <c r="A22" s="1372" t="s">
        <v>168</v>
      </c>
      <c r="C22" s="1187">
        <v>0</v>
      </c>
      <c r="D22" s="1187">
        <v>0</v>
      </c>
      <c r="E22" s="1187">
        <v>0</v>
      </c>
      <c r="F22" s="1187">
        <v>0</v>
      </c>
      <c r="G22" s="1187">
        <v>0</v>
      </c>
      <c r="H22" s="1187">
        <v>0</v>
      </c>
      <c r="I22" s="1187">
        <v>0</v>
      </c>
      <c r="J22" s="1187">
        <v>0</v>
      </c>
      <c r="K22" s="1187">
        <v>0</v>
      </c>
      <c r="L22" s="1187">
        <v>0</v>
      </c>
      <c r="M22" s="1187">
        <v>0</v>
      </c>
      <c r="N22" s="1187">
        <v>0</v>
      </c>
      <c r="O22" s="2039">
        <f>AVERAGE(C22:N22)</f>
        <v>0</v>
      </c>
      <c r="P22" s="1112"/>
    </row>
    <row r="23" spans="1:16" x14ac:dyDescent="0.3">
      <c r="A23" s="1372" t="s">
        <v>166</v>
      </c>
      <c r="C23" s="1187">
        <v>0</v>
      </c>
      <c r="D23" s="1187">
        <v>0</v>
      </c>
      <c r="E23" s="1187">
        <v>0</v>
      </c>
      <c r="F23" s="1187">
        <v>0</v>
      </c>
      <c r="G23" s="1187">
        <v>0</v>
      </c>
      <c r="H23" s="1187">
        <v>0</v>
      </c>
      <c r="I23" s="1187">
        <v>0</v>
      </c>
      <c r="J23" s="1187">
        <v>0</v>
      </c>
      <c r="K23" s="1187">
        <v>0</v>
      </c>
      <c r="L23" s="1187">
        <v>0</v>
      </c>
      <c r="M23" s="1187">
        <v>0</v>
      </c>
      <c r="N23" s="1187">
        <v>0</v>
      </c>
      <c r="O23" s="2039">
        <f>AVERAGE(C23:N23)</f>
        <v>0</v>
      </c>
      <c r="P23" s="1112"/>
    </row>
    <row r="24" spans="1:16" x14ac:dyDescent="0.3">
      <c r="A24" s="1372" t="s">
        <v>167</v>
      </c>
      <c r="C24" s="1187">
        <v>0</v>
      </c>
      <c r="D24" s="1187">
        <v>0</v>
      </c>
      <c r="E24" s="1187">
        <v>0</v>
      </c>
      <c r="F24" s="1187">
        <v>0</v>
      </c>
      <c r="G24" s="1187">
        <v>0</v>
      </c>
      <c r="H24" s="1187">
        <v>0</v>
      </c>
      <c r="I24" s="1187">
        <v>0</v>
      </c>
      <c r="J24" s="1187">
        <v>0</v>
      </c>
      <c r="K24" s="1187">
        <v>0</v>
      </c>
      <c r="L24" s="1187">
        <v>0</v>
      </c>
      <c r="M24" s="1187">
        <v>0</v>
      </c>
      <c r="N24" s="1187">
        <v>0</v>
      </c>
      <c r="O24" s="2039">
        <f>AVERAGE(C24:N24)</f>
        <v>0</v>
      </c>
      <c r="P24" s="1112"/>
    </row>
    <row r="25" spans="1:16" x14ac:dyDescent="0.3">
      <c r="A25" s="1373"/>
      <c r="O25" s="2040"/>
    </row>
    <row r="26" spans="1:16" ht="21.75" customHeight="1" x14ac:dyDescent="0.3">
      <c r="A26" s="1375" t="s">
        <v>61</v>
      </c>
      <c r="B26" s="1146" t="s">
        <v>63</v>
      </c>
      <c r="C26" s="1146" t="str">
        <f t="shared" ref="C26:N26" si="4">C$10</f>
        <v>enero</v>
      </c>
      <c r="D26" s="1146" t="str">
        <f t="shared" si="4"/>
        <v>febrero</v>
      </c>
      <c r="E26" s="1146" t="str">
        <f t="shared" si="4"/>
        <v>marzo</v>
      </c>
      <c r="F26" s="1146" t="str">
        <f t="shared" si="4"/>
        <v>abril</v>
      </c>
      <c r="G26" s="1146" t="str">
        <f t="shared" si="4"/>
        <v>mayo</v>
      </c>
      <c r="H26" s="1146" t="str">
        <f t="shared" si="4"/>
        <v>junio</v>
      </c>
      <c r="I26" s="1146" t="str">
        <f t="shared" si="4"/>
        <v>julio</v>
      </c>
      <c r="J26" s="1146" t="str">
        <f t="shared" si="4"/>
        <v>agosto</v>
      </c>
      <c r="K26" s="1146" t="str">
        <f t="shared" si="4"/>
        <v>septiembre</v>
      </c>
      <c r="L26" s="1146" t="str">
        <f t="shared" si="4"/>
        <v>octubre</v>
      </c>
      <c r="M26" s="1146" t="str">
        <f t="shared" si="4"/>
        <v>noviembre</v>
      </c>
      <c r="N26" s="1146" t="str">
        <f t="shared" si="4"/>
        <v>diciembre</v>
      </c>
      <c r="O26" s="2041" t="s">
        <v>47</v>
      </c>
      <c r="P26" s="495"/>
    </row>
    <row r="27" spans="1:16" x14ac:dyDescent="0.3">
      <c r="A27" s="1372" t="s">
        <v>64</v>
      </c>
      <c r="B27" s="1188">
        <f>N16</f>
        <v>1</v>
      </c>
      <c r="C27" s="1110">
        <f t="shared" ref="C27:N27" si="5">B27+C22</f>
        <v>1</v>
      </c>
      <c r="D27" s="1110">
        <f t="shared" si="5"/>
        <v>1</v>
      </c>
      <c r="E27" s="1110">
        <f t="shared" si="5"/>
        <v>1</v>
      </c>
      <c r="F27" s="1110">
        <f t="shared" si="5"/>
        <v>1</v>
      </c>
      <c r="G27" s="1110">
        <f t="shared" si="5"/>
        <v>1</v>
      </c>
      <c r="H27" s="1110">
        <f t="shared" si="5"/>
        <v>1</v>
      </c>
      <c r="I27" s="1110">
        <f t="shared" si="5"/>
        <v>1</v>
      </c>
      <c r="J27" s="1110">
        <f t="shared" si="5"/>
        <v>1</v>
      </c>
      <c r="K27" s="1110">
        <f t="shared" si="5"/>
        <v>1</v>
      </c>
      <c r="L27" s="1110">
        <f t="shared" si="5"/>
        <v>1</v>
      </c>
      <c r="M27" s="1110">
        <f t="shared" si="5"/>
        <v>1</v>
      </c>
      <c r="N27" s="1110">
        <f t="shared" si="5"/>
        <v>1</v>
      </c>
      <c r="O27" s="2042">
        <f>AVERAGE(C27:N27)</f>
        <v>1</v>
      </c>
      <c r="P27" s="1113"/>
    </row>
    <row r="28" spans="1:16" ht="18" thickBot="1" x14ac:dyDescent="0.35">
      <c r="A28" s="1376" t="s">
        <v>48</v>
      </c>
      <c r="B28" s="1377">
        <f>N17</f>
        <v>0</v>
      </c>
      <c r="C28" s="1378">
        <f t="shared" ref="C28:N28" si="6">B28+C24+C23</f>
        <v>0</v>
      </c>
      <c r="D28" s="1378">
        <f t="shared" si="6"/>
        <v>0</v>
      </c>
      <c r="E28" s="1378">
        <f t="shared" si="6"/>
        <v>0</v>
      </c>
      <c r="F28" s="1378">
        <f t="shared" si="6"/>
        <v>0</v>
      </c>
      <c r="G28" s="1378">
        <f t="shared" si="6"/>
        <v>0</v>
      </c>
      <c r="H28" s="1378">
        <f t="shared" si="6"/>
        <v>0</v>
      </c>
      <c r="I28" s="1378">
        <f t="shared" si="6"/>
        <v>0</v>
      </c>
      <c r="J28" s="1378">
        <f t="shared" si="6"/>
        <v>0</v>
      </c>
      <c r="K28" s="1378">
        <f t="shared" si="6"/>
        <v>0</v>
      </c>
      <c r="L28" s="1378">
        <f t="shared" si="6"/>
        <v>0</v>
      </c>
      <c r="M28" s="1378">
        <f t="shared" si="6"/>
        <v>0</v>
      </c>
      <c r="N28" s="1378">
        <f t="shared" si="6"/>
        <v>0</v>
      </c>
      <c r="O28" s="2043">
        <f>AVERAGE(C28:N28)</f>
        <v>0</v>
      </c>
      <c r="P28" s="1113"/>
    </row>
    <row r="30" spans="1:16" ht="18" thickBot="1" x14ac:dyDescent="0.35"/>
    <row r="31" spans="1:16" ht="28.5" thickBot="1" x14ac:dyDescent="0.5">
      <c r="A31" s="1864" t="s">
        <v>62</v>
      </c>
      <c r="B31" s="1865"/>
      <c r="C31" s="1865"/>
      <c r="D31" s="1865"/>
      <c r="E31" s="1866">
        <f>'Datos Básicos'!$B$17+2</f>
        <v>2028</v>
      </c>
    </row>
    <row r="32" spans="1:16" ht="21.75" customHeight="1" x14ac:dyDescent="0.3">
      <c r="A32" s="1369" t="s">
        <v>58</v>
      </c>
      <c r="B32" s="1370"/>
      <c r="C32" s="1371" t="str">
        <f t="shared" ref="C32:N32" si="7">C$10</f>
        <v>enero</v>
      </c>
      <c r="D32" s="1371" t="str">
        <f t="shared" si="7"/>
        <v>febrero</v>
      </c>
      <c r="E32" s="1371" t="str">
        <f t="shared" si="7"/>
        <v>marzo</v>
      </c>
      <c r="F32" s="1371" t="str">
        <f t="shared" si="7"/>
        <v>abril</v>
      </c>
      <c r="G32" s="1371" t="str">
        <f t="shared" si="7"/>
        <v>mayo</v>
      </c>
      <c r="H32" s="1371" t="str">
        <f t="shared" si="7"/>
        <v>junio</v>
      </c>
      <c r="I32" s="1371" t="str">
        <f t="shared" si="7"/>
        <v>julio</v>
      </c>
      <c r="J32" s="1371" t="str">
        <f t="shared" si="7"/>
        <v>agosto</v>
      </c>
      <c r="K32" s="1371" t="str">
        <f t="shared" si="7"/>
        <v>septiembre</v>
      </c>
      <c r="L32" s="1371" t="str">
        <f t="shared" si="7"/>
        <v>octubre</v>
      </c>
      <c r="M32" s="1371" t="str">
        <f t="shared" si="7"/>
        <v>noviembre</v>
      </c>
      <c r="N32" s="1371" t="str">
        <f t="shared" si="7"/>
        <v>diciembre</v>
      </c>
      <c r="O32" s="2038" t="s">
        <v>47</v>
      </c>
      <c r="P32" s="495"/>
    </row>
    <row r="33" spans="1:16" x14ac:dyDescent="0.3">
      <c r="A33" s="1372" t="s">
        <v>168</v>
      </c>
      <c r="C33" s="1187">
        <v>0</v>
      </c>
      <c r="D33" s="1187">
        <v>0</v>
      </c>
      <c r="E33" s="1187">
        <v>0</v>
      </c>
      <c r="F33" s="1187">
        <v>0</v>
      </c>
      <c r="G33" s="1187">
        <v>0</v>
      </c>
      <c r="H33" s="1187">
        <v>0</v>
      </c>
      <c r="I33" s="1187">
        <v>0</v>
      </c>
      <c r="J33" s="1187">
        <v>0</v>
      </c>
      <c r="K33" s="1187">
        <v>0</v>
      </c>
      <c r="L33" s="1187">
        <v>0</v>
      </c>
      <c r="M33" s="1187">
        <v>0</v>
      </c>
      <c r="N33" s="1187">
        <v>0</v>
      </c>
      <c r="O33" s="2039">
        <f>AVERAGE(C33:N33)</f>
        <v>0</v>
      </c>
      <c r="P33" s="1112"/>
    </row>
    <row r="34" spans="1:16" x14ac:dyDescent="0.3">
      <c r="A34" s="1372" t="s">
        <v>166</v>
      </c>
      <c r="C34" s="1187">
        <v>0</v>
      </c>
      <c r="D34" s="1187">
        <v>0</v>
      </c>
      <c r="E34" s="1187">
        <v>0</v>
      </c>
      <c r="F34" s="1187">
        <v>0</v>
      </c>
      <c r="G34" s="1187">
        <v>0</v>
      </c>
      <c r="H34" s="1187">
        <v>0</v>
      </c>
      <c r="I34" s="1187">
        <v>0</v>
      </c>
      <c r="J34" s="1187">
        <v>0</v>
      </c>
      <c r="K34" s="1187">
        <v>0</v>
      </c>
      <c r="L34" s="1187">
        <v>0</v>
      </c>
      <c r="M34" s="1187">
        <v>0</v>
      </c>
      <c r="N34" s="1187">
        <v>0</v>
      </c>
      <c r="O34" s="2039">
        <f>AVERAGE(C34:N34)</f>
        <v>0</v>
      </c>
      <c r="P34" s="1112"/>
    </row>
    <row r="35" spans="1:16" x14ac:dyDescent="0.3">
      <c r="A35" s="1372" t="s">
        <v>167</v>
      </c>
      <c r="C35" s="1187">
        <v>0</v>
      </c>
      <c r="D35" s="1187">
        <v>0</v>
      </c>
      <c r="E35" s="1187">
        <v>0</v>
      </c>
      <c r="F35" s="1187">
        <v>0</v>
      </c>
      <c r="G35" s="1187">
        <v>0</v>
      </c>
      <c r="H35" s="1187">
        <v>0</v>
      </c>
      <c r="I35" s="1187">
        <v>0</v>
      </c>
      <c r="J35" s="1187">
        <v>0</v>
      </c>
      <c r="K35" s="1187">
        <v>0</v>
      </c>
      <c r="L35" s="1187">
        <v>0</v>
      </c>
      <c r="M35" s="1187">
        <v>0</v>
      </c>
      <c r="N35" s="1187">
        <v>0</v>
      </c>
      <c r="O35" s="2039">
        <f>AVERAGE(C35:N35)</f>
        <v>0</v>
      </c>
      <c r="P35" s="1112"/>
    </row>
    <row r="36" spans="1:16" x14ac:dyDescent="0.3">
      <c r="A36" s="1373"/>
      <c r="O36" s="2040"/>
    </row>
    <row r="37" spans="1:16" ht="21.75" customHeight="1" x14ac:dyDescent="0.3">
      <c r="A37" s="1375" t="s">
        <v>61</v>
      </c>
      <c r="B37" s="1146" t="s">
        <v>63</v>
      </c>
      <c r="C37" s="1146" t="str">
        <f t="shared" ref="C37:N37" si="8">C$10</f>
        <v>enero</v>
      </c>
      <c r="D37" s="1146" t="str">
        <f t="shared" si="8"/>
        <v>febrero</v>
      </c>
      <c r="E37" s="1146" t="str">
        <f t="shared" si="8"/>
        <v>marzo</v>
      </c>
      <c r="F37" s="1146" t="str">
        <f t="shared" si="8"/>
        <v>abril</v>
      </c>
      <c r="G37" s="1146" t="str">
        <f t="shared" si="8"/>
        <v>mayo</v>
      </c>
      <c r="H37" s="1146" t="str">
        <f t="shared" si="8"/>
        <v>junio</v>
      </c>
      <c r="I37" s="1146" t="str">
        <f t="shared" si="8"/>
        <v>julio</v>
      </c>
      <c r="J37" s="1146" t="str">
        <f t="shared" si="8"/>
        <v>agosto</v>
      </c>
      <c r="K37" s="1146" t="str">
        <f t="shared" si="8"/>
        <v>septiembre</v>
      </c>
      <c r="L37" s="1146" t="str">
        <f t="shared" si="8"/>
        <v>octubre</v>
      </c>
      <c r="M37" s="1146" t="str">
        <f t="shared" si="8"/>
        <v>noviembre</v>
      </c>
      <c r="N37" s="1146" t="str">
        <f t="shared" si="8"/>
        <v>diciembre</v>
      </c>
      <c r="O37" s="2041" t="s">
        <v>47</v>
      </c>
      <c r="P37" s="495"/>
    </row>
    <row r="38" spans="1:16" x14ac:dyDescent="0.3">
      <c r="A38" s="1372" t="s">
        <v>64</v>
      </c>
      <c r="B38" s="1188">
        <f>N27</f>
        <v>1</v>
      </c>
      <c r="C38" s="1110">
        <f t="shared" ref="C38:N38" si="9">B38+C33</f>
        <v>1</v>
      </c>
      <c r="D38" s="1110">
        <f t="shared" si="9"/>
        <v>1</v>
      </c>
      <c r="E38" s="1110">
        <f t="shared" si="9"/>
        <v>1</v>
      </c>
      <c r="F38" s="1110">
        <f t="shared" si="9"/>
        <v>1</v>
      </c>
      <c r="G38" s="1110">
        <f t="shared" si="9"/>
        <v>1</v>
      </c>
      <c r="H38" s="1110">
        <f t="shared" si="9"/>
        <v>1</v>
      </c>
      <c r="I38" s="1110">
        <f t="shared" si="9"/>
        <v>1</v>
      </c>
      <c r="J38" s="1110">
        <f t="shared" si="9"/>
        <v>1</v>
      </c>
      <c r="K38" s="1110">
        <f t="shared" si="9"/>
        <v>1</v>
      </c>
      <c r="L38" s="1110">
        <f t="shared" si="9"/>
        <v>1</v>
      </c>
      <c r="M38" s="1110">
        <f t="shared" si="9"/>
        <v>1</v>
      </c>
      <c r="N38" s="1110">
        <f t="shared" si="9"/>
        <v>1</v>
      </c>
      <c r="O38" s="2042">
        <f>AVERAGE(C38:N38)</f>
        <v>1</v>
      </c>
      <c r="P38" s="1113"/>
    </row>
    <row r="39" spans="1:16" ht="18" thickBot="1" x14ac:dyDescent="0.35">
      <c r="A39" s="1376" t="s">
        <v>48</v>
      </c>
      <c r="B39" s="1377">
        <f>N28</f>
        <v>0</v>
      </c>
      <c r="C39" s="1378">
        <f t="shared" ref="C39:N39" si="10">B39+C35+C34</f>
        <v>0</v>
      </c>
      <c r="D39" s="1378">
        <f t="shared" si="10"/>
        <v>0</v>
      </c>
      <c r="E39" s="1378">
        <f t="shared" si="10"/>
        <v>0</v>
      </c>
      <c r="F39" s="1378">
        <f t="shared" si="10"/>
        <v>0</v>
      </c>
      <c r="G39" s="1378">
        <f t="shared" si="10"/>
        <v>0</v>
      </c>
      <c r="H39" s="1378">
        <f t="shared" si="10"/>
        <v>0</v>
      </c>
      <c r="I39" s="1378">
        <f t="shared" si="10"/>
        <v>0</v>
      </c>
      <c r="J39" s="1378">
        <f t="shared" si="10"/>
        <v>0</v>
      </c>
      <c r="K39" s="1378">
        <f t="shared" si="10"/>
        <v>0</v>
      </c>
      <c r="L39" s="1378">
        <f t="shared" si="10"/>
        <v>0</v>
      </c>
      <c r="M39" s="1378">
        <f t="shared" si="10"/>
        <v>0</v>
      </c>
      <c r="N39" s="1378">
        <f t="shared" si="10"/>
        <v>0</v>
      </c>
      <c r="O39" s="2043">
        <f>AVERAGE(C39:N39)</f>
        <v>0</v>
      </c>
      <c r="P39" s="1113"/>
    </row>
    <row r="41" spans="1:16" ht="18" thickBot="1" x14ac:dyDescent="0.35"/>
    <row r="42" spans="1:16" ht="28.5" thickBot="1" x14ac:dyDescent="0.5">
      <c r="A42" s="1864" t="s">
        <v>62</v>
      </c>
      <c r="B42" s="1865"/>
      <c r="C42" s="1865"/>
      <c r="D42" s="1865"/>
      <c r="E42" s="1866">
        <f>'Datos Básicos'!$B$17+3</f>
        <v>2029</v>
      </c>
    </row>
    <row r="43" spans="1:16" ht="21.75" customHeight="1" x14ac:dyDescent="0.3">
      <c r="A43" s="1369" t="s">
        <v>58</v>
      </c>
      <c r="B43" s="1370"/>
      <c r="C43" s="1371" t="str">
        <f t="shared" ref="C43:N43" si="11">C$10</f>
        <v>enero</v>
      </c>
      <c r="D43" s="1371" t="str">
        <f t="shared" si="11"/>
        <v>febrero</v>
      </c>
      <c r="E43" s="1371" t="str">
        <f t="shared" si="11"/>
        <v>marzo</v>
      </c>
      <c r="F43" s="1371" t="str">
        <f t="shared" si="11"/>
        <v>abril</v>
      </c>
      <c r="G43" s="1371" t="str">
        <f t="shared" si="11"/>
        <v>mayo</v>
      </c>
      <c r="H43" s="1371" t="str">
        <f t="shared" si="11"/>
        <v>junio</v>
      </c>
      <c r="I43" s="1371" t="str">
        <f t="shared" si="11"/>
        <v>julio</v>
      </c>
      <c r="J43" s="1371" t="str">
        <f t="shared" si="11"/>
        <v>agosto</v>
      </c>
      <c r="K43" s="1371" t="str">
        <f t="shared" si="11"/>
        <v>septiembre</v>
      </c>
      <c r="L43" s="1371" t="str">
        <f t="shared" si="11"/>
        <v>octubre</v>
      </c>
      <c r="M43" s="1371" t="str">
        <f t="shared" si="11"/>
        <v>noviembre</v>
      </c>
      <c r="N43" s="1371" t="str">
        <f t="shared" si="11"/>
        <v>diciembre</v>
      </c>
      <c r="O43" s="2038" t="s">
        <v>47</v>
      </c>
      <c r="P43" s="495"/>
    </row>
    <row r="44" spans="1:16" x14ac:dyDescent="0.3">
      <c r="A44" s="1372" t="s">
        <v>168</v>
      </c>
      <c r="C44" s="1187">
        <v>0</v>
      </c>
      <c r="D44" s="1187">
        <v>0</v>
      </c>
      <c r="E44" s="1187">
        <v>0</v>
      </c>
      <c r="F44" s="1187">
        <v>0</v>
      </c>
      <c r="G44" s="1187">
        <v>0</v>
      </c>
      <c r="H44" s="1187">
        <v>0</v>
      </c>
      <c r="I44" s="1187">
        <v>0</v>
      </c>
      <c r="J44" s="1187">
        <v>0</v>
      </c>
      <c r="K44" s="1187">
        <v>0</v>
      </c>
      <c r="L44" s="1187">
        <v>0</v>
      </c>
      <c r="M44" s="1187">
        <v>0</v>
      </c>
      <c r="N44" s="1187">
        <v>0</v>
      </c>
      <c r="O44" s="2039">
        <f>AVERAGE(C44:N44)</f>
        <v>0</v>
      </c>
      <c r="P44" s="1112"/>
    </row>
    <row r="45" spans="1:16" x14ac:dyDescent="0.3">
      <c r="A45" s="1372" t="s">
        <v>166</v>
      </c>
      <c r="C45" s="1187">
        <v>0</v>
      </c>
      <c r="D45" s="1187">
        <v>0</v>
      </c>
      <c r="E45" s="1187">
        <v>0</v>
      </c>
      <c r="F45" s="1187">
        <v>0</v>
      </c>
      <c r="G45" s="1187">
        <v>0</v>
      </c>
      <c r="H45" s="1187">
        <v>0</v>
      </c>
      <c r="I45" s="1187">
        <v>0</v>
      </c>
      <c r="J45" s="1187">
        <v>0</v>
      </c>
      <c r="K45" s="1187">
        <v>0</v>
      </c>
      <c r="L45" s="1187">
        <v>0</v>
      </c>
      <c r="M45" s="1187">
        <v>0</v>
      </c>
      <c r="N45" s="1187">
        <v>0</v>
      </c>
      <c r="O45" s="2039">
        <f>AVERAGE(C45:N45)</f>
        <v>0</v>
      </c>
      <c r="P45" s="1112"/>
    </row>
    <row r="46" spans="1:16" x14ac:dyDescent="0.3">
      <c r="A46" s="1372" t="s">
        <v>167</v>
      </c>
      <c r="C46" s="1187">
        <v>0</v>
      </c>
      <c r="D46" s="1187">
        <v>0</v>
      </c>
      <c r="E46" s="1187">
        <v>0</v>
      </c>
      <c r="F46" s="1187">
        <v>0</v>
      </c>
      <c r="G46" s="1187">
        <v>0</v>
      </c>
      <c r="H46" s="1187">
        <v>0</v>
      </c>
      <c r="I46" s="1187">
        <v>0</v>
      </c>
      <c r="J46" s="1187">
        <v>0</v>
      </c>
      <c r="K46" s="1187">
        <v>0</v>
      </c>
      <c r="L46" s="1187">
        <v>0</v>
      </c>
      <c r="M46" s="1187">
        <v>0</v>
      </c>
      <c r="N46" s="1187">
        <v>0</v>
      </c>
      <c r="O46" s="2039">
        <f>AVERAGE(C46:N46)</f>
        <v>0</v>
      </c>
      <c r="P46" s="1112"/>
    </row>
    <row r="47" spans="1:16" x14ac:dyDescent="0.3">
      <c r="A47" s="1373"/>
      <c r="O47" s="2040"/>
    </row>
    <row r="48" spans="1:16" ht="21.75" customHeight="1" x14ac:dyDescent="0.3">
      <c r="A48" s="1375" t="s">
        <v>61</v>
      </c>
      <c r="B48" s="1146" t="s">
        <v>63</v>
      </c>
      <c r="C48" s="1146" t="str">
        <f t="shared" ref="C48:N48" si="12">C$10</f>
        <v>enero</v>
      </c>
      <c r="D48" s="1146" t="str">
        <f t="shared" si="12"/>
        <v>febrero</v>
      </c>
      <c r="E48" s="1146" t="str">
        <f t="shared" si="12"/>
        <v>marzo</v>
      </c>
      <c r="F48" s="1146" t="str">
        <f t="shared" si="12"/>
        <v>abril</v>
      </c>
      <c r="G48" s="1146" t="str">
        <f t="shared" si="12"/>
        <v>mayo</v>
      </c>
      <c r="H48" s="1146" t="str">
        <f t="shared" si="12"/>
        <v>junio</v>
      </c>
      <c r="I48" s="1146" t="str">
        <f t="shared" si="12"/>
        <v>julio</v>
      </c>
      <c r="J48" s="1146" t="str">
        <f t="shared" si="12"/>
        <v>agosto</v>
      </c>
      <c r="K48" s="1146" t="str">
        <f t="shared" si="12"/>
        <v>septiembre</v>
      </c>
      <c r="L48" s="1146" t="str">
        <f t="shared" si="12"/>
        <v>octubre</v>
      </c>
      <c r="M48" s="1146" t="str">
        <f t="shared" si="12"/>
        <v>noviembre</v>
      </c>
      <c r="N48" s="1146" t="str">
        <f t="shared" si="12"/>
        <v>diciembre</v>
      </c>
      <c r="O48" s="2041" t="s">
        <v>47</v>
      </c>
      <c r="P48" s="495"/>
    </row>
    <row r="49" spans="1:16" x14ac:dyDescent="0.3">
      <c r="A49" s="1372" t="s">
        <v>64</v>
      </c>
      <c r="B49" s="1188">
        <f>N38</f>
        <v>1</v>
      </c>
      <c r="C49" s="1110">
        <f t="shared" ref="C49:N49" si="13">B49+C44</f>
        <v>1</v>
      </c>
      <c r="D49" s="1110">
        <f t="shared" si="13"/>
        <v>1</v>
      </c>
      <c r="E49" s="1110">
        <f t="shared" si="13"/>
        <v>1</v>
      </c>
      <c r="F49" s="1110">
        <f t="shared" si="13"/>
        <v>1</v>
      </c>
      <c r="G49" s="1110">
        <f t="shared" si="13"/>
        <v>1</v>
      </c>
      <c r="H49" s="1110">
        <f t="shared" si="13"/>
        <v>1</v>
      </c>
      <c r="I49" s="1110">
        <f t="shared" si="13"/>
        <v>1</v>
      </c>
      <c r="J49" s="1110">
        <f t="shared" si="13"/>
        <v>1</v>
      </c>
      <c r="K49" s="1110">
        <f t="shared" si="13"/>
        <v>1</v>
      </c>
      <c r="L49" s="1110">
        <f t="shared" si="13"/>
        <v>1</v>
      </c>
      <c r="M49" s="1110">
        <f t="shared" si="13"/>
        <v>1</v>
      </c>
      <c r="N49" s="1110">
        <f t="shared" si="13"/>
        <v>1</v>
      </c>
      <c r="O49" s="2042">
        <f>AVERAGE(C49:N49)</f>
        <v>1</v>
      </c>
      <c r="P49" s="1113"/>
    </row>
    <row r="50" spans="1:16" ht="18" thickBot="1" x14ac:dyDescent="0.35">
      <c r="A50" s="1376" t="s">
        <v>48</v>
      </c>
      <c r="B50" s="1377">
        <f>N39</f>
        <v>0</v>
      </c>
      <c r="C50" s="1378">
        <f t="shared" ref="C50:N50" si="14">B50+C46+C45</f>
        <v>0</v>
      </c>
      <c r="D50" s="1378">
        <f t="shared" si="14"/>
        <v>0</v>
      </c>
      <c r="E50" s="1378">
        <f t="shared" si="14"/>
        <v>0</v>
      </c>
      <c r="F50" s="1378">
        <f t="shared" si="14"/>
        <v>0</v>
      </c>
      <c r="G50" s="1378">
        <f t="shared" si="14"/>
        <v>0</v>
      </c>
      <c r="H50" s="1378">
        <f t="shared" si="14"/>
        <v>0</v>
      </c>
      <c r="I50" s="1378">
        <f t="shared" si="14"/>
        <v>0</v>
      </c>
      <c r="J50" s="1378">
        <f t="shared" si="14"/>
        <v>0</v>
      </c>
      <c r="K50" s="1378">
        <f t="shared" si="14"/>
        <v>0</v>
      </c>
      <c r="L50" s="1378">
        <f t="shared" si="14"/>
        <v>0</v>
      </c>
      <c r="M50" s="1378">
        <f t="shared" si="14"/>
        <v>0</v>
      </c>
      <c r="N50" s="1378">
        <f t="shared" si="14"/>
        <v>0</v>
      </c>
      <c r="O50" s="2043">
        <f>AVERAGE(C50:N50)</f>
        <v>0</v>
      </c>
      <c r="P50" s="1113"/>
    </row>
    <row r="52" spans="1:16" ht="18" thickBot="1" x14ac:dyDescent="0.35"/>
    <row r="53" spans="1:16" ht="28.5" thickBot="1" x14ac:dyDescent="0.5">
      <c r="A53" s="1864" t="s">
        <v>62</v>
      </c>
      <c r="B53" s="1865"/>
      <c r="C53" s="1865"/>
      <c r="D53" s="1865"/>
      <c r="E53" s="1866">
        <f>'Datos Básicos'!$B$17+4</f>
        <v>2030</v>
      </c>
    </row>
    <row r="54" spans="1:16" ht="21.75" customHeight="1" x14ac:dyDescent="0.3">
      <c r="A54" s="1369" t="s">
        <v>58</v>
      </c>
      <c r="B54" s="1370"/>
      <c r="C54" s="1371" t="str">
        <f t="shared" ref="C54:N54" si="15">C$10</f>
        <v>enero</v>
      </c>
      <c r="D54" s="1371" t="str">
        <f t="shared" si="15"/>
        <v>febrero</v>
      </c>
      <c r="E54" s="1371" t="str">
        <f t="shared" si="15"/>
        <v>marzo</v>
      </c>
      <c r="F54" s="1371" t="str">
        <f t="shared" si="15"/>
        <v>abril</v>
      </c>
      <c r="G54" s="1371" t="str">
        <f t="shared" si="15"/>
        <v>mayo</v>
      </c>
      <c r="H54" s="1371" t="str">
        <f t="shared" si="15"/>
        <v>junio</v>
      </c>
      <c r="I54" s="1371" t="str">
        <f t="shared" si="15"/>
        <v>julio</v>
      </c>
      <c r="J54" s="1371" t="str">
        <f t="shared" si="15"/>
        <v>agosto</v>
      </c>
      <c r="K54" s="1371" t="str">
        <f t="shared" si="15"/>
        <v>septiembre</v>
      </c>
      <c r="L54" s="1371" t="str">
        <f t="shared" si="15"/>
        <v>octubre</v>
      </c>
      <c r="M54" s="1371" t="str">
        <f t="shared" si="15"/>
        <v>noviembre</v>
      </c>
      <c r="N54" s="1371" t="str">
        <f t="shared" si="15"/>
        <v>diciembre</v>
      </c>
      <c r="O54" s="2038" t="s">
        <v>47</v>
      </c>
      <c r="P54" s="495"/>
    </row>
    <row r="55" spans="1:16" x14ac:dyDescent="0.3">
      <c r="A55" s="1372" t="s">
        <v>168</v>
      </c>
      <c r="C55" s="1187">
        <v>0</v>
      </c>
      <c r="D55" s="1187">
        <v>0</v>
      </c>
      <c r="E55" s="1187">
        <v>0</v>
      </c>
      <c r="F55" s="1187">
        <v>0</v>
      </c>
      <c r="G55" s="1187">
        <v>0</v>
      </c>
      <c r="H55" s="1187">
        <v>0</v>
      </c>
      <c r="I55" s="1187">
        <v>0</v>
      </c>
      <c r="J55" s="1187">
        <v>0</v>
      </c>
      <c r="K55" s="1187">
        <v>0</v>
      </c>
      <c r="L55" s="1187">
        <v>0</v>
      </c>
      <c r="M55" s="1187">
        <v>0</v>
      </c>
      <c r="N55" s="1187">
        <v>0</v>
      </c>
      <c r="O55" s="2039">
        <f>AVERAGE(C55:N55)</f>
        <v>0</v>
      </c>
      <c r="P55" s="1112"/>
    </row>
    <row r="56" spans="1:16" x14ac:dyDescent="0.3">
      <c r="A56" s="1372" t="s">
        <v>166</v>
      </c>
      <c r="C56" s="1187">
        <v>0</v>
      </c>
      <c r="D56" s="1187">
        <v>0</v>
      </c>
      <c r="E56" s="1187">
        <v>0</v>
      </c>
      <c r="F56" s="1187">
        <v>0</v>
      </c>
      <c r="G56" s="1187">
        <v>0</v>
      </c>
      <c r="H56" s="1187">
        <v>0</v>
      </c>
      <c r="I56" s="1187">
        <v>0</v>
      </c>
      <c r="J56" s="1187">
        <v>0</v>
      </c>
      <c r="K56" s="1187">
        <v>0</v>
      </c>
      <c r="L56" s="1187">
        <v>0</v>
      </c>
      <c r="M56" s="1187">
        <v>0</v>
      </c>
      <c r="N56" s="1187">
        <v>0</v>
      </c>
      <c r="O56" s="2039">
        <f>AVERAGE(C56:N56)</f>
        <v>0</v>
      </c>
      <c r="P56" s="1112"/>
    </row>
    <row r="57" spans="1:16" x14ac:dyDescent="0.3">
      <c r="A57" s="1372" t="s">
        <v>167</v>
      </c>
      <c r="C57" s="1187">
        <v>0</v>
      </c>
      <c r="D57" s="1187">
        <v>0</v>
      </c>
      <c r="E57" s="1187">
        <v>0</v>
      </c>
      <c r="F57" s="1187">
        <v>0</v>
      </c>
      <c r="G57" s="1187">
        <v>0</v>
      </c>
      <c r="H57" s="1187">
        <v>0</v>
      </c>
      <c r="I57" s="1187">
        <v>0</v>
      </c>
      <c r="J57" s="1187">
        <v>0</v>
      </c>
      <c r="K57" s="1187">
        <v>0</v>
      </c>
      <c r="L57" s="1187">
        <v>0</v>
      </c>
      <c r="M57" s="1187">
        <v>0</v>
      </c>
      <c r="N57" s="1187">
        <v>0</v>
      </c>
      <c r="O57" s="2039">
        <f>AVERAGE(C57:N57)</f>
        <v>0</v>
      </c>
      <c r="P57" s="1112"/>
    </row>
    <row r="58" spans="1:16" x14ac:dyDescent="0.3">
      <c r="A58" s="1373"/>
      <c r="O58" s="2040"/>
    </row>
    <row r="59" spans="1:16" ht="21.75" customHeight="1" x14ac:dyDescent="0.3">
      <c r="A59" s="1375" t="s">
        <v>61</v>
      </c>
      <c r="B59" s="1146" t="s">
        <v>63</v>
      </c>
      <c r="C59" s="1146" t="str">
        <f t="shared" ref="C59:N59" si="16">C$10</f>
        <v>enero</v>
      </c>
      <c r="D59" s="1146" t="str">
        <f t="shared" si="16"/>
        <v>febrero</v>
      </c>
      <c r="E59" s="1146" t="str">
        <f t="shared" si="16"/>
        <v>marzo</v>
      </c>
      <c r="F59" s="1146" t="str">
        <f t="shared" si="16"/>
        <v>abril</v>
      </c>
      <c r="G59" s="1146" t="str">
        <f t="shared" si="16"/>
        <v>mayo</v>
      </c>
      <c r="H59" s="1146" t="str">
        <f t="shared" si="16"/>
        <v>junio</v>
      </c>
      <c r="I59" s="1146" t="str">
        <f t="shared" si="16"/>
        <v>julio</v>
      </c>
      <c r="J59" s="1146" t="str">
        <f t="shared" si="16"/>
        <v>agosto</v>
      </c>
      <c r="K59" s="1146" t="str">
        <f t="shared" si="16"/>
        <v>septiembre</v>
      </c>
      <c r="L59" s="1146" t="str">
        <f t="shared" si="16"/>
        <v>octubre</v>
      </c>
      <c r="M59" s="1146" t="str">
        <f t="shared" si="16"/>
        <v>noviembre</v>
      </c>
      <c r="N59" s="1146" t="str">
        <f t="shared" si="16"/>
        <v>diciembre</v>
      </c>
      <c r="O59" s="2041" t="s">
        <v>47</v>
      </c>
      <c r="P59" s="495"/>
    </row>
    <row r="60" spans="1:16" x14ac:dyDescent="0.3">
      <c r="A60" s="1372" t="s">
        <v>64</v>
      </c>
      <c r="B60" s="1188">
        <f>N49</f>
        <v>1</v>
      </c>
      <c r="C60" s="1110">
        <f t="shared" ref="C60:N60" si="17">B60+C55</f>
        <v>1</v>
      </c>
      <c r="D60" s="1110">
        <f t="shared" si="17"/>
        <v>1</v>
      </c>
      <c r="E60" s="1110">
        <f t="shared" si="17"/>
        <v>1</v>
      </c>
      <c r="F60" s="1110">
        <f t="shared" si="17"/>
        <v>1</v>
      </c>
      <c r="G60" s="1110">
        <f t="shared" si="17"/>
        <v>1</v>
      </c>
      <c r="H60" s="1110">
        <f t="shared" si="17"/>
        <v>1</v>
      </c>
      <c r="I60" s="1110">
        <f t="shared" si="17"/>
        <v>1</v>
      </c>
      <c r="J60" s="1110">
        <f t="shared" si="17"/>
        <v>1</v>
      </c>
      <c r="K60" s="1110">
        <f t="shared" si="17"/>
        <v>1</v>
      </c>
      <c r="L60" s="1110">
        <f t="shared" si="17"/>
        <v>1</v>
      </c>
      <c r="M60" s="1110">
        <f t="shared" si="17"/>
        <v>1</v>
      </c>
      <c r="N60" s="1110">
        <f t="shared" si="17"/>
        <v>1</v>
      </c>
      <c r="O60" s="2042">
        <f>AVERAGE(C60:N60)</f>
        <v>1</v>
      </c>
      <c r="P60" s="1113"/>
    </row>
    <row r="61" spans="1:16" ht="18" thickBot="1" x14ac:dyDescent="0.35">
      <c r="A61" s="1376" t="s">
        <v>48</v>
      </c>
      <c r="B61" s="1377">
        <f>N50</f>
        <v>0</v>
      </c>
      <c r="C61" s="1378">
        <f t="shared" ref="C61:N61" si="18">B61+C57+C56</f>
        <v>0</v>
      </c>
      <c r="D61" s="1378">
        <f t="shared" si="18"/>
        <v>0</v>
      </c>
      <c r="E61" s="1378">
        <f t="shared" si="18"/>
        <v>0</v>
      </c>
      <c r="F61" s="1378">
        <f t="shared" si="18"/>
        <v>0</v>
      </c>
      <c r="G61" s="1378">
        <f t="shared" si="18"/>
        <v>0</v>
      </c>
      <c r="H61" s="1378">
        <f t="shared" si="18"/>
        <v>0</v>
      </c>
      <c r="I61" s="1378">
        <f t="shared" si="18"/>
        <v>0</v>
      </c>
      <c r="J61" s="1378">
        <f t="shared" si="18"/>
        <v>0</v>
      </c>
      <c r="K61" s="1378">
        <f t="shared" si="18"/>
        <v>0</v>
      </c>
      <c r="L61" s="1378">
        <f t="shared" si="18"/>
        <v>0</v>
      </c>
      <c r="M61" s="1378">
        <f t="shared" si="18"/>
        <v>0</v>
      </c>
      <c r="N61" s="1378">
        <f t="shared" si="18"/>
        <v>0</v>
      </c>
      <c r="O61" s="2043">
        <f>AVERAGE(C61:N61)</f>
        <v>0</v>
      </c>
      <c r="P61" s="1113"/>
    </row>
  </sheetData>
  <sheetProtection sheet="1" objects="1" scenarios="1" formatCells="0" formatColumns="0"/>
  <phoneticPr fontId="13" type="noConversion"/>
  <conditionalFormatting sqref="C11:N13 C16:N17">
    <cfRule type="expression" dxfId="39" priority="1" stopIfTrue="1">
      <formula>C$14&lt;mes0</formula>
    </cfRule>
  </conditionalFormatting>
  <dataValidations xWindow="339" yWindow="311" count="5">
    <dataValidation type="whole" allowBlank="1" showInputMessage="1" showErrorMessage="1" sqref="C13:N13 C24:N24 C35:N35 C46:N46 C57:N57" xr:uid="{00000000-0002-0000-1100-000000000000}">
      <formula1>-100</formula1>
      <formula2>0</formula2>
    </dataValidation>
    <dataValidation type="whole" allowBlank="1" showInputMessage="1" showErrorMessage="1" sqref="B16" xr:uid="{00000000-0002-0000-1100-000001000000}">
      <formula1>1</formula1>
      <formula2>100</formula2>
    </dataValidation>
    <dataValidation type="whole" allowBlank="1" showInputMessage="1" showErrorMessage="1" sqref="B17 C12:N12 C23:N23 C34:N34 C45:N45 C56:N56" xr:uid="{00000000-0002-0000-1100-000002000000}">
      <formula1>0</formula1>
      <formula2>100</formula2>
    </dataValidation>
    <dataValidation type="whole" allowBlank="1" showInputMessage="1" showErrorMessage="1" sqref="C22:N22 C11:N11 C33:N33 C44:N44 C55:N55" xr:uid="{00000000-0002-0000-1100-000003000000}">
      <formula1>-100</formula1>
      <formula2>100</formula2>
    </dataValidation>
    <dataValidation type="decimal" allowBlank="1" showInputMessage="1" showErrorMessage="1" sqref="O38:P39 O11:P13 O22:P24 O16:P17 O27:P28 O33:P35 O49:P50 O44:P46 O60:P61 O55:P57" xr:uid="{00000000-0002-0000-1100-000004000000}">
      <formula1>0</formula1>
      <formula2>1</formula2>
    </dataValidation>
  </dataValidations>
  <hyperlinks>
    <hyperlink ref="B6" location="mes0" display="mes0" xr:uid="{00000000-0004-0000-1100-000000000000}"/>
  </hyperlinks>
  <printOptions verticalCentered="1"/>
  <pageMargins left="0.82677165354330717" right="0.75" top="0.35" bottom="0.45" header="0" footer="0"/>
  <pageSetup paperSize="9" scale="72" fitToHeight="0" orientation="landscape" horizontalDpi="300" r:id="rId1"/>
  <headerFooter alignWithMargins="0">
    <oddFooter>&amp;C&amp;A</oddFooter>
  </headerFooter>
  <rowBreaks count="1" manualBreakCount="1">
    <brk id="30" max="14" man="1"/>
  </rowBreaks>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31">
    <tabColor rgb="FFA8DDD6"/>
    <pageSetUpPr fitToPage="1"/>
  </sheetPr>
  <dimension ref="A1:U30"/>
  <sheetViews>
    <sheetView showGridLines="0" workbookViewId="0"/>
  </sheetViews>
  <sheetFormatPr baseColWidth="10" defaultRowHeight="17.25" x14ac:dyDescent="0.3"/>
  <cols>
    <col min="1" max="1" width="35.5" style="307" customWidth="1"/>
    <col min="2" max="3" width="9.125" style="307" customWidth="1"/>
    <col min="4" max="15" width="8.625" style="307" hidden="1" customWidth="1"/>
    <col min="16" max="17" width="9.5" style="307" customWidth="1"/>
    <col min="18" max="19" width="11" style="307"/>
    <col min="20" max="20" width="21.625" style="307" bestFit="1" customWidth="1"/>
    <col min="21" max="16384" width="11" style="307"/>
  </cols>
  <sheetData>
    <row r="1" spans="1:21" ht="27.75" x14ac:dyDescent="0.45">
      <c r="A1" s="1338" t="s">
        <v>342</v>
      </c>
      <c r="B1" s="1232"/>
      <c r="C1" s="1232"/>
      <c r="D1" s="1233"/>
      <c r="E1" s="1233"/>
      <c r="F1" s="1233"/>
      <c r="G1" s="1234"/>
      <c r="H1" s="1308"/>
      <c r="I1" s="1234"/>
      <c r="J1" s="1234"/>
      <c r="K1" s="1234"/>
      <c r="L1" s="1234"/>
      <c r="M1" s="1234"/>
      <c r="N1" s="1234"/>
      <c r="O1" s="1234"/>
      <c r="P1" s="1234"/>
      <c r="Q1" s="1234"/>
      <c r="R1" s="1234"/>
      <c r="S1" s="661"/>
    </row>
    <row r="2" spans="1:21" ht="24.75" x14ac:dyDescent="0.4">
      <c r="A2" s="449">
        <f>'Datos Básicos'!B8</f>
        <v>0</v>
      </c>
      <c r="B2" s="445"/>
      <c r="C2" s="445"/>
      <c r="D2" s="446"/>
      <c r="E2" s="446"/>
      <c r="F2" s="446"/>
      <c r="G2" s="446"/>
      <c r="H2" s="446"/>
      <c r="I2" s="446"/>
      <c r="T2" s="1189"/>
      <c r="U2" s="1076"/>
    </row>
    <row r="3" spans="1:21" x14ac:dyDescent="0.3">
      <c r="E3" s="446"/>
      <c r="F3" s="446"/>
      <c r="G3" s="446"/>
      <c r="H3" s="446"/>
      <c r="I3" s="446"/>
    </row>
    <row r="4" spans="1:21" x14ac:dyDescent="0.3">
      <c r="E4" s="446"/>
      <c r="F4" s="446"/>
      <c r="G4" s="446"/>
      <c r="H4" s="446"/>
      <c r="I4" s="446"/>
    </row>
    <row r="5" spans="1:21" x14ac:dyDescent="0.3">
      <c r="E5" s="446"/>
      <c r="F5" s="446"/>
      <c r="G5" s="446"/>
      <c r="H5" s="446"/>
      <c r="I5" s="446"/>
    </row>
    <row r="6" spans="1:21" ht="18" thickBot="1" x14ac:dyDescent="0.35">
      <c r="D6" s="446"/>
      <c r="E6" s="446"/>
      <c r="F6" s="446"/>
      <c r="G6" s="446"/>
      <c r="H6" s="446"/>
      <c r="I6" s="446"/>
    </row>
    <row r="7" spans="1:21" x14ac:dyDescent="0.3">
      <c r="A7" s="2034" t="s">
        <v>985</v>
      </c>
      <c r="B7" s="2035" t="s">
        <v>958</v>
      </c>
      <c r="C7" s="2035" t="s">
        <v>78</v>
      </c>
      <c r="D7" s="2036" t="str">
        <f>Parametros!D57</f>
        <v>enero</v>
      </c>
      <c r="E7" s="2036" t="str">
        <f>Parametros!E57</f>
        <v>febrero</v>
      </c>
      <c r="F7" s="2036" t="str">
        <f>Parametros!F57</f>
        <v>marzo</v>
      </c>
      <c r="G7" s="2036" t="str">
        <f>Parametros!G57</f>
        <v>abril</v>
      </c>
      <c r="H7" s="2036" t="str">
        <f>Parametros!H57</f>
        <v>mayo</v>
      </c>
      <c r="I7" s="2036" t="str">
        <f>Parametros!I57</f>
        <v>junio</v>
      </c>
      <c r="J7" s="2036" t="str">
        <f>Parametros!J57</f>
        <v>julio</v>
      </c>
      <c r="K7" s="2036" t="str">
        <f>Parametros!K57</f>
        <v>agosto</v>
      </c>
      <c r="L7" s="2036" t="str">
        <f>Parametros!L57</f>
        <v>septiembre</v>
      </c>
      <c r="M7" s="2036" t="str">
        <f>Parametros!M57</f>
        <v>octubre</v>
      </c>
      <c r="N7" s="2036" t="str">
        <f>Parametros!N57</f>
        <v>noviembre</v>
      </c>
      <c r="O7" s="2036" t="str">
        <f>Parametros!O57</f>
        <v>diciembre</v>
      </c>
      <c r="P7" s="2036" t="s">
        <v>865</v>
      </c>
      <c r="Q7" s="2037" t="s">
        <v>886</v>
      </c>
    </row>
    <row r="8" spans="1:21" x14ac:dyDescent="0.3">
      <c r="A8" s="2235" t="s">
        <v>887</v>
      </c>
      <c r="B8" s="2237">
        <v>0</v>
      </c>
      <c r="C8" s="2238">
        <v>1</v>
      </c>
      <c r="D8" s="2239">
        <f>IF(OR($C8=12,0),$B8,0)</f>
        <v>0</v>
      </c>
      <c r="E8" s="2239">
        <f>IF(OR($C8=12,$C8=6),$B8,0)</f>
        <v>0</v>
      </c>
      <c r="F8" s="2239">
        <f>IF(OR($C8=12,$C8=4),$B8,0)</f>
        <v>0</v>
      </c>
      <c r="G8" s="2239">
        <f>IF(OR($C8=12,$C8=6,$C8=3),$B8,0)</f>
        <v>0</v>
      </c>
      <c r="H8" s="2239">
        <f>IF(OR($C8=12,$C8=1),$B8,0)</f>
        <v>0</v>
      </c>
      <c r="I8" s="2239">
        <f>IF(OR($C8=12,$C8=6,$C8=4,$C8=2),$B8,0)</f>
        <v>0</v>
      </c>
      <c r="J8" s="2239">
        <f>IF(OR($C8=12,0),$B8,0)</f>
        <v>0</v>
      </c>
      <c r="K8" s="2239">
        <f>IF(OR($C8=12,$C8=6,$C8=3),$B8,0)</f>
        <v>0</v>
      </c>
      <c r="L8" s="2239">
        <f>IF(OR($C8=12,$C8=4),$B8,0)</f>
        <v>0</v>
      </c>
      <c r="M8" s="2239">
        <f>IF(OR($C8=12,$C8=6),$B8,0)</f>
        <v>0</v>
      </c>
      <c r="N8" s="2239">
        <f>IF(OR($C8=12,0),$B8,0)</f>
        <v>0</v>
      </c>
      <c r="O8" s="2239">
        <f>IF(OR($C8=12,$C8=6,$C8=4,$C8=3,$C8=2),$B8,0)</f>
        <v>0</v>
      </c>
      <c r="P8" s="2240">
        <f t="shared" ref="P8:P26" si="0">SUM(D8:O8)</f>
        <v>0</v>
      </c>
      <c r="Q8" s="2241" t="e">
        <f t="shared" ref="Q8:Q27" si="1">P8/$P$27</f>
        <v>#DIV/0!</v>
      </c>
    </row>
    <row r="9" spans="1:21" x14ac:dyDescent="0.3">
      <c r="A9" s="2236" t="s">
        <v>1074</v>
      </c>
      <c r="B9" s="2237">
        <v>0</v>
      </c>
      <c r="C9" s="2242">
        <v>1</v>
      </c>
      <c r="D9" s="2243">
        <f>IF(OR($C9=12,0),$B9,0)</f>
        <v>0</v>
      </c>
      <c r="E9" s="2243">
        <f>IF(OR($C9=12,$C9=6),$B9,0)</f>
        <v>0</v>
      </c>
      <c r="F9" s="2243">
        <f>IF(OR($C9=12,$C9=4),$B9,0)</f>
        <v>0</v>
      </c>
      <c r="G9" s="2243">
        <f>IF(OR($C9=12,$C9=6,$C9=3),$B9,0)</f>
        <v>0</v>
      </c>
      <c r="H9" s="2243">
        <f>IF(OR($C9=12,$C9=1),$B9,0)</f>
        <v>0</v>
      </c>
      <c r="I9" s="2243">
        <f>IF(OR($C9=12,$C9=6,$C9=4,$C9=2),$B9,0)</f>
        <v>0</v>
      </c>
      <c r="J9" s="2243">
        <f>IF(OR($C9=12,0),$B9,0)</f>
        <v>0</v>
      </c>
      <c r="K9" s="2243">
        <f>IF(OR($C9=12,$C9=6,$C9=3),$B9,0)</f>
        <v>0</v>
      </c>
      <c r="L9" s="2243">
        <f>IF(OR($C9=12,$C9=4),$B9,0)</f>
        <v>0</v>
      </c>
      <c r="M9" s="2243">
        <f>IF(OR($C9=12,$C9=6),$B9,0)</f>
        <v>0</v>
      </c>
      <c r="N9" s="2243">
        <f>IF(OR($C9=12,0),$B9,0)</f>
        <v>0</v>
      </c>
      <c r="O9" s="2243">
        <f>IF(OR($C9=12,$C9=6,$C9=4,$C9=3,$C9=2),$B9,0)</f>
        <v>0</v>
      </c>
      <c r="P9" s="2244">
        <f t="shared" si="0"/>
        <v>0</v>
      </c>
      <c r="Q9" s="2245" t="e">
        <f t="shared" si="1"/>
        <v>#DIV/0!</v>
      </c>
    </row>
    <row r="10" spans="1:21" x14ac:dyDescent="0.3">
      <c r="A10" s="2236" t="s">
        <v>935</v>
      </c>
      <c r="B10" s="2237">
        <v>0</v>
      </c>
      <c r="C10" s="2242">
        <v>1</v>
      </c>
      <c r="D10" s="2243">
        <f>IF(OR($C10=12,0),$B10,0)</f>
        <v>0</v>
      </c>
      <c r="E10" s="2243">
        <f>IF(OR($C10=12,$C10=6),$B10,0)</f>
        <v>0</v>
      </c>
      <c r="F10" s="2243">
        <f>IF(OR($C10=12,$C10=4),$B10,0)</f>
        <v>0</v>
      </c>
      <c r="G10" s="2243">
        <f>IF(OR($C10=12,$C10=6,$C10=3),$B10,0)</f>
        <v>0</v>
      </c>
      <c r="H10" s="2243">
        <f>IF(OR($C10=12,$C10=1),$B10,0)</f>
        <v>0</v>
      </c>
      <c r="I10" s="2243">
        <f>IF(OR($C10=12,$C10=6,$C10=4,$C10=2),$B10,0)</f>
        <v>0</v>
      </c>
      <c r="J10" s="2243">
        <f>IF(OR($C10=12,0),$B10,0)</f>
        <v>0</v>
      </c>
      <c r="K10" s="2243">
        <f>IF(OR($C10=12,$C10=6,$C10=3),$B10,0)</f>
        <v>0</v>
      </c>
      <c r="L10" s="2243">
        <f>IF(OR($C10=12,$C10=4),$B10,0)</f>
        <v>0</v>
      </c>
      <c r="M10" s="2243">
        <f>IF(OR($C10=12,$C10=6),$B10,0)</f>
        <v>0</v>
      </c>
      <c r="N10" s="2243">
        <f>IF(OR($C10=12,0),$B10,0)</f>
        <v>0</v>
      </c>
      <c r="O10" s="2243">
        <f>IF(OR($C10=12,$C10=6,$C10=4,$C10=3,$C10=2),$B10,0)</f>
        <v>0</v>
      </c>
      <c r="P10" s="2244">
        <f t="shared" si="0"/>
        <v>0</v>
      </c>
      <c r="Q10" s="2245" t="e">
        <f t="shared" si="1"/>
        <v>#DIV/0!</v>
      </c>
    </row>
    <row r="11" spans="1:21" x14ac:dyDescent="0.3">
      <c r="A11" s="2236" t="s">
        <v>658</v>
      </c>
      <c r="B11" s="2237">
        <v>0</v>
      </c>
      <c r="C11" s="2242">
        <v>2</v>
      </c>
      <c r="D11" s="2243">
        <f>IF(OR($C11=12,0),$B11,0)</f>
        <v>0</v>
      </c>
      <c r="E11" s="2243">
        <f>IF(OR($C11=12,$C11=6),$B11,0)</f>
        <v>0</v>
      </c>
      <c r="F11" s="2243">
        <f>IF(OR($C11=12,$C11=4),$B11,0)</f>
        <v>0</v>
      </c>
      <c r="G11" s="2243">
        <f>IF(OR($C11=12,$C11=6,$C11=3),$B11,0)</f>
        <v>0</v>
      </c>
      <c r="H11" s="2243">
        <f>IF(OR($C11=12,$C11=1),$B11,0)</f>
        <v>0</v>
      </c>
      <c r="I11" s="2243">
        <f>IF(OR($C11=12,$C11=6,$C11=4,$C11=2),$B11,0)</f>
        <v>0</v>
      </c>
      <c r="J11" s="2243">
        <f>IF(OR($C11=12,0),$B11,0)</f>
        <v>0</v>
      </c>
      <c r="K11" s="2243">
        <f>IF(OR($C11=12,$C11=6,$C11=3),$B11,0)</f>
        <v>0</v>
      </c>
      <c r="L11" s="2243">
        <f>IF(OR($C11=12,$C11=4),$B11,0)</f>
        <v>0</v>
      </c>
      <c r="M11" s="2243">
        <f>IF(OR($C11=12,$C11=6),$B11,0)</f>
        <v>0</v>
      </c>
      <c r="N11" s="2243">
        <f>IF(OR($C11=12,0),$B11,0)</f>
        <v>0</v>
      </c>
      <c r="O11" s="2243">
        <f>IF(OR($C11=12,$C11=6,$C11=4,$C11=3,$C11=2),$B11,0)</f>
        <v>0</v>
      </c>
      <c r="P11" s="2244">
        <f t="shared" si="0"/>
        <v>0</v>
      </c>
      <c r="Q11" s="2245" t="e">
        <f t="shared" si="1"/>
        <v>#DIV/0!</v>
      </c>
    </row>
    <row r="12" spans="1:21" x14ac:dyDescent="0.3">
      <c r="A12" s="2236" t="s">
        <v>952</v>
      </c>
      <c r="B12" s="2237">
        <v>0</v>
      </c>
      <c r="C12" s="2242">
        <v>12</v>
      </c>
      <c r="D12" s="2243">
        <f t="shared" ref="D12:D26" si="2">IF(OR($C12=12,0),$B12,0)</f>
        <v>0</v>
      </c>
      <c r="E12" s="2243">
        <f t="shared" ref="E12:E26" si="3">IF(OR($C12=12,$C12=6),$B12,0)</f>
        <v>0</v>
      </c>
      <c r="F12" s="2243">
        <f t="shared" ref="F12:F26" si="4">IF(OR($C12=12,$C12=4),$B12,0)</f>
        <v>0</v>
      </c>
      <c r="G12" s="2243">
        <f t="shared" ref="G12:G26" si="5">IF(OR($C12=12,$C12=6,$C12=3),$B12,0)</f>
        <v>0</v>
      </c>
      <c r="H12" s="2243">
        <f t="shared" ref="H12:H26" si="6">IF(OR($C12=12,$C12=1),$B12,0)</f>
        <v>0</v>
      </c>
      <c r="I12" s="2243">
        <f t="shared" ref="I12:I26" si="7">IF(OR($C12=12,$C12=6,$C12=4,$C12=2),$B12,0)</f>
        <v>0</v>
      </c>
      <c r="J12" s="2243">
        <f t="shared" ref="J12:J26" si="8">IF(OR($C12=12,0),$B12,0)</f>
        <v>0</v>
      </c>
      <c r="K12" s="2243">
        <f t="shared" ref="K12:K26" si="9">IF(OR($C12=12,$C12=6,$C12=3),$B12,0)</f>
        <v>0</v>
      </c>
      <c r="L12" s="2243">
        <f t="shared" ref="L12:L26" si="10">IF(OR($C12=12,$C12=4),$B12,0)</f>
        <v>0</v>
      </c>
      <c r="M12" s="2243">
        <f t="shared" ref="M12:M26" si="11">IF(OR($C12=12,$C12=6),$B12,0)</f>
        <v>0</v>
      </c>
      <c r="N12" s="2243">
        <f t="shared" ref="N12:N26" si="12">IF(OR($C12=12,0),$B12,0)</f>
        <v>0</v>
      </c>
      <c r="O12" s="2243">
        <f t="shared" ref="O12:O26" si="13">IF(OR($C12=12,$C12=6,$C12=4,$C12=3,$C12=2),$B12,0)</f>
        <v>0</v>
      </c>
      <c r="P12" s="2244">
        <f t="shared" si="0"/>
        <v>0</v>
      </c>
      <c r="Q12" s="2245" t="e">
        <f t="shared" si="1"/>
        <v>#DIV/0!</v>
      </c>
    </row>
    <row r="13" spans="1:21" x14ac:dyDescent="0.3">
      <c r="A13" s="2236" t="s">
        <v>10</v>
      </c>
      <c r="B13" s="2237">
        <v>0</v>
      </c>
      <c r="C13" s="2242">
        <v>6</v>
      </c>
      <c r="D13" s="2243">
        <f t="shared" si="2"/>
        <v>0</v>
      </c>
      <c r="E13" s="2243">
        <f t="shared" si="3"/>
        <v>0</v>
      </c>
      <c r="F13" s="2243">
        <f t="shared" si="4"/>
        <v>0</v>
      </c>
      <c r="G13" s="2243">
        <f t="shared" si="5"/>
        <v>0</v>
      </c>
      <c r="H13" s="2243">
        <f t="shared" si="6"/>
        <v>0</v>
      </c>
      <c r="I13" s="2243">
        <f t="shared" si="7"/>
        <v>0</v>
      </c>
      <c r="J13" s="2243">
        <f t="shared" si="8"/>
        <v>0</v>
      </c>
      <c r="K13" s="2243">
        <f t="shared" si="9"/>
        <v>0</v>
      </c>
      <c r="L13" s="2243">
        <f t="shared" si="10"/>
        <v>0</v>
      </c>
      <c r="M13" s="2243">
        <f t="shared" si="11"/>
        <v>0</v>
      </c>
      <c r="N13" s="2243">
        <f t="shared" si="12"/>
        <v>0</v>
      </c>
      <c r="O13" s="2243">
        <f t="shared" si="13"/>
        <v>0</v>
      </c>
      <c r="P13" s="2244">
        <f t="shared" si="0"/>
        <v>0</v>
      </c>
      <c r="Q13" s="2245" t="e">
        <f t="shared" si="1"/>
        <v>#DIV/0!</v>
      </c>
    </row>
    <row r="14" spans="1:21" x14ac:dyDescent="0.3">
      <c r="A14" s="2236" t="s">
        <v>953</v>
      </c>
      <c r="B14" s="2237">
        <v>0</v>
      </c>
      <c r="C14" s="2242">
        <v>12</v>
      </c>
      <c r="D14" s="2243">
        <f t="shared" si="2"/>
        <v>0</v>
      </c>
      <c r="E14" s="2243">
        <f t="shared" si="3"/>
        <v>0</v>
      </c>
      <c r="F14" s="2243">
        <f t="shared" si="4"/>
        <v>0</v>
      </c>
      <c r="G14" s="2243">
        <f t="shared" si="5"/>
        <v>0</v>
      </c>
      <c r="H14" s="2243">
        <f t="shared" si="6"/>
        <v>0</v>
      </c>
      <c r="I14" s="2243">
        <f t="shared" si="7"/>
        <v>0</v>
      </c>
      <c r="J14" s="2243">
        <f t="shared" si="8"/>
        <v>0</v>
      </c>
      <c r="K14" s="2243">
        <f t="shared" si="9"/>
        <v>0</v>
      </c>
      <c r="L14" s="2243">
        <f t="shared" si="10"/>
        <v>0</v>
      </c>
      <c r="M14" s="2243">
        <f t="shared" si="11"/>
        <v>0</v>
      </c>
      <c r="N14" s="2243">
        <f t="shared" si="12"/>
        <v>0</v>
      </c>
      <c r="O14" s="2243">
        <f t="shared" si="13"/>
        <v>0</v>
      </c>
      <c r="P14" s="2244">
        <f t="shared" si="0"/>
        <v>0</v>
      </c>
      <c r="Q14" s="2245" t="e">
        <f t="shared" si="1"/>
        <v>#DIV/0!</v>
      </c>
    </row>
    <row r="15" spans="1:21" x14ac:dyDescent="0.3">
      <c r="A15" s="2236" t="s">
        <v>954</v>
      </c>
      <c r="B15" s="2237">
        <v>0</v>
      </c>
      <c r="C15" s="2242">
        <v>12</v>
      </c>
      <c r="D15" s="2243">
        <f t="shared" si="2"/>
        <v>0</v>
      </c>
      <c r="E15" s="2243">
        <f t="shared" si="3"/>
        <v>0</v>
      </c>
      <c r="F15" s="2243">
        <f t="shared" si="4"/>
        <v>0</v>
      </c>
      <c r="G15" s="2243">
        <f t="shared" si="5"/>
        <v>0</v>
      </c>
      <c r="H15" s="2243">
        <f t="shared" si="6"/>
        <v>0</v>
      </c>
      <c r="I15" s="2243">
        <f t="shared" si="7"/>
        <v>0</v>
      </c>
      <c r="J15" s="2243">
        <f t="shared" si="8"/>
        <v>0</v>
      </c>
      <c r="K15" s="2243">
        <f t="shared" si="9"/>
        <v>0</v>
      </c>
      <c r="L15" s="2243">
        <f t="shared" si="10"/>
        <v>0</v>
      </c>
      <c r="M15" s="2243">
        <f t="shared" si="11"/>
        <v>0</v>
      </c>
      <c r="N15" s="2243">
        <f t="shared" si="12"/>
        <v>0</v>
      </c>
      <c r="O15" s="2243">
        <f t="shared" si="13"/>
        <v>0</v>
      </c>
      <c r="P15" s="2244">
        <f t="shared" si="0"/>
        <v>0</v>
      </c>
      <c r="Q15" s="2245" t="e">
        <f t="shared" si="1"/>
        <v>#DIV/0!</v>
      </c>
    </row>
    <row r="16" spans="1:21" x14ac:dyDescent="0.3">
      <c r="A16" s="2236" t="s">
        <v>170</v>
      </c>
      <c r="B16" s="2237">
        <v>0</v>
      </c>
      <c r="C16" s="2242">
        <v>12</v>
      </c>
      <c r="D16" s="2243">
        <f t="shared" si="2"/>
        <v>0</v>
      </c>
      <c r="E16" s="2243">
        <f t="shared" si="3"/>
        <v>0</v>
      </c>
      <c r="F16" s="2243">
        <f t="shared" si="4"/>
        <v>0</v>
      </c>
      <c r="G16" s="2243">
        <f t="shared" si="5"/>
        <v>0</v>
      </c>
      <c r="H16" s="2243">
        <f t="shared" si="6"/>
        <v>0</v>
      </c>
      <c r="I16" s="2243">
        <f t="shared" si="7"/>
        <v>0</v>
      </c>
      <c r="J16" s="2243">
        <f t="shared" si="8"/>
        <v>0</v>
      </c>
      <c r="K16" s="2243">
        <f t="shared" si="9"/>
        <v>0</v>
      </c>
      <c r="L16" s="2243">
        <f t="shared" si="10"/>
        <v>0</v>
      </c>
      <c r="M16" s="2243">
        <f t="shared" si="11"/>
        <v>0</v>
      </c>
      <c r="N16" s="2243">
        <f t="shared" si="12"/>
        <v>0</v>
      </c>
      <c r="O16" s="2243">
        <f t="shared" si="13"/>
        <v>0</v>
      </c>
      <c r="P16" s="2244">
        <f t="shared" si="0"/>
        <v>0</v>
      </c>
      <c r="Q16" s="2245" t="e">
        <f t="shared" si="1"/>
        <v>#DIV/0!</v>
      </c>
    </row>
    <row r="17" spans="1:17" x14ac:dyDescent="0.3">
      <c r="A17" s="2236" t="s">
        <v>277</v>
      </c>
      <c r="B17" s="2237">
        <v>0</v>
      </c>
      <c r="C17" s="2242">
        <v>12</v>
      </c>
      <c r="D17" s="2243">
        <f t="shared" si="2"/>
        <v>0</v>
      </c>
      <c r="E17" s="2243">
        <f t="shared" si="3"/>
        <v>0</v>
      </c>
      <c r="F17" s="2243">
        <f t="shared" si="4"/>
        <v>0</v>
      </c>
      <c r="G17" s="2243">
        <f t="shared" si="5"/>
        <v>0</v>
      </c>
      <c r="H17" s="2243">
        <f t="shared" si="6"/>
        <v>0</v>
      </c>
      <c r="I17" s="2243">
        <f t="shared" si="7"/>
        <v>0</v>
      </c>
      <c r="J17" s="2243">
        <f t="shared" si="8"/>
        <v>0</v>
      </c>
      <c r="K17" s="2243">
        <f t="shared" si="9"/>
        <v>0</v>
      </c>
      <c r="L17" s="2243">
        <f t="shared" si="10"/>
        <v>0</v>
      </c>
      <c r="M17" s="2243">
        <f t="shared" si="11"/>
        <v>0</v>
      </c>
      <c r="N17" s="2243">
        <f t="shared" si="12"/>
        <v>0</v>
      </c>
      <c r="O17" s="2243">
        <f t="shared" si="13"/>
        <v>0</v>
      </c>
      <c r="P17" s="2244">
        <f>SUM(D17:O17)</f>
        <v>0</v>
      </c>
      <c r="Q17" s="2245" t="e">
        <f t="shared" si="1"/>
        <v>#DIV/0!</v>
      </c>
    </row>
    <row r="18" spans="1:17" x14ac:dyDescent="0.3">
      <c r="A18" s="2236" t="s">
        <v>657</v>
      </c>
      <c r="B18" s="2237">
        <v>0</v>
      </c>
      <c r="C18" s="2242">
        <v>12</v>
      </c>
      <c r="D18" s="2243">
        <f t="shared" si="2"/>
        <v>0</v>
      </c>
      <c r="E18" s="2243">
        <f t="shared" si="3"/>
        <v>0</v>
      </c>
      <c r="F18" s="2243">
        <f t="shared" si="4"/>
        <v>0</v>
      </c>
      <c r="G18" s="2243">
        <f t="shared" si="5"/>
        <v>0</v>
      </c>
      <c r="H18" s="2243">
        <f t="shared" si="6"/>
        <v>0</v>
      </c>
      <c r="I18" s="2243">
        <f t="shared" si="7"/>
        <v>0</v>
      </c>
      <c r="J18" s="2243">
        <f t="shared" si="8"/>
        <v>0</v>
      </c>
      <c r="K18" s="2243">
        <f t="shared" si="9"/>
        <v>0</v>
      </c>
      <c r="L18" s="2243">
        <f t="shared" si="10"/>
        <v>0</v>
      </c>
      <c r="M18" s="2243">
        <f t="shared" si="11"/>
        <v>0</v>
      </c>
      <c r="N18" s="2243">
        <f t="shared" si="12"/>
        <v>0</v>
      </c>
      <c r="O18" s="2243">
        <f t="shared" si="13"/>
        <v>0</v>
      </c>
      <c r="P18" s="2244">
        <f>SUM(D18:O18)</f>
        <v>0</v>
      </c>
      <c r="Q18" s="2245" t="e">
        <f t="shared" si="1"/>
        <v>#DIV/0!</v>
      </c>
    </row>
    <row r="19" spans="1:17" x14ac:dyDescent="0.3">
      <c r="A19" s="2236" t="s">
        <v>867</v>
      </c>
      <c r="B19" s="2237">
        <v>0</v>
      </c>
      <c r="C19" s="2242">
        <v>12</v>
      </c>
      <c r="D19" s="2243">
        <f t="shared" si="2"/>
        <v>0</v>
      </c>
      <c r="E19" s="2243">
        <f t="shared" si="3"/>
        <v>0</v>
      </c>
      <c r="F19" s="2243">
        <f t="shared" si="4"/>
        <v>0</v>
      </c>
      <c r="G19" s="2243">
        <f t="shared" si="5"/>
        <v>0</v>
      </c>
      <c r="H19" s="2243">
        <f t="shared" si="6"/>
        <v>0</v>
      </c>
      <c r="I19" s="2243">
        <f t="shared" si="7"/>
        <v>0</v>
      </c>
      <c r="J19" s="2243">
        <f t="shared" si="8"/>
        <v>0</v>
      </c>
      <c r="K19" s="2243">
        <f t="shared" si="9"/>
        <v>0</v>
      </c>
      <c r="L19" s="2243">
        <f t="shared" si="10"/>
        <v>0</v>
      </c>
      <c r="M19" s="2243">
        <f t="shared" si="11"/>
        <v>0</v>
      </c>
      <c r="N19" s="2243">
        <f t="shared" si="12"/>
        <v>0</v>
      </c>
      <c r="O19" s="2243">
        <f t="shared" si="13"/>
        <v>0</v>
      </c>
      <c r="P19" s="2244">
        <f t="shared" si="0"/>
        <v>0</v>
      </c>
      <c r="Q19" s="2245" t="e">
        <f t="shared" si="1"/>
        <v>#DIV/0!</v>
      </c>
    </row>
    <row r="20" spans="1:17" x14ac:dyDescent="0.3">
      <c r="A20" s="2236" t="s">
        <v>868</v>
      </c>
      <c r="B20" s="2237">
        <v>0</v>
      </c>
      <c r="C20" s="2242">
        <v>1</v>
      </c>
      <c r="D20" s="2243">
        <f t="shared" si="2"/>
        <v>0</v>
      </c>
      <c r="E20" s="2243">
        <f t="shared" si="3"/>
        <v>0</v>
      </c>
      <c r="F20" s="2243">
        <f t="shared" si="4"/>
        <v>0</v>
      </c>
      <c r="G20" s="2243">
        <f t="shared" si="5"/>
        <v>0</v>
      </c>
      <c r="H20" s="2243">
        <f t="shared" si="6"/>
        <v>0</v>
      </c>
      <c r="I20" s="2243">
        <f t="shared" si="7"/>
        <v>0</v>
      </c>
      <c r="J20" s="2243">
        <f t="shared" si="8"/>
        <v>0</v>
      </c>
      <c r="K20" s="2243">
        <f t="shared" si="9"/>
        <v>0</v>
      </c>
      <c r="L20" s="2243">
        <f t="shared" si="10"/>
        <v>0</v>
      </c>
      <c r="M20" s="2243">
        <f t="shared" si="11"/>
        <v>0</v>
      </c>
      <c r="N20" s="2243">
        <f t="shared" si="12"/>
        <v>0</v>
      </c>
      <c r="O20" s="2243">
        <f t="shared" si="13"/>
        <v>0</v>
      </c>
      <c r="P20" s="2244">
        <f t="shared" si="0"/>
        <v>0</v>
      </c>
      <c r="Q20" s="2245" t="e">
        <f t="shared" si="1"/>
        <v>#DIV/0!</v>
      </c>
    </row>
    <row r="21" spans="1:17" x14ac:dyDescent="0.3">
      <c r="A21" s="2236" t="s">
        <v>1280</v>
      </c>
      <c r="B21" s="2237">
        <v>0</v>
      </c>
      <c r="C21" s="2242">
        <v>12</v>
      </c>
      <c r="D21" s="2243">
        <f t="shared" si="2"/>
        <v>0</v>
      </c>
      <c r="E21" s="2243">
        <f t="shared" si="3"/>
        <v>0</v>
      </c>
      <c r="F21" s="2243">
        <f t="shared" si="4"/>
        <v>0</v>
      </c>
      <c r="G21" s="2243">
        <f t="shared" si="5"/>
        <v>0</v>
      </c>
      <c r="H21" s="2243">
        <f t="shared" si="6"/>
        <v>0</v>
      </c>
      <c r="I21" s="2243">
        <f t="shared" si="7"/>
        <v>0</v>
      </c>
      <c r="J21" s="2243">
        <f t="shared" si="8"/>
        <v>0</v>
      </c>
      <c r="K21" s="2243">
        <f t="shared" si="9"/>
        <v>0</v>
      </c>
      <c r="L21" s="2243">
        <f t="shared" si="10"/>
        <v>0</v>
      </c>
      <c r="M21" s="2243">
        <f t="shared" si="11"/>
        <v>0</v>
      </c>
      <c r="N21" s="2243">
        <f t="shared" si="12"/>
        <v>0</v>
      </c>
      <c r="O21" s="2243">
        <f t="shared" si="13"/>
        <v>0</v>
      </c>
      <c r="P21" s="2244">
        <f t="shared" si="0"/>
        <v>0</v>
      </c>
      <c r="Q21" s="2245" t="e">
        <f t="shared" si="1"/>
        <v>#DIV/0!</v>
      </c>
    </row>
    <row r="22" spans="1:17" x14ac:dyDescent="0.3">
      <c r="A22" s="2236" t="s">
        <v>955</v>
      </c>
      <c r="B22" s="2237">
        <v>0</v>
      </c>
      <c r="C22" s="2242">
        <v>4</v>
      </c>
      <c r="D22" s="2243">
        <f t="shared" si="2"/>
        <v>0</v>
      </c>
      <c r="E22" s="2243">
        <f t="shared" si="3"/>
        <v>0</v>
      </c>
      <c r="F22" s="2243">
        <f t="shared" si="4"/>
        <v>0</v>
      </c>
      <c r="G22" s="2243">
        <f t="shared" si="5"/>
        <v>0</v>
      </c>
      <c r="H22" s="2243">
        <f t="shared" si="6"/>
        <v>0</v>
      </c>
      <c r="I22" s="2243">
        <f t="shared" si="7"/>
        <v>0</v>
      </c>
      <c r="J22" s="2243">
        <f t="shared" si="8"/>
        <v>0</v>
      </c>
      <c r="K22" s="2243">
        <f t="shared" si="9"/>
        <v>0</v>
      </c>
      <c r="L22" s="2243">
        <f t="shared" si="10"/>
        <v>0</v>
      </c>
      <c r="M22" s="2243">
        <f t="shared" si="11"/>
        <v>0</v>
      </c>
      <c r="N22" s="2243">
        <f t="shared" si="12"/>
        <v>0</v>
      </c>
      <c r="O22" s="2243">
        <f t="shared" si="13"/>
        <v>0</v>
      </c>
      <c r="P22" s="2244">
        <f t="shared" si="0"/>
        <v>0</v>
      </c>
      <c r="Q22" s="2245" t="e">
        <f t="shared" si="1"/>
        <v>#DIV/0!</v>
      </c>
    </row>
    <row r="23" spans="1:17" x14ac:dyDescent="0.3">
      <c r="A23" s="2236" t="s">
        <v>869</v>
      </c>
      <c r="B23" s="2237">
        <v>0</v>
      </c>
      <c r="C23" s="2242">
        <v>12</v>
      </c>
      <c r="D23" s="2243">
        <f t="shared" si="2"/>
        <v>0</v>
      </c>
      <c r="E23" s="2243">
        <f t="shared" si="3"/>
        <v>0</v>
      </c>
      <c r="F23" s="2243">
        <f t="shared" si="4"/>
        <v>0</v>
      </c>
      <c r="G23" s="2243">
        <f t="shared" si="5"/>
        <v>0</v>
      </c>
      <c r="H23" s="2243">
        <f t="shared" si="6"/>
        <v>0</v>
      </c>
      <c r="I23" s="2243">
        <f t="shared" si="7"/>
        <v>0</v>
      </c>
      <c r="J23" s="2243">
        <f t="shared" si="8"/>
        <v>0</v>
      </c>
      <c r="K23" s="2243">
        <f t="shared" si="9"/>
        <v>0</v>
      </c>
      <c r="L23" s="2243">
        <f t="shared" si="10"/>
        <v>0</v>
      </c>
      <c r="M23" s="2243">
        <f t="shared" si="11"/>
        <v>0</v>
      </c>
      <c r="N23" s="2243">
        <f t="shared" si="12"/>
        <v>0</v>
      </c>
      <c r="O23" s="2243">
        <f t="shared" si="13"/>
        <v>0</v>
      </c>
      <c r="P23" s="2244">
        <f t="shared" si="0"/>
        <v>0</v>
      </c>
      <c r="Q23" s="2245" t="e">
        <f t="shared" si="1"/>
        <v>#DIV/0!</v>
      </c>
    </row>
    <row r="24" spans="1:17" x14ac:dyDescent="0.3">
      <c r="A24" s="2236" t="s">
        <v>1024</v>
      </c>
      <c r="B24" s="2237">
        <v>0</v>
      </c>
      <c r="C24" s="2242">
        <v>12</v>
      </c>
      <c r="D24" s="2243">
        <f t="shared" si="2"/>
        <v>0</v>
      </c>
      <c r="E24" s="2243">
        <f t="shared" si="3"/>
        <v>0</v>
      </c>
      <c r="F24" s="2243">
        <f t="shared" si="4"/>
        <v>0</v>
      </c>
      <c r="G24" s="2243">
        <f t="shared" si="5"/>
        <v>0</v>
      </c>
      <c r="H24" s="2243">
        <f t="shared" si="6"/>
        <v>0</v>
      </c>
      <c r="I24" s="2243">
        <f t="shared" si="7"/>
        <v>0</v>
      </c>
      <c r="J24" s="2243">
        <f t="shared" si="8"/>
        <v>0</v>
      </c>
      <c r="K24" s="2243">
        <f t="shared" si="9"/>
        <v>0</v>
      </c>
      <c r="L24" s="2243">
        <f t="shared" si="10"/>
        <v>0</v>
      </c>
      <c r="M24" s="2243">
        <f t="shared" si="11"/>
        <v>0</v>
      </c>
      <c r="N24" s="2243">
        <f t="shared" si="12"/>
        <v>0</v>
      </c>
      <c r="O24" s="2243">
        <f t="shared" si="13"/>
        <v>0</v>
      </c>
      <c r="P24" s="2244">
        <f t="shared" si="0"/>
        <v>0</v>
      </c>
      <c r="Q24" s="2245" t="e">
        <f t="shared" si="1"/>
        <v>#DIV/0!</v>
      </c>
    </row>
    <row r="25" spans="1:17" x14ac:dyDescent="0.3">
      <c r="A25" s="2236" t="s">
        <v>888</v>
      </c>
      <c r="B25" s="2237">
        <v>0</v>
      </c>
      <c r="C25" s="2242">
        <v>12</v>
      </c>
      <c r="D25" s="2243">
        <f t="shared" si="2"/>
        <v>0</v>
      </c>
      <c r="E25" s="2243">
        <f t="shared" si="3"/>
        <v>0</v>
      </c>
      <c r="F25" s="2243">
        <f t="shared" si="4"/>
        <v>0</v>
      </c>
      <c r="G25" s="2243">
        <f t="shared" si="5"/>
        <v>0</v>
      </c>
      <c r="H25" s="2243">
        <f t="shared" si="6"/>
        <v>0</v>
      </c>
      <c r="I25" s="2243">
        <f t="shared" si="7"/>
        <v>0</v>
      </c>
      <c r="J25" s="2243">
        <f t="shared" si="8"/>
        <v>0</v>
      </c>
      <c r="K25" s="2243">
        <f t="shared" si="9"/>
        <v>0</v>
      </c>
      <c r="L25" s="2243">
        <f t="shared" si="10"/>
        <v>0</v>
      </c>
      <c r="M25" s="2243">
        <f t="shared" si="11"/>
        <v>0</v>
      </c>
      <c r="N25" s="2243">
        <f t="shared" si="12"/>
        <v>0</v>
      </c>
      <c r="O25" s="2243">
        <f t="shared" si="13"/>
        <v>0</v>
      </c>
      <c r="P25" s="2244">
        <f t="shared" si="0"/>
        <v>0</v>
      </c>
      <c r="Q25" s="2245" t="e">
        <f t="shared" si="1"/>
        <v>#DIV/0!</v>
      </c>
    </row>
    <row r="26" spans="1:17" x14ac:dyDescent="0.3">
      <c r="A26" s="2236" t="s">
        <v>341</v>
      </c>
      <c r="B26" s="2237">
        <v>0</v>
      </c>
      <c r="C26" s="2242">
        <v>12</v>
      </c>
      <c r="D26" s="2243">
        <f t="shared" si="2"/>
        <v>0</v>
      </c>
      <c r="E26" s="2243">
        <f t="shared" si="3"/>
        <v>0</v>
      </c>
      <c r="F26" s="2243">
        <f t="shared" si="4"/>
        <v>0</v>
      </c>
      <c r="G26" s="2243">
        <f t="shared" si="5"/>
        <v>0</v>
      </c>
      <c r="H26" s="2243">
        <f t="shared" si="6"/>
        <v>0</v>
      </c>
      <c r="I26" s="2243">
        <f t="shared" si="7"/>
        <v>0</v>
      </c>
      <c r="J26" s="2243">
        <f t="shared" si="8"/>
        <v>0</v>
      </c>
      <c r="K26" s="2243">
        <f t="shared" si="9"/>
        <v>0</v>
      </c>
      <c r="L26" s="2243">
        <f t="shared" si="10"/>
        <v>0</v>
      </c>
      <c r="M26" s="2243">
        <f t="shared" si="11"/>
        <v>0</v>
      </c>
      <c r="N26" s="2243">
        <f t="shared" si="12"/>
        <v>0</v>
      </c>
      <c r="O26" s="2243">
        <f t="shared" si="13"/>
        <v>0</v>
      </c>
      <c r="P26" s="2244">
        <f t="shared" si="0"/>
        <v>0</v>
      </c>
      <c r="Q26" s="2245" t="e">
        <f t="shared" si="1"/>
        <v>#DIV/0!</v>
      </c>
    </row>
    <row r="27" spans="1:17" ht="18" thickBot="1" x14ac:dyDescent="0.35">
      <c r="A27" s="2246" t="s">
        <v>25</v>
      </c>
      <c r="B27" s="2247"/>
      <c r="C27" s="2247"/>
      <c r="D27" s="2248">
        <f t="shared" ref="D27:P27" si="14">SUM(D8:D26)</f>
        <v>0</v>
      </c>
      <c r="E27" s="2248">
        <f t="shared" si="14"/>
        <v>0</v>
      </c>
      <c r="F27" s="2248">
        <f t="shared" si="14"/>
        <v>0</v>
      </c>
      <c r="G27" s="2248">
        <f t="shared" si="14"/>
        <v>0</v>
      </c>
      <c r="H27" s="2248">
        <f t="shared" si="14"/>
        <v>0</v>
      </c>
      <c r="I27" s="2248">
        <f t="shared" si="14"/>
        <v>0</v>
      </c>
      <c r="J27" s="2248">
        <f t="shared" si="14"/>
        <v>0</v>
      </c>
      <c r="K27" s="2248">
        <f t="shared" si="14"/>
        <v>0</v>
      </c>
      <c r="L27" s="2248">
        <f t="shared" si="14"/>
        <v>0</v>
      </c>
      <c r="M27" s="2248">
        <f t="shared" si="14"/>
        <v>0</v>
      </c>
      <c r="N27" s="2248">
        <f t="shared" si="14"/>
        <v>0</v>
      </c>
      <c r="O27" s="2248">
        <f t="shared" si="14"/>
        <v>0</v>
      </c>
      <c r="P27" s="2248">
        <f t="shared" si="14"/>
        <v>0</v>
      </c>
      <c r="Q27" s="2249" t="e">
        <f t="shared" si="1"/>
        <v>#DIV/0!</v>
      </c>
    </row>
    <row r="28" spans="1:17" ht="18" thickBot="1" x14ac:dyDescent="0.35"/>
    <row r="29" spans="1:17" x14ac:dyDescent="0.3">
      <c r="A29" s="1339"/>
      <c r="B29" s="1340" t="s">
        <v>287</v>
      </c>
      <c r="C29" s="1341">
        <v>0</v>
      </c>
    </row>
    <row r="30" spans="1:17" ht="18" thickBot="1" x14ac:dyDescent="0.35">
      <c r="A30" s="1342"/>
      <c r="B30" s="1343" t="s">
        <v>178</v>
      </c>
      <c r="C30" s="1344">
        <v>0</v>
      </c>
    </row>
  </sheetData>
  <sheetProtection sheet="1" objects="1" scenarios="1" formatCells="0" formatColumns="0"/>
  <phoneticPr fontId="13" type="noConversion"/>
  <dataValidations xWindow="474" yWindow="99" count="3">
    <dataValidation allowBlank="1" showInputMessage="1" showErrorMessage="1" prompt="En esta hoja de gastos fijos para el año 0 se pueden modificar las etiquetas de las distintas partidas de gastos fijos y automáticamente se transladarán a las hojas de gastos fijos de los otros dos años." sqref="A8:A26 A1" xr:uid="{00000000-0002-0000-1200-000000000000}"/>
    <dataValidation type="list" allowBlank="1" showInputMessage="1" showErrorMessage="1" sqref="C8:C26" xr:uid="{00000000-0002-0000-1200-000001000000}">
      <formula1>"12,6,4,3,2,1"</formula1>
    </dataValidation>
    <dataValidation type="whole" allowBlank="1" showInputMessage="1" showErrorMessage="1" sqref="C29:C30" xr:uid="{00000000-0002-0000-1200-000002000000}">
      <formula1>0</formula1>
      <formula2>12</formula2>
    </dataValidation>
  </dataValidations>
  <printOptions horizontalCentered="1"/>
  <pageMargins left="0.43" right="0.75" top="0.72" bottom="0.52" header="0" footer="0"/>
  <pageSetup paperSize="9" orientation="portrait" horizontalDpi="300" r:id="rId1"/>
  <headerFooter alignWithMargins="0"/>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77">
    <tabColor rgb="FFA8DDD6"/>
  </sheetPr>
  <dimension ref="A1:GW36"/>
  <sheetViews>
    <sheetView showGridLines="0" workbookViewId="0">
      <selection sqref="A1:K1"/>
    </sheetView>
  </sheetViews>
  <sheetFormatPr baseColWidth="10" defaultRowHeight="15.75" x14ac:dyDescent="0.25"/>
  <cols>
    <col min="1" max="1" width="26.375" style="1679" customWidth="1"/>
    <col min="2" max="16384" width="11" style="1679"/>
  </cols>
  <sheetData>
    <row r="1" spans="1:11" ht="27.75" x14ac:dyDescent="0.45">
      <c r="A1" s="2521" t="s">
        <v>1214</v>
      </c>
      <c r="B1" s="2506"/>
      <c r="C1" s="2506"/>
      <c r="D1" s="2506"/>
      <c r="E1" s="2506"/>
      <c r="F1" s="2506"/>
      <c r="G1" s="2506"/>
      <c r="H1" s="2506"/>
      <c r="I1" s="2506"/>
      <c r="J1" s="2506"/>
      <c r="K1" s="2506"/>
    </row>
    <row r="2" spans="1:11" ht="27.75" x14ac:dyDescent="0.45">
      <c r="A2" s="2311">
        <f>'Datos Básicos'!B8</f>
        <v>0</v>
      </c>
      <c r="B2" s="2311"/>
      <c r="C2" s="2311"/>
      <c r="D2" s="2311"/>
      <c r="E2" s="2311"/>
      <c r="F2" s="1559"/>
      <c r="G2" s="1559"/>
      <c r="H2" s="1559"/>
      <c r="I2" s="1559"/>
      <c r="J2" s="1559"/>
      <c r="K2" s="1559"/>
    </row>
    <row r="4" spans="1:11" ht="27.75" x14ac:dyDescent="0.45">
      <c r="A4" s="2311"/>
      <c r="B4" s="2311"/>
      <c r="C4" s="2311"/>
      <c r="D4" s="2311"/>
      <c r="E4" s="2311"/>
      <c r="F4" s="1559"/>
      <c r="G4" s="1559"/>
      <c r="H4" s="1559"/>
      <c r="I4" s="1559"/>
      <c r="J4" s="1559"/>
    </row>
    <row r="5" spans="1:11" ht="17.25" x14ac:dyDescent="0.3">
      <c r="A5" s="1559"/>
      <c r="B5" s="1559"/>
      <c r="C5" s="1559"/>
      <c r="D5" s="1559"/>
      <c r="E5" s="2372"/>
      <c r="F5" s="1559"/>
      <c r="G5" s="1559"/>
      <c r="H5" s="1559"/>
      <c r="I5" s="1559"/>
      <c r="J5" s="1559"/>
    </row>
    <row r="6" spans="1:11" ht="17.25" x14ac:dyDescent="0.3">
      <c r="A6" s="1559"/>
      <c r="B6" s="1559"/>
      <c r="C6" s="1559"/>
      <c r="D6" s="1559"/>
      <c r="E6" s="2372"/>
      <c r="F6" s="1559"/>
      <c r="G6" s="1559"/>
      <c r="H6" s="1559"/>
      <c r="I6" s="1559"/>
      <c r="J6" s="1559"/>
    </row>
    <row r="7" spans="1:11" ht="27.75" x14ac:dyDescent="0.45">
      <c r="A7" s="2311" t="s">
        <v>159</v>
      </c>
      <c r="B7" s="2311"/>
      <c r="C7" s="2311"/>
      <c r="D7" s="1559"/>
      <c r="E7" s="1559"/>
      <c r="F7" s="1559"/>
      <c r="G7" s="1559"/>
      <c r="H7" s="1559"/>
      <c r="I7" s="1559"/>
      <c r="J7" s="1559"/>
    </row>
    <row r="8" spans="1:11" ht="28.5" thickBot="1" x14ac:dyDescent="0.5">
      <c r="A8" s="2311"/>
      <c r="B8" s="2311"/>
      <c r="C8" s="2311"/>
      <c r="D8" s="1559"/>
      <c r="E8" s="2373"/>
      <c r="F8" s="1559"/>
      <c r="G8" s="1559"/>
      <c r="H8" s="1559"/>
      <c r="I8" s="1559"/>
      <c r="J8" s="1559"/>
    </row>
    <row r="9" spans="1:11" ht="45" x14ac:dyDescent="0.35">
      <c r="A9" s="2020"/>
      <c r="B9" s="2021" t="str">
        <f>CONCATENATE('Datos Básicos'!B16," ",'Datos Básicos'!$B$17)</f>
        <v>Año 0 2026</v>
      </c>
      <c r="C9" s="1961" t="str">
        <f>CONCATENATE("Año ",'Datos Básicos'!C16," :  ",'Datos Básicos'!$C$17)</f>
        <v>Año 1 :  2027</v>
      </c>
      <c r="D9" s="2022"/>
      <c r="E9" s="1961" t="str">
        <f>CONCATENATE("Año ",'Datos Básicos'!D16,"  : ",'Datos Básicos'!$D$17)</f>
        <v>Año 2  : 2028</v>
      </c>
      <c r="F9" s="2022"/>
      <c r="G9" s="1961" t="str">
        <f>CONCATENATE("Año ",'Datos Básicos'!E16,"  : ",'Datos Básicos'!$E$17)</f>
        <v>Año 3  : 2029</v>
      </c>
      <c r="H9" s="2022"/>
      <c r="I9" s="1961" t="str">
        <f>CONCATENATE("Año ",'Datos Básicos'!F16,"  : ",'Datos Básicos'!$F$17)</f>
        <v>Año 4  : 2030</v>
      </c>
      <c r="J9" s="2023"/>
    </row>
    <row r="10" spans="1:11" ht="41.25" customHeight="1" x14ac:dyDescent="0.3">
      <c r="A10" s="1918" t="s">
        <v>1070</v>
      </c>
      <c r="B10" s="2018" t="s">
        <v>156</v>
      </c>
      <c r="C10" s="2018" t="s">
        <v>50</v>
      </c>
      <c r="D10" s="2019" t="s">
        <v>156</v>
      </c>
      <c r="E10" s="2018" t="s">
        <v>50</v>
      </c>
      <c r="F10" s="2019" t="s">
        <v>156</v>
      </c>
      <c r="G10" s="2018" t="s">
        <v>50</v>
      </c>
      <c r="H10" s="2019" t="s">
        <v>156</v>
      </c>
      <c r="I10" s="2018" t="s">
        <v>50</v>
      </c>
      <c r="J10" s="2026" t="s">
        <v>156</v>
      </c>
    </row>
    <row r="11" spans="1:11" ht="17.25" x14ac:dyDescent="0.3">
      <c r="A11" s="1309"/>
      <c r="B11" s="2001">
        <v>0</v>
      </c>
      <c r="C11" s="2006">
        <v>0.02</v>
      </c>
      <c r="D11" s="2003">
        <f t="shared" ref="D11:D18" si="0">B11*(1+C11)</f>
        <v>0</v>
      </c>
      <c r="E11" s="2007">
        <f t="shared" ref="E11:E18" si="1">C11</f>
        <v>0.02</v>
      </c>
      <c r="F11" s="2004">
        <f t="shared" ref="F11:F18" si="2">D11*(1+E11)</f>
        <v>0</v>
      </c>
      <c r="G11" s="2007">
        <f t="shared" ref="G11:G18" si="3">E11</f>
        <v>0.02</v>
      </c>
      <c r="H11" s="2004">
        <f t="shared" ref="H11:H18" si="4">F11*(1+G11)</f>
        <v>0</v>
      </c>
      <c r="I11" s="2007">
        <f t="shared" ref="I11:I18" si="5">G11</f>
        <v>0.02</v>
      </c>
      <c r="J11" s="2009">
        <f t="shared" ref="J11:J18" si="6">H11*(1+I11)</f>
        <v>0</v>
      </c>
    </row>
    <row r="12" spans="1:11" ht="17.25" x14ac:dyDescent="0.3">
      <c r="A12" s="1309"/>
      <c r="B12" s="2001">
        <v>0</v>
      </c>
      <c r="C12" s="2007">
        <v>0.02</v>
      </c>
      <c r="D12" s="2004">
        <f t="shared" si="0"/>
        <v>0</v>
      </c>
      <c r="E12" s="2007">
        <f t="shared" si="1"/>
        <v>0.02</v>
      </c>
      <c r="F12" s="2004">
        <f t="shared" si="2"/>
        <v>0</v>
      </c>
      <c r="G12" s="2007">
        <f t="shared" si="3"/>
        <v>0.02</v>
      </c>
      <c r="H12" s="2004">
        <f t="shared" si="4"/>
        <v>0</v>
      </c>
      <c r="I12" s="2007">
        <f t="shared" si="5"/>
        <v>0.02</v>
      </c>
      <c r="J12" s="2009">
        <f t="shared" si="6"/>
        <v>0</v>
      </c>
    </row>
    <row r="13" spans="1:11" ht="17.25" x14ac:dyDescent="0.3">
      <c r="A13" s="1309"/>
      <c r="B13" s="2001">
        <v>0</v>
      </c>
      <c r="C13" s="2007">
        <v>0.02</v>
      </c>
      <c r="D13" s="2004">
        <f t="shared" si="0"/>
        <v>0</v>
      </c>
      <c r="E13" s="2007">
        <f t="shared" si="1"/>
        <v>0.02</v>
      </c>
      <c r="F13" s="2004">
        <f t="shared" si="2"/>
        <v>0</v>
      </c>
      <c r="G13" s="2007">
        <f t="shared" si="3"/>
        <v>0.02</v>
      </c>
      <c r="H13" s="2004">
        <f t="shared" si="4"/>
        <v>0</v>
      </c>
      <c r="I13" s="2007">
        <f t="shared" si="5"/>
        <v>0.02</v>
      </c>
      <c r="J13" s="2009">
        <f t="shared" si="6"/>
        <v>0</v>
      </c>
    </row>
    <row r="14" spans="1:11" ht="17.25" x14ac:dyDescent="0.3">
      <c r="A14" s="1309"/>
      <c r="B14" s="2001">
        <v>0</v>
      </c>
      <c r="C14" s="2007">
        <v>0.02</v>
      </c>
      <c r="D14" s="2004">
        <f t="shared" si="0"/>
        <v>0</v>
      </c>
      <c r="E14" s="2007">
        <f t="shared" si="1"/>
        <v>0.02</v>
      </c>
      <c r="F14" s="2004">
        <f t="shared" si="2"/>
        <v>0</v>
      </c>
      <c r="G14" s="2007">
        <f t="shared" si="3"/>
        <v>0.02</v>
      </c>
      <c r="H14" s="2004">
        <f t="shared" si="4"/>
        <v>0</v>
      </c>
      <c r="I14" s="2007">
        <f t="shared" si="5"/>
        <v>0.02</v>
      </c>
      <c r="J14" s="2009">
        <f t="shared" si="6"/>
        <v>0</v>
      </c>
    </row>
    <row r="15" spans="1:11" ht="17.25" x14ac:dyDescent="0.3">
      <c r="A15" s="1309"/>
      <c r="B15" s="2001">
        <v>0</v>
      </c>
      <c r="C15" s="2007">
        <v>0.02</v>
      </c>
      <c r="D15" s="2004">
        <f t="shared" si="0"/>
        <v>0</v>
      </c>
      <c r="E15" s="2007">
        <f t="shared" si="1"/>
        <v>0.02</v>
      </c>
      <c r="F15" s="2004">
        <f t="shared" si="2"/>
        <v>0</v>
      </c>
      <c r="G15" s="2007">
        <f t="shared" si="3"/>
        <v>0.02</v>
      </c>
      <c r="H15" s="2004">
        <f t="shared" si="4"/>
        <v>0</v>
      </c>
      <c r="I15" s="2007">
        <f t="shared" si="5"/>
        <v>0.02</v>
      </c>
      <c r="J15" s="2009">
        <f t="shared" si="6"/>
        <v>0</v>
      </c>
    </row>
    <row r="16" spans="1:11" ht="17.25" x14ac:dyDescent="0.3">
      <c r="A16" s="1309"/>
      <c r="B16" s="2001">
        <v>0</v>
      </c>
      <c r="C16" s="2007">
        <v>0.02</v>
      </c>
      <c r="D16" s="2004">
        <f t="shared" si="0"/>
        <v>0</v>
      </c>
      <c r="E16" s="2007">
        <f t="shared" si="1"/>
        <v>0.02</v>
      </c>
      <c r="F16" s="2004">
        <f t="shared" si="2"/>
        <v>0</v>
      </c>
      <c r="G16" s="2007">
        <f t="shared" si="3"/>
        <v>0.02</v>
      </c>
      <c r="H16" s="2004">
        <f t="shared" si="4"/>
        <v>0</v>
      </c>
      <c r="I16" s="2007">
        <f t="shared" si="5"/>
        <v>0.02</v>
      </c>
      <c r="J16" s="2009">
        <f t="shared" si="6"/>
        <v>0</v>
      </c>
    </row>
    <row r="17" spans="1:205" ht="17.25" x14ac:dyDescent="0.3">
      <c r="A17" s="1309"/>
      <c r="B17" s="2001">
        <v>0</v>
      </c>
      <c r="C17" s="2007">
        <v>0.02</v>
      </c>
      <c r="D17" s="2004">
        <f t="shared" si="0"/>
        <v>0</v>
      </c>
      <c r="E17" s="2007">
        <f t="shared" si="1"/>
        <v>0.02</v>
      </c>
      <c r="F17" s="2004">
        <f t="shared" si="2"/>
        <v>0</v>
      </c>
      <c r="G17" s="2007">
        <f t="shared" si="3"/>
        <v>0.02</v>
      </c>
      <c r="H17" s="2004">
        <f t="shared" si="4"/>
        <v>0</v>
      </c>
      <c r="I17" s="2007">
        <f t="shared" si="5"/>
        <v>0.02</v>
      </c>
      <c r="J17" s="2009">
        <f t="shared" si="6"/>
        <v>0</v>
      </c>
    </row>
    <row r="18" spans="1:205" ht="18" thickBot="1" x14ac:dyDescent="0.35">
      <c r="A18" s="1310"/>
      <c r="B18" s="2002">
        <v>0</v>
      </c>
      <c r="C18" s="2008">
        <v>0.02</v>
      </c>
      <c r="D18" s="2005">
        <f t="shared" si="0"/>
        <v>0</v>
      </c>
      <c r="E18" s="2008">
        <f t="shared" si="1"/>
        <v>0.02</v>
      </c>
      <c r="F18" s="2005">
        <f t="shared" si="2"/>
        <v>0</v>
      </c>
      <c r="G18" s="2008">
        <f t="shared" si="3"/>
        <v>0.02</v>
      </c>
      <c r="H18" s="2005">
        <f t="shared" si="4"/>
        <v>0</v>
      </c>
      <c r="I18" s="2008">
        <f t="shared" si="5"/>
        <v>0.02</v>
      </c>
      <c r="J18" s="2010">
        <f t="shared" si="6"/>
        <v>0</v>
      </c>
    </row>
    <row r="19" spans="1:205" ht="17.25" x14ac:dyDescent="0.3">
      <c r="A19" s="1559"/>
      <c r="B19" s="1559"/>
      <c r="C19" s="1559"/>
      <c r="D19" s="1559"/>
      <c r="E19" s="1559"/>
      <c r="F19" s="1559"/>
      <c r="G19" s="1559"/>
      <c r="H19" s="1559"/>
      <c r="I19" s="1559"/>
      <c r="J19" s="1559"/>
    </row>
    <row r="20" spans="1:205" ht="17.25" x14ac:dyDescent="0.3">
      <c r="A20" s="2314" t="s">
        <v>934</v>
      </c>
      <c r="B20" s="1559"/>
      <c r="C20" s="1559"/>
      <c r="D20" s="1559"/>
      <c r="E20" s="1559"/>
      <c r="F20" s="1559"/>
      <c r="G20" s="1559"/>
      <c r="H20" s="1559"/>
      <c r="I20" s="1559"/>
      <c r="J20" s="1559"/>
    </row>
    <row r="21" spans="1:205" ht="17.25" x14ac:dyDescent="0.3">
      <c r="A21" s="1559"/>
      <c r="B21" s="1559"/>
      <c r="C21" s="1559"/>
      <c r="D21" s="1559"/>
      <c r="E21" s="1559"/>
      <c r="F21" s="1559"/>
      <c r="G21" s="1559"/>
      <c r="H21" s="1559"/>
      <c r="I21" s="1559"/>
      <c r="J21" s="1559"/>
    </row>
    <row r="23" spans="1:205" s="1559" customFormat="1" ht="17.25" x14ac:dyDescent="0.3"/>
    <row r="24" spans="1:205" s="1559" customFormat="1" ht="28.5" thickBot="1" x14ac:dyDescent="0.5">
      <c r="A24" s="2311" t="s">
        <v>340</v>
      </c>
    </row>
    <row r="25" spans="1:205" s="307" customFormat="1" ht="17.25" x14ac:dyDescent="0.3">
      <c r="A25" s="2030" t="s">
        <v>950</v>
      </c>
      <c r="B25" s="2031" t="s">
        <v>951</v>
      </c>
      <c r="C25" s="2032">
        <v>30</v>
      </c>
      <c r="D25" s="2032">
        <v>60</v>
      </c>
      <c r="E25" s="2032">
        <v>90</v>
      </c>
      <c r="F25" s="2032">
        <v>120</v>
      </c>
      <c r="G25" s="2032">
        <v>150</v>
      </c>
      <c r="H25" s="2032">
        <v>180</v>
      </c>
      <c r="I25" s="2033" t="s">
        <v>865</v>
      </c>
      <c r="J25" s="1559"/>
      <c r="K25" s="1559"/>
      <c r="L25" s="1559"/>
      <c r="M25" s="1559"/>
      <c r="N25" s="1559"/>
      <c r="O25" s="1559"/>
      <c r="P25" s="1559"/>
      <c r="Q25" s="1559"/>
      <c r="R25" s="1559"/>
      <c r="S25" s="1559"/>
      <c r="T25" s="1559"/>
      <c r="U25" s="1559"/>
      <c r="V25" s="1559"/>
      <c r="W25" s="1559"/>
      <c r="X25" s="1559"/>
      <c r="Y25" s="1559"/>
      <c r="Z25" s="1559"/>
      <c r="AA25" s="1559"/>
      <c r="AB25" s="1559"/>
      <c r="AC25" s="1559"/>
      <c r="AD25" s="1559"/>
      <c r="AE25" s="1559"/>
      <c r="AF25" s="1559"/>
      <c r="AG25" s="1559"/>
      <c r="AH25" s="1559"/>
      <c r="AI25" s="1559"/>
      <c r="AJ25" s="1559"/>
      <c r="AK25" s="1559"/>
      <c r="AL25" s="1559"/>
      <c r="AM25" s="1559"/>
      <c r="AN25" s="1559"/>
      <c r="AO25" s="1559"/>
      <c r="AP25" s="1559"/>
      <c r="AQ25" s="1559"/>
      <c r="AR25" s="1559"/>
      <c r="AS25" s="1559"/>
      <c r="AT25" s="1559"/>
      <c r="AU25" s="1559"/>
      <c r="AV25" s="1559"/>
      <c r="AW25" s="1559"/>
      <c r="AX25" s="1559"/>
      <c r="AY25" s="1559"/>
      <c r="AZ25" s="1559"/>
      <c r="BA25" s="1559"/>
      <c r="BB25" s="1559"/>
      <c r="BC25" s="1559"/>
      <c r="BD25" s="1559"/>
      <c r="BE25" s="1559"/>
      <c r="BF25" s="1559"/>
      <c r="BG25" s="1559"/>
      <c r="BH25" s="1559"/>
      <c r="BI25" s="1559"/>
      <c r="BJ25" s="1559"/>
      <c r="BK25" s="1559"/>
      <c r="BL25" s="1559"/>
      <c r="BM25" s="1559"/>
      <c r="BN25" s="1559"/>
      <c r="BO25" s="1559"/>
      <c r="BP25" s="1559"/>
      <c r="BQ25" s="1559"/>
      <c r="BR25" s="1559"/>
      <c r="BS25" s="1559"/>
      <c r="BT25" s="1559"/>
      <c r="BU25" s="1559"/>
      <c r="BV25" s="1559"/>
      <c r="BW25" s="1559"/>
      <c r="BX25" s="1559"/>
      <c r="BY25" s="1559"/>
      <c r="BZ25" s="1559"/>
      <c r="CA25" s="1559"/>
      <c r="CB25" s="1559"/>
      <c r="CC25" s="1559"/>
      <c r="CD25" s="1559"/>
      <c r="CE25" s="1559"/>
      <c r="CF25" s="1559"/>
      <c r="CG25" s="1559"/>
      <c r="CH25" s="1559"/>
      <c r="CI25" s="1559"/>
      <c r="CJ25" s="1559"/>
      <c r="CK25" s="1559"/>
      <c r="CL25" s="1559"/>
      <c r="CM25" s="1559"/>
      <c r="CN25" s="1559"/>
      <c r="CO25" s="1559"/>
      <c r="CP25" s="1559"/>
      <c r="CQ25" s="1559"/>
      <c r="CR25" s="1559"/>
      <c r="CS25" s="1559"/>
      <c r="CT25" s="1559"/>
      <c r="CU25" s="1559"/>
      <c r="CV25" s="1559"/>
      <c r="CW25" s="1559"/>
      <c r="CX25" s="1559"/>
      <c r="CY25" s="1559"/>
      <c r="CZ25" s="1559"/>
      <c r="DA25" s="1559"/>
      <c r="DB25" s="1559"/>
      <c r="DC25" s="1559"/>
      <c r="DD25" s="1559"/>
      <c r="DE25" s="1559"/>
      <c r="DF25" s="1559"/>
      <c r="DG25" s="1559"/>
      <c r="DH25" s="1559"/>
      <c r="DI25" s="1559"/>
      <c r="DJ25" s="1559"/>
      <c r="DK25" s="1559"/>
      <c r="DL25" s="1559"/>
      <c r="DM25" s="1559"/>
      <c r="DN25" s="1559"/>
      <c r="DO25" s="1559"/>
      <c r="DP25" s="1559"/>
      <c r="DQ25" s="1559"/>
      <c r="DR25" s="1559"/>
      <c r="DS25" s="1559"/>
      <c r="DT25" s="1559"/>
      <c r="DU25" s="1559"/>
      <c r="DV25" s="1559"/>
      <c r="DW25" s="1559"/>
      <c r="DX25" s="1559"/>
      <c r="DY25" s="1559"/>
      <c r="DZ25" s="1559"/>
      <c r="EA25" s="1559"/>
      <c r="EB25" s="1559"/>
      <c r="EC25" s="1559"/>
      <c r="ED25" s="1559"/>
      <c r="EE25" s="1559"/>
      <c r="EF25" s="1559"/>
      <c r="EG25" s="1559"/>
      <c r="EH25" s="1559"/>
      <c r="EI25" s="1559"/>
      <c r="EJ25" s="1559"/>
      <c r="EK25" s="1559"/>
      <c r="EL25" s="1559"/>
      <c r="EM25" s="1559"/>
      <c r="EN25" s="1559"/>
      <c r="EO25" s="1559"/>
      <c r="EP25" s="1559"/>
      <c r="EQ25" s="1559"/>
      <c r="ER25" s="1559"/>
      <c r="ES25" s="1559"/>
      <c r="ET25" s="1559"/>
      <c r="EU25" s="1559"/>
      <c r="EV25" s="1559"/>
      <c r="EW25" s="1559"/>
      <c r="EX25" s="1559"/>
      <c r="EY25" s="1559"/>
      <c r="EZ25" s="1559"/>
      <c r="FA25" s="1559"/>
      <c r="FB25" s="1559"/>
      <c r="FC25" s="1559"/>
      <c r="FD25" s="1559"/>
      <c r="FE25" s="1559"/>
      <c r="FF25" s="1559"/>
      <c r="FG25" s="1559"/>
      <c r="FH25" s="1559"/>
      <c r="FI25" s="1559"/>
      <c r="FJ25" s="1559"/>
      <c r="FK25" s="1559"/>
      <c r="FL25" s="1559"/>
      <c r="FM25" s="1559"/>
      <c r="FN25" s="1559"/>
      <c r="FO25" s="1559"/>
      <c r="FP25" s="1559"/>
      <c r="FQ25" s="1559"/>
      <c r="FR25" s="1559"/>
      <c r="FS25" s="1559"/>
      <c r="FT25" s="1559"/>
      <c r="FU25" s="1559"/>
      <c r="FV25" s="1559"/>
      <c r="FW25" s="1559"/>
      <c r="FX25" s="1559"/>
      <c r="FY25" s="1559"/>
      <c r="FZ25" s="1559"/>
      <c r="GA25" s="1559"/>
      <c r="GB25" s="1559"/>
      <c r="GC25" s="1559"/>
      <c r="GD25" s="1559"/>
      <c r="GE25" s="1559"/>
      <c r="GF25" s="1559"/>
      <c r="GG25" s="1559"/>
      <c r="GH25" s="1559"/>
      <c r="GI25" s="1559"/>
      <c r="GJ25" s="1559"/>
      <c r="GK25" s="1559"/>
      <c r="GL25" s="1559"/>
      <c r="GM25" s="1559"/>
      <c r="GN25" s="1559"/>
      <c r="GO25" s="1559"/>
      <c r="GP25" s="1559"/>
      <c r="GQ25" s="1559"/>
      <c r="GR25" s="1559"/>
      <c r="GS25" s="1559"/>
      <c r="GT25" s="1559"/>
      <c r="GU25" s="1559"/>
      <c r="GV25" s="1559"/>
      <c r="GW25" s="1559"/>
    </row>
    <row r="26" spans="1:205" s="307" customFormat="1" ht="17.25" x14ac:dyDescent="0.3">
      <c r="A26" s="2415" t="str">
        <f>IF(A11="","",A11)</f>
        <v/>
      </c>
      <c r="B26" s="2027">
        <f t="shared" ref="B26:B33" si="7">IF(SUM(C26:H26)&gt;1,"ERROR",1-SUM(C26:H26))</f>
        <v>1</v>
      </c>
      <c r="C26" s="2028">
        <v>0</v>
      </c>
      <c r="D26" s="2028">
        <v>0</v>
      </c>
      <c r="E26" s="2028">
        <v>0</v>
      </c>
      <c r="F26" s="2028">
        <v>0</v>
      </c>
      <c r="G26" s="2028">
        <v>0</v>
      </c>
      <c r="H26" s="2028">
        <v>0</v>
      </c>
      <c r="I26" s="2029">
        <f t="shared" ref="I26:I33" si="8">SUM(B26:H26)</f>
        <v>1</v>
      </c>
      <c r="J26" s="2374" t="str">
        <f t="shared" ref="J26:J33" si="9">IF(I26&lt;&gt;1,"ERROR EN PORCENTAJES","")</f>
        <v/>
      </c>
      <c r="K26" s="1559"/>
      <c r="L26" s="1559"/>
      <c r="M26" s="1559"/>
      <c r="N26" s="1559"/>
      <c r="O26" s="1559"/>
      <c r="P26" s="1559"/>
      <c r="Q26" s="1559"/>
      <c r="R26" s="1559"/>
      <c r="S26" s="1559"/>
      <c r="T26" s="1559"/>
      <c r="U26" s="1559"/>
      <c r="V26" s="1559"/>
      <c r="W26" s="1559"/>
      <c r="X26" s="1559"/>
      <c r="Y26" s="1559"/>
      <c r="Z26" s="1559"/>
      <c r="AA26" s="1559"/>
      <c r="AB26" s="1559"/>
      <c r="AC26" s="1559"/>
      <c r="AD26" s="1559"/>
      <c r="AE26" s="1559"/>
      <c r="AF26" s="1559"/>
      <c r="AG26" s="1559"/>
      <c r="AH26" s="1559"/>
      <c r="AI26" s="1559"/>
      <c r="AJ26" s="1559"/>
      <c r="AK26" s="1559"/>
      <c r="AL26" s="1559"/>
      <c r="AM26" s="1559"/>
      <c r="AN26" s="1559"/>
      <c r="AO26" s="1559"/>
      <c r="AP26" s="1559"/>
      <c r="AQ26" s="1559"/>
      <c r="AR26" s="1559"/>
      <c r="AS26" s="1559"/>
      <c r="AT26" s="1559"/>
      <c r="AU26" s="1559"/>
      <c r="AV26" s="1559"/>
      <c r="AW26" s="1559"/>
      <c r="AX26" s="1559"/>
      <c r="AY26" s="1559"/>
      <c r="AZ26" s="1559"/>
      <c r="BA26" s="1559"/>
      <c r="BB26" s="1559"/>
      <c r="BC26" s="1559"/>
      <c r="BD26" s="1559"/>
      <c r="BE26" s="1559"/>
      <c r="BF26" s="1559"/>
      <c r="BG26" s="1559"/>
      <c r="BH26" s="1559"/>
      <c r="BI26" s="1559"/>
      <c r="BJ26" s="1559"/>
      <c r="BK26" s="1559"/>
      <c r="BL26" s="1559"/>
      <c r="BM26" s="1559"/>
      <c r="BN26" s="1559"/>
      <c r="BO26" s="1559"/>
      <c r="BP26" s="1559"/>
      <c r="BQ26" s="1559"/>
      <c r="BR26" s="1559"/>
      <c r="BS26" s="1559"/>
      <c r="BT26" s="1559"/>
      <c r="BU26" s="1559"/>
      <c r="BV26" s="1559"/>
      <c r="BW26" s="1559"/>
      <c r="BX26" s="1559"/>
      <c r="BY26" s="1559"/>
      <c r="BZ26" s="1559"/>
      <c r="CA26" s="1559"/>
      <c r="CB26" s="1559"/>
      <c r="CC26" s="1559"/>
      <c r="CD26" s="1559"/>
      <c r="CE26" s="1559"/>
      <c r="CF26" s="1559"/>
      <c r="CG26" s="1559"/>
      <c r="CH26" s="1559"/>
      <c r="CI26" s="1559"/>
      <c r="CJ26" s="1559"/>
      <c r="CK26" s="1559"/>
      <c r="CL26" s="1559"/>
      <c r="CM26" s="1559"/>
      <c r="CN26" s="1559"/>
      <c r="CO26" s="1559"/>
      <c r="CP26" s="1559"/>
      <c r="CQ26" s="1559"/>
      <c r="CR26" s="1559"/>
      <c r="CS26" s="1559"/>
      <c r="CT26" s="1559"/>
      <c r="CU26" s="1559"/>
      <c r="CV26" s="1559"/>
      <c r="CW26" s="1559"/>
      <c r="CX26" s="1559"/>
      <c r="CY26" s="1559"/>
      <c r="CZ26" s="1559"/>
      <c r="DA26" s="1559"/>
      <c r="DB26" s="1559"/>
      <c r="DC26" s="1559"/>
      <c r="DD26" s="1559"/>
      <c r="DE26" s="1559"/>
      <c r="DF26" s="1559"/>
      <c r="DG26" s="1559"/>
      <c r="DH26" s="1559"/>
      <c r="DI26" s="1559"/>
      <c r="DJ26" s="1559"/>
      <c r="DK26" s="1559"/>
      <c r="DL26" s="1559"/>
      <c r="DM26" s="1559"/>
      <c r="DN26" s="1559"/>
      <c r="DO26" s="1559"/>
      <c r="DP26" s="1559"/>
      <c r="DQ26" s="1559"/>
      <c r="DR26" s="1559"/>
      <c r="DS26" s="1559"/>
      <c r="DT26" s="1559"/>
      <c r="DU26" s="1559"/>
      <c r="DV26" s="1559"/>
      <c r="DW26" s="1559"/>
      <c r="DX26" s="1559"/>
      <c r="DY26" s="1559"/>
      <c r="DZ26" s="1559"/>
      <c r="EA26" s="1559"/>
      <c r="EB26" s="1559"/>
      <c r="EC26" s="1559"/>
      <c r="ED26" s="1559"/>
      <c r="EE26" s="1559"/>
      <c r="EF26" s="1559"/>
      <c r="EG26" s="1559"/>
      <c r="EH26" s="1559"/>
      <c r="EI26" s="1559"/>
      <c r="EJ26" s="1559"/>
      <c r="EK26" s="1559"/>
      <c r="EL26" s="1559"/>
      <c r="EM26" s="1559"/>
      <c r="EN26" s="1559"/>
      <c r="EO26" s="1559"/>
      <c r="EP26" s="1559"/>
      <c r="EQ26" s="1559"/>
      <c r="ER26" s="1559"/>
      <c r="ES26" s="1559"/>
      <c r="ET26" s="1559"/>
      <c r="EU26" s="1559"/>
      <c r="EV26" s="1559"/>
      <c r="EW26" s="1559"/>
      <c r="EX26" s="1559"/>
      <c r="EY26" s="1559"/>
      <c r="EZ26" s="1559"/>
      <c r="FA26" s="1559"/>
      <c r="FB26" s="1559"/>
      <c r="FC26" s="1559"/>
      <c r="FD26" s="1559"/>
      <c r="FE26" s="1559"/>
      <c r="FF26" s="1559"/>
      <c r="FG26" s="1559"/>
      <c r="FH26" s="1559"/>
      <c r="FI26" s="1559"/>
      <c r="FJ26" s="1559"/>
      <c r="FK26" s="1559"/>
      <c r="FL26" s="1559"/>
      <c r="FM26" s="1559"/>
      <c r="FN26" s="1559"/>
      <c r="FO26" s="1559"/>
      <c r="FP26" s="1559"/>
      <c r="FQ26" s="1559"/>
      <c r="FR26" s="1559"/>
      <c r="FS26" s="1559"/>
      <c r="FT26" s="1559"/>
      <c r="FU26" s="1559"/>
      <c r="FV26" s="1559"/>
      <c r="FW26" s="1559"/>
      <c r="FX26" s="1559"/>
      <c r="FY26" s="1559"/>
      <c r="FZ26" s="1559"/>
      <c r="GA26" s="1559"/>
      <c r="GB26" s="1559"/>
      <c r="GC26" s="1559"/>
      <c r="GD26" s="1559"/>
      <c r="GE26" s="1559"/>
      <c r="GF26" s="1559"/>
      <c r="GG26" s="1559"/>
      <c r="GH26" s="1559"/>
      <c r="GI26" s="1559"/>
      <c r="GJ26" s="1559"/>
      <c r="GK26" s="1559"/>
      <c r="GL26" s="1559"/>
      <c r="GM26" s="1559"/>
      <c r="GN26" s="1559"/>
      <c r="GO26" s="1559"/>
      <c r="GP26" s="1559"/>
      <c r="GQ26" s="1559"/>
      <c r="GR26" s="1559"/>
      <c r="GS26" s="1559"/>
      <c r="GT26" s="1559"/>
      <c r="GU26" s="1559"/>
      <c r="GV26" s="1559"/>
      <c r="GW26" s="1559"/>
    </row>
    <row r="27" spans="1:205" s="307" customFormat="1" ht="17.25" x14ac:dyDescent="0.3">
      <c r="A27" s="2415" t="str">
        <f t="shared" ref="A27:A33" si="10">IF(A12="","",A12)</f>
        <v/>
      </c>
      <c r="B27" s="2015">
        <f t="shared" si="7"/>
        <v>1</v>
      </c>
      <c r="C27" s="2013">
        <f t="shared" ref="C27:H33" si="11">C26</f>
        <v>0</v>
      </c>
      <c r="D27" s="2013">
        <f t="shared" si="11"/>
        <v>0</v>
      </c>
      <c r="E27" s="2013">
        <f t="shared" si="11"/>
        <v>0</v>
      </c>
      <c r="F27" s="2013">
        <f t="shared" si="11"/>
        <v>0</v>
      </c>
      <c r="G27" s="2013">
        <f t="shared" si="11"/>
        <v>0</v>
      </c>
      <c r="H27" s="2013">
        <f t="shared" si="11"/>
        <v>0</v>
      </c>
      <c r="I27" s="2011">
        <f t="shared" si="8"/>
        <v>1</v>
      </c>
      <c r="J27" s="2374" t="str">
        <f t="shared" si="9"/>
        <v/>
      </c>
      <c r="K27" s="1559"/>
      <c r="L27" s="1559"/>
      <c r="M27" s="1559"/>
      <c r="N27" s="1559"/>
      <c r="O27" s="1559"/>
      <c r="P27" s="1559"/>
      <c r="Q27" s="1559"/>
      <c r="R27" s="1559"/>
      <c r="S27" s="1559"/>
      <c r="T27" s="1559"/>
      <c r="U27" s="1559"/>
      <c r="V27" s="1559"/>
      <c r="W27" s="1559"/>
      <c r="X27" s="1559"/>
      <c r="Y27" s="1559"/>
      <c r="Z27" s="1559"/>
      <c r="AA27" s="1559"/>
      <c r="AB27" s="1559"/>
      <c r="AC27" s="1559"/>
      <c r="AD27" s="1559"/>
      <c r="AE27" s="1559"/>
      <c r="AF27" s="1559"/>
      <c r="AG27" s="1559"/>
      <c r="AH27" s="1559"/>
      <c r="AI27" s="1559"/>
      <c r="AJ27" s="1559"/>
      <c r="AK27" s="1559"/>
      <c r="AL27" s="1559"/>
      <c r="AM27" s="1559"/>
      <c r="AN27" s="1559"/>
      <c r="AO27" s="1559"/>
      <c r="AP27" s="1559"/>
      <c r="AQ27" s="1559"/>
      <c r="AR27" s="1559"/>
      <c r="AS27" s="1559"/>
      <c r="AT27" s="1559"/>
      <c r="AU27" s="1559"/>
      <c r="AV27" s="1559"/>
      <c r="AW27" s="1559"/>
      <c r="AX27" s="1559"/>
      <c r="AY27" s="1559"/>
      <c r="AZ27" s="1559"/>
      <c r="BA27" s="1559"/>
      <c r="BB27" s="1559"/>
      <c r="BC27" s="1559"/>
      <c r="BD27" s="1559"/>
      <c r="BE27" s="1559"/>
      <c r="BF27" s="1559"/>
      <c r="BG27" s="1559"/>
      <c r="BH27" s="1559"/>
      <c r="BI27" s="1559"/>
      <c r="BJ27" s="1559"/>
      <c r="BK27" s="1559"/>
      <c r="BL27" s="1559"/>
      <c r="BM27" s="1559"/>
      <c r="BN27" s="1559"/>
      <c r="BO27" s="1559"/>
      <c r="BP27" s="1559"/>
      <c r="BQ27" s="1559"/>
      <c r="BR27" s="1559"/>
      <c r="BS27" s="1559"/>
      <c r="BT27" s="1559"/>
      <c r="BU27" s="1559"/>
      <c r="BV27" s="1559"/>
      <c r="BW27" s="1559"/>
      <c r="BX27" s="1559"/>
      <c r="BY27" s="1559"/>
      <c r="BZ27" s="1559"/>
      <c r="CA27" s="1559"/>
      <c r="CB27" s="1559"/>
      <c r="CC27" s="1559"/>
      <c r="CD27" s="1559"/>
      <c r="CE27" s="1559"/>
      <c r="CF27" s="1559"/>
      <c r="CG27" s="1559"/>
      <c r="CH27" s="1559"/>
      <c r="CI27" s="1559"/>
      <c r="CJ27" s="1559"/>
      <c r="CK27" s="1559"/>
      <c r="CL27" s="1559"/>
      <c r="CM27" s="1559"/>
      <c r="CN27" s="1559"/>
      <c r="CO27" s="1559"/>
      <c r="CP27" s="1559"/>
      <c r="CQ27" s="1559"/>
      <c r="CR27" s="1559"/>
      <c r="CS27" s="1559"/>
      <c r="CT27" s="1559"/>
      <c r="CU27" s="1559"/>
      <c r="CV27" s="1559"/>
      <c r="CW27" s="1559"/>
      <c r="CX27" s="1559"/>
      <c r="CY27" s="1559"/>
      <c r="CZ27" s="1559"/>
      <c r="DA27" s="1559"/>
      <c r="DB27" s="1559"/>
      <c r="DC27" s="1559"/>
      <c r="DD27" s="1559"/>
      <c r="DE27" s="1559"/>
      <c r="DF27" s="1559"/>
      <c r="DG27" s="1559"/>
      <c r="DH27" s="1559"/>
      <c r="DI27" s="1559"/>
      <c r="DJ27" s="1559"/>
      <c r="DK27" s="1559"/>
      <c r="DL27" s="1559"/>
      <c r="DM27" s="1559"/>
      <c r="DN27" s="1559"/>
      <c r="DO27" s="1559"/>
      <c r="DP27" s="1559"/>
      <c r="DQ27" s="1559"/>
      <c r="DR27" s="1559"/>
      <c r="DS27" s="1559"/>
      <c r="DT27" s="1559"/>
      <c r="DU27" s="1559"/>
      <c r="DV27" s="1559"/>
      <c r="DW27" s="1559"/>
      <c r="DX27" s="1559"/>
      <c r="DY27" s="1559"/>
      <c r="DZ27" s="1559"/>
      <c r="EA27" s="1559"/>
      <c r="EB27" s="1559"/>
      <c r="EC27" s="1559"/>
      <c r="ED27" s="1559"/>
      <c r="EE27" s="1559"/>
      <c r="EF27" s="1559"/>
      <c r="EG27" s="1559"/>
      <c r="EH27" s="1559"/>
      <c r="EI27" s="1559"/>
      <c r="EJ27" s="1559"/>
      <c r="EK27" s="1559"/>
      <c r="EL27" s="1559"/>
      <c r="EM27" s="1559"/>
      <c r="EN27" s="1559"/>
      <c r="EO27" s="1559"/>
      <c r="EP27" s="1559"/>
      <c r="EQ27" s="1559"/>
      <c r="ER27" s="1559"/>
      <c r="ES27" s="1559"/>
      <c r="ET27" s="1559"/>
      <c r="EU27" s="1559"/>
      <c r="EV27" s="1559"/>
      <c r="EW27" s="1559"/>
      <c r="EX27" s="1559"/>
      <c r="EY27" s="1559"/>
      <c r="EZ27" s="1559"/>
      <c r="FA27" s="1559"/>
      <c r="FB27" s="1559"/>
      <c r="FC27" s="1559"/>
      <c r="FD27" s="1559"/>
      <c r="FE27" s="1559"/>
      <c r="FF27" s="1559"/>
      <c r="FG27" s="1559"/>
      <c r="FH27" s="1559"/>
      <c r="FI27" s="1559"/>
      <c r="FJ27" s="1559"/>
      <c r="FK27" s="1559"/>
      <c r="FL27" s="1559"/>
      <c r="FM27" s="1559"/>
      <c r="FN27" s="1559"/>
      <c r="FO27" s="1559"/>
      <c r="FP27" s="1559"/>
      <c r="FQ27" s="1559"/>
      <c r="FR27" s="1559"/>
      <c r="FS27" s="1559"/>
      <c r="FT27" s="1559"/>
      <c r="FU27" s="1559"/>
      <c r="FV27" s="1559"/>
      <c r="FW27" s="1559"/>
      <c r="FX27" s="1559"/>
      <c r="FY27" s="1559"/>
      <c r="FZ27" s="1559"/>
      <c r="GA27" s="1559"/>
      <c r="GB27" s="1559"/>
      <c r="GC27" s="1559"/>
      <c r="GD27" s="1559"/>
      <c r="GE27" s="1559"/>
      <c r="GF27" s="1559"/>
      <c r="GG27" s="1559"/>
      <c r="GH27" s="1559"/>
      <c r="GI27" s="1559"/>
      <c r="GJ27" s="1559"/>
      <c r="GK27" s="1559"/>
      <c r="GL27" s="1559"/>
      <c r="GM27" s="1559"/>
      <c r="GN27" s="1559"/>
      <c r="GO27" s="1559"/>
      <c r="GP27" s="1559"/>
      <c r="GQ27" s="1559"/>
      <c r="GR27" s="1559"/>
      <c r="GS27" s="1559"/>
      <c r="GT27" s="1559"/>
      <c r="GU27" s="1559"/>
      <c r="GV27" s="1559"/>
      <c r="GW27" s="1559"/>
    </row>
    <row r="28" spans="1:205" s="307" customFormat="1" ht="17.25" x14ac:dyDescent="0.3">
      <c r="A28" s="2415" t="str">
        <f t="shared" si="10"/>
        <v/>
      </c>
      <c r="B28" s="2015">
        <f t="shared" si="7"/>
        <v>1</v>
      </c>
      <c r="C28" s="2013">
        <f t="shared" si="11"/>
        <v>0</v>
      </c>
      <c r="D28" s="2013">
        <f t="shared" si="11"/>
        <v>0</v>
      </c>
      <c r="E28" s="2013">
        <f t="shared" si="11"/>
        <v>0</v>
      </c>
      <c r="F28" s="2013">
        <f t="shared" si="11"/>
        <v>0</v>
      </c>
      <c r="G28" s="2013">
        <f t="shared" si="11"/>
        <v>0</v>
      </c>
      <c r="H28" s="2013">
        <f t="shared" si="11"/>
        <v>0</v>
      </c>
      <c r="I28" s="2011">
        <f t="shared" si="8"/>
        <v>1</v>
      </c>
      <c r="J28" s="2374" t="str">
        <f t="shared" si="9"/>
        <v/>
      </c>
      <c r="K28" s="1559"/>
      <c r="L28" s="1559"/>
      <c r="M28" s="1559"/>
      <c r="N28" s="1559"/>
      <c r="O28" s="1559"/>
      <c r="P28" s="1559"/>
      <c r="Q28" s="1559"/>
      <c r="R28" s="1559"/>
      <c r="S28" s="1559"/>
      <c r="T28" s="1559"/>
      <c r="U28" s="1559"/>
      <c r="V28" s="1559"/>
      <c r="W28" s="1559"/>
      <c r="X28" s="1559"/>
      <c r="Y28" s="1559"/>
      <c r="Z28" s="1559"/>
      <c r="AA28" s="1559"/>
      <c r="AB28" s="1559"/>
      <c r="AC28" s="1559"/>
      <c r="AD28" s="1559"/>
      <c r="AE28" s="1559"/>
      <c r="AF28" s="1559"/>
      <c r="AG28" s="1559"/>
      <c r="AH28" s="1559"/>
      <c r="AI28" s="1559"/>
      <c r="AJ28" s="1559"/>
      <c r="AK28" s="1559"/>
      <c r="AL28" s="1559"/>
      <c r="AM28" s="1559"/>
      <c r="AN28" s="1559"/>
      <c r="AO28" s="1559"/>
      <c r="AP28" s="1559"/>
      <c r="AQ28" s="1559"/>
      <c r="AR28" s="1559"/>
      <c r="AS28" s="1559"/>
      <c r="AT28" s="1559"/>
      <c r="AU28" s="1559"/>
      <c r="AV28" s="1559"/>
      <c r="AW28" s="1559"/>
      <c r="AX28" s="1559"/>
      <c r="AY28" s="1559"/>
      <c r="AZ28" s="1559"/>
      <c r="BA28" s="1559"/>
      <c r="BB28" s="1559"/>
      <c r="BC28" s="1559"/>
      <c r="BD28" s="1559"/>
      <c r="BE28" s="1559"/>
      <c r="BF28" s="1559"/>
      <c r="BG28" s="1559"/>
      <c r="BH28" s="1559"/>
      <c r="BI28" s="1559"/>
      <c r="BJ28" s="1559"/>
      <c r="BK28" s="1559"/>
      <c r="BL28" s="1559"/>
      <c r="BM28" s="1559"/>
      <c r="BN28" s="1559"/>
      <c r="BO28" s="1559"/>
      <c r="BP28" s="1559"/>
      <c r="BQ28" s="1559"/>
      <c r="BR28" s="1559"/>
      <c r="BS28" s="1559"/>
      <c r="BT28" s="1559"/>
      <c r="BU28" s="1559"/>
      <c r="BV28" s="1559"/>
      <c r="BW28" s="1559"/>
      <c r="BX28" s="1559"/>
      <c r="BY28" s="1559"/>
      <c r="BZ28" s="1559"/>
      <c r="CA28" s="1559"/>
      <c r="CB28" s="1559"/>
      <c r="CC28" s="1559"/>
      <c r="CD28" s="1559"/>
      <c r="CE28" s="1559"/>
      <c r="CF28" s="1559"/>
      <c r="CG28" s="1559"/>
      <c r="CH28" s="1559"/>
      <c r="CI28" s="1559"/>
      <c r="CJ28" s="1559"/>
      <c r="CK28" s="1559"/>
      <c r="CL28" s="1559"/>
      <c r="CM28" s="1559"/>
      <c r="CN28" s="1559"/>
      <c r="CO28" s="1559"/>
      <c r="CP28" s="1559"/>
      <c r="CQ28" s="1559"/>
      <c r="CR28" s="1559"/>
      <c r="CS28" s="1559"/>
      <c r="CT28" s="1559"/>
      <c r="CU28" s="1559"/>
      <c r="CV28" s="1559"/>
      <c r="CW28" s="1559"/>
      <c r="CX28" s="1559"/>
      <c r="CY28" s="1559"/>
      <c r="CZ28" s="1559"/>
      <c r="DA28" s="1559"/>
      <c r="DB28" s="1559"/>
      <c r="DC28" s="1559"/>
      <c r="DD28" s="1559"/>
      <c r="DE28" s="1559"/>
      <c r="DF28" s="1559"/>
      <c r="DG28" s="1559"/>
      <c r="DH28" s="1559"/>
      <c r="DI28" s="1559"/>
      <c r="DJ28" s="1559"/>
      <c r="DK28" s="1559"/>
      <c r="DL28" s="1559"/>
      <c r="DM28" s="1559"/>
      <c r="DN28" s="1559"/>
      <c r="DO28" s="1559"/>
      <c r="DP28" s="1559"/>
      <c r="DQ28" s="1559"/>
      <c r="DR28" s="1559"/>
      <c r="DS28" s="1559"/>
      <c r="DT28" s="1559"/>
      <c r="DU28" s="1559"/>
      <c r="DV28" s="1559"/>
      <c r="DW28" s="1559"/>
      <c r="DX28" s="1559"/>
      <c r="DY28" s="1559"/>
      <c r="DZ28" s="1559"/>
      <c r="EA28" s="1559"/>
      <c r="EB28" s="1559"/>
      <c r="EC28" s="1559"/>
      <c r="ED28" s="1559"/>
      <c r="EE28" s="1559"/>
      <c r="EF28" s="1559"/>
      <c r="EG28" s="1559"/>
      <c r="EH28" s="1559"/>
      <c r="EI28" s="1559"/>
      <c r="EJ28" s="1559"/>
      <c r="EK28" s="1559"/>
      <c r="EL28" s="1559"/>
      <c r="EM28" s="1559"/>
      <c r="EN28" s="1559"/>
      <c r="EO28" s="1559"/>
      <c r="EP28" s="1559"/>
      <c r="EQ28" s="1559"/>
      <c r="ER28" s="1559"/>
      <c r="ES28" s="1559"/>
      <c r="ET28" s="1559"/>
      <c r="EU28" s="1559"/>
      <c r="EV28" s="1559"/>
      <c r="EW28" s="1559"/>
      <c r="EX28" s="1559"/>
      <c r="EY28" s="1559"/>
      <c r="EZ28" s="1559"/>
      <c r="FA28" s="1559"/>
      <c r="FB28" s="1559"/>
      <c r="FC28" s="1559"/>
      <c r="FD28" s="1559"/>
      <c r="FE28" s="1559"/>
      <c r="FF28" s="1559"/>
      <c r="FG28" s="1559"/>
      <c r="FH28" s="1559"/>
      <c r="FI28" s="1559"/>
      <c r="FJ28" s="1559"/>
      <c r="FK28" s="1559"/>
      <c r="FL28" s="1559"/>
      <c r="FM28" s="1559"/>
      <c r="FN28" s="1559"/>
      <c r="FO28" s="1559"/>
      <c r="FP28" s="1559"/>
      <c r="FQ28" s="1559"/>
      <c r="FR28" s="1559"/>
      <c r="FS28" s="1559"/>
      <c r="FT28" s="1559"/>
      <c r="FU28" s="1559"/>
      <c r="FV28" s="1559"/>
      <c r="FW28" s="1559"/>
      <c r="FX28" s="1559"/>
      <c r="FY28" s="1559"/>
      <c r="FZ28" s="1559"/>
      <c r="GA28" s="1559"/>
      <c r="GB28" s="1559"/>
      <c r="GC28" s="1559"/>
      <c r="GD28" s="1559"/>
      <c r="GE28" s="1559"/>
      <c r="GF28" s="1559"/>
      <c r="GG28" s="1559"/>
      <c r="GH28" s="1559"/>
      <c r="GI28" s="1559"/>
      <c r="GJ28" s="1559"/>
      <c r="GK28" s="1559"/>
      <c r="GL28" s="1559"/>
      <c r="GM28" s="1559"/>
      <c r="GN28" s="1559"/>
      <c r="GO28" s="1559"/>
      <c r="GP28" s="1559"/>
      <c r="GQ28" s="1559"/>
      <c r="GR28" s="1559"/>
      <c r="GS28" s="1559"/>
      <c r="GT28" s="1559"/>
      <c r="GU28" s="1559"/>
      <c r="GV28" s="1559"/>
      <c r="GW28" s="1559"/>
    </row>
    <row r="29" spans="1:205" s="307" customFormat="1" ht="17.25" x14ac:dyDescent="0.3">
      <c r="A29" s="2415" t="str">
        <f t="shared" si="10"/>
        <v/>
      </c>
      <c r="B29" s="2015">
        <f t="shared" si="7"/>
        <v>1</v>
      </c>
      <c r="C29" s="2013">
        <f t="shared" si="11"/>
        <v>0</v>
      </c>
      <c r="D29" s="2013">
        <f t="shared" si="11"/>
        <v>0</v>
      </c>
      <c r="E29" s="2013">
        <f t="shared" si="11"/>
        <v>0</v>
      </c>
      <c r="F29" s="2013">
        <f t="shared" si="11"/>
        <v>0</v>
      </c>
      <c r="G29" s="2013">
        <f t="shared" si="11"/>
        <v>0</v>
      </c>
      <c r="H29" s="2013">
        <f t="shared" si="11"/>
        <v>0</v>
      </c>
      <c r="I29" s="2011">
        <f t="shared" si="8"/>
        <v>1</v>
      </c>
      <c r="J29" s="2374" t="str">
        <f t="shared" si="9"/>
        <v/>
      </c>
      <c r="K29" s="1559"/>
      <c r="L29" s="1559"/>
      <c r="M29" s="1559"/>
      <c r="N29" s="1559"/>
      <c r="O29" s="1559"/>
      <c r="P29" s="1559"/>
      <c r="Q29" s="1559"/>
      <c r="R29" s="1559"/>
      <c r="S29" s="1559"/>
      <c r="T29" s="1559"/>
      <c r="U29" s="1559"/>
      <c r="V29" s="1559"/>
      <c r="W29" s="1559"/>
      <c r="X29" s="1559"/>
      <c r="Y29" s="1559"/>
      <c r="Z29" s="1559"/>
      <c r="AA29" s="1559"/>
      <c r="AB29" s="1559"/>
      <c r="AC29" s="1559"/>
      <c r="AD29" s="1559"/>
      <c r="AE29" s="1559"/>
      <c r="AF29" s="1559"/>
      <c r="AG29" s="1559"/>
      <c r="AH29" s="1559"/>
      <c r="AI29" s="1559"/>
      <c r="AJ29" s="1559"/>
      <c r="AK29" s="1559"/>
      <c r="AL29" s="1559"/>
      <c r="AM29" s="1559"/>
      <c r="AN29" s="1559"/>
      <c r="AO29" s="1559"/>
      <c r="AP29" s="1559"/>
      <c r="AQ29" s="1559"/>
      <c r="AR29" s="1559"/>
      <c r="AS29" s="1559"/>
      <c r="AT29" s="1559"/>
      <c r="AU29" s="1559"/>
      <c r="AV29" s="1559"/>
      <c r="AW29" s="1559"/>
      <c r="AX29" s="1559"/>
      <c r="AY29" s="1559"/>
      <c r="AZ29" s="1559"/>
      <c r="BA29" s="1559"/>
      <c r="BB29" s="1559"/>
      <c r="BC29" s="1559"/>
      <c r="BD29" s="1559"/>
      <c r="BE29" s="1559"/>
      <c r="BF29" s="1559"/>
      <c r="BG29" s="1559"/>
      <c r="BH29" s="1559"/>
      <c r="BI29" s="1559"/>
      <c r="BJ29" s="1559"/>
      <c r="BK29" s="1559"/>
      <c r="BL29" s="1559"/>
      <c r="BM29" s="1559"/>
      <c r="BN29" s="1559"/>
      <c r="BO29" s="1559"/>
      <c r="BP29" s="1559"/>
      <c r="BQ29" s="1559"/>
      <c r="BR29" s="1559"/>
      <c r="BS29" s="1559"/>
      <c r="BT29" s="1559"/>
      <c r="BU29" s="1559"/>
      <c r="BV29" s="1559"/>
      <c r="BW29" s="1559"/>
      <c r="BX29" s="1559"/>
      <c r="BY29" s="1559"/>
      <c r="BZ29" s="1559"/>
      <c r="CA29" s="1559"/>
      <c r="CB29" s="1559"/>
      <c r="CC29" s="1559"/>
      <c r="CD29" s="1559"/>
      <c r="CE29" s="1559"/>
      <c r="CF29" s="1559"/>
      <c r="CG29" s="1559"/>
      <c r="CH29" s="1559"/>
      <c r="CI29" s="1559"/>
      <c r="CJ29" s="1559"/>
      <c r="CK29" s="1559"/>
      <c r="CL29" s="1559"/>
      <c r="CM29" s="1559"/>
      <c r="CN29" s="1559"/>
      <c r="CO29" s="1559"/>
      <c r="CP29" s="1559"/>
      <c r="CQ29" s="1559"/>
      <c r="CR29" s="1559"/>
      <c r="CS29" s="1559"/>
      <c r="CT29" s="1559"/>
      <c r="CU29" s="1559"/>
      <c r="CV29" s="1559"/>
      <c r="CW29" s="1559"/>
      <c r="CX29" s="1559"/>
      <c r="CY29" s="1559"/>
      <c r="CZ29" s="1559"/>
      <c r="DA29" s="1559"/>
      <c r="DB29" s="1559"/>
      <c r="DC29" s="1559"/>
      <c r="DD29" s="1559"/>
      <c r="DE29" s="1559"/>
      <c r="DF29" s="1559"/>
      <c r="DG29" s="1559"/>
      <c r="DH29" s="1559"/>
      <c r="DI29" s="1559"/>
      <c r="DJ29" s="1559"/>
      <c r="DK29" s="1559"/>
      <c r="DL29" s="1559"/>
      <c r="DM29" s="1559"/>
      <c r="DN29" s="1559"/>
      <c r="DO29" s="1559"/>
      <c r="DP29" s="1559"/>
      <c r="DQ29" s="1559"/>
      <c r="DR29" s="1559"/>
      <c r="DS29" s="1559"/>
      <c r="DT29" s="1559"/>
      <c r="DU29" s="1559"/>
      <c r="DV29" s="1559"/>
      <c r="DW29" s="1559"/>
      <c r="DX29" s="1559"/>
      <c r="DY29" s="1559"/>
      <c r="DZ29" s="1559"/>
      <c r="EA29" s="1559"/>
      <c r="EB29" s="1559"/>
      <c r="EC29" s="1559"/>
      <c r="ED29" s="1559"/>
      <c r="EE29" s="1559"/>
      <c r="EF29" s="1559"/>
      <c r="EG29" s="1559"/>
      <c r="EH29" s="1559"/>
      <c r="EI29" s="1559"/>
      <c r="EJ29" s="1559"/>
      <c r="EK29" s="1559"/>
      <c r="EL29" s="1559"/>
      <c r="EM29" s="1559"/>
      <c r="EN29" s="1559"/>
      <c r="EO29" s="1559"/>
      <c r="EP29" s="1559"/>
      <c r="EQ29" s="1559"/>
      <c r="ER29" s="1559"/>
      <c r="ES29" s="1559"/>
      <c r="ET29" s="1559"/>
      <c r="EU29" s="1559"/>
      <c r="EV29" s="1559"/>
      <c r="EW29" s="1559"/>
      <c r="EX29" s="1559"/>
      <c r="EY29" s="1559"/>
      <c r="EZ29" s="1559"/>
      <c r="FA29" s="1559"/>
      <c r="FB29" s="1559"/>
      <c r="FC29" s="1559"/>
      <c r="FD29" s="1559"/>
      <c r="FE29" s="1559"/>
      <c r="FF29" s="1559"/>
      <c r="FG29" s="1559"/>
      <c r="FH29" s="1559"/>
      <c r="FI29" s="1559"/>
      <c r="FJ29" s="1559"/>
      <c r="FK29" s="1559"/>
      <c r="FL29" s="1559"/>
      <c r="FM29" s="1559"/>
      <c r="FN29" s="1559"/>
      <c r="FO29" s="1559"/>
      <c r="FP29" s="1559"/>
      <c r="FQ29" s="1559"/>
      <c r="FR29" s="1559"/>
      <c r="FS29" s="1559"/>
      <c r="FT29" s="1559"/>
      <c r="FU29" s="1559"/>
      <c r="FV29" s="1559"/>
      <c r="FW29" s="1559"/>
      <c r="FX29" s="1559"/>
      <c r="FY29" s="1559"/>
      <c r="FZ29" s="1559"/>
      <c r="GA29" s="1559"/>
      <c r="GB29" s="1559"/>
      <c r="GC29" s="1559"/>
      <c r="GD29" s="1559"/>
      <c r="GE29" s="1559"/>
      <c r="GF29" s="1559"/>
      <c r="GG29" s="1559"/>
      <c r="GH29" s="1559"/>
      <c r="GI29" s="1559"/>
      <c r="GJ29" s="1559"/>
      <c r="GK29" s="1559"/>
      <c r="GL29" s="1559"/>
      <c r="GM29" s="1559"/>
      <c r="GN29" s="1559"/>
      <c r="GO29" s="1559"/>
      <c r="GP29" s="1559"/>
      <c r="GQ29" s="1559"/>
      <c r="GR29" s="1559"/>
      <c r="GS29" s="1559"/>
      <c r="GT29" s="1559"/>
      <c r="GU29" s="1559"/>
      <c r="GV29" s="1559"/>
      <c r="GW29" s="1559"/>
    </row>
    <row r="30" spans="1:205" s="307" customFormat="1" ht="17.25" x14ac:dyDescent="0.3">
      <c r="A30" s="2415" t="str">
        <f t="shared" si="10"/>
        <v/>
      </c>
      <c r="B30" s="2015">
        <f t="shared" si="7"/>
        <v>1</v>
      </c>
      <c r="C30" s="2013">
        <f t="shared" si="11"/>
        <v>0</v>
      </c>
      <c r="D30" s="2013">
        <f t="shared" si="11"/>
        <v>0</v>
      </c>
      <c r="E30" s="2013">
        <f t="shared" si="11"/>
        <v>0</v>
      </c>
      <c r="F30" s="2013">
        <f t="shared" si="11"/>
        <v>0</v>
      </c>
      <c r="G30" s="2013">
        <f t="shared" si="11"/>
        <v>0</v>
      </c>
      <c r="H30" s="2013">
        <f t="shared" si="11"/>
        <v>0</v>
      </c>
      <c r="I30" s="2011">
        <f t="shared" si="8"/>
        <v>1</v>
      </c>
      <c r="J30" s="2374" t="str">
        <f t="shared" si="9"/>
        <v/>
      </c>
      <c r="K30" s="1559"/>
      <c r="L30" s="1559"/>
      <c r="M30" s="1559"/>
      <c r="N30" s="1559"/>
      <c r="O30" s="1559"/>
      <c r="P30" s="1559"/>
      <c r="Q30" s="1559"/>
      <c r="R30" s="1559"/>
      <c r="S30" s="1559"/>
      <c r="T30" s="1559"/>
      <c r="U30" s="1559"/>
      <c r="V30" s="1559"/>
      <c r="W30" s="1559"/>
      <c r="X30" s="1559"/>
      <c r="Y30" s="1559"/>
      <c r="Z30" s="1559"/>
      <c r="AA30" s="1559"/>
      <c r="AB30" s="1559"/>
      <c r="AC30" s="1559"/>
      <c r="AD30" s="1559"/>
      <c r="AE30" s="1559"/>
      <c r="AF30" s="1559"/>
      <c r="AG30" s="1559"/>
      <c r="AH30" s="1559"/>
      <c r="AI30" s="1559"/>
      <c r="AJ30" s="1559"/>
      <c r="AK30" s="1559"/>
      <c r="AL30" s="1559"/>
      <c r="AM30" s="1559"/>
      <c r="AN30" s="1559"/>
      <c r="AO30" s="1559"/>
      <c r="AP30" s="1559"/>
      <c r="AQ30" s="1559"/>
      <c r="AR30" s="1559"/>
      <c r="AS30" s="1559"/>
      <c r="AT30" s="1559"/>
      <c r="AU30" s="1559"/>
      <c r="AV30" s="1559"/>
      <c r="AW30" s="1559"/>
      <c r="AX30" s="1559"/>
      <c r="AY30" s="1559"/>
      <c r="AZ30" s="1559"/>
      <c r="BA30" s="1559"/>
      <c r="BB30" s="1559"/>
      <c r="BC30" s="1559"/>
      <c r="BD30" s="1559"/>
      <c r="BE30" s="1559"/>
      <c r="BF30" s="1559"/>
      <c r="BG30" s="1559"/>
      <c r="BH30" s="1559"/>
      <c r="BI30" s="1559"/>
      <c r="BJ30" s="1559"/>
      <c r="BK30" s="1559"/>
      <c r="BL30" s="1559"/>
      <c r="BM30" s="1559"/>
      <c r="BN30" s="1559"/>
      <c r="BO30" s="1559"/>
      <c r="BP30" s="1559"/>
      <c r="BQ30" s="1559"/>
      <c r="BR30" s="1559"/>
      <c r="BS30" s="1559"/>
      <c r="BT30" s="1559"/>
      <c r="BU30" s="1559"/>
      <c r="BV30" s="1559"/>
      <c r="BW30" s="1559"/>
      <c r="BX30" s="1559"/>
      <c r="BY30" s="1559"/>
      <c r="BZ30" s="1559"/>
      <c r="CA30" s="1559"/>
      <c r="CB30" s="1559"/>
      <c r="CC30" s="1559"/>
      <c r="CD30" s="1559"/>
      <c r="CE30" s="1559"/>
      <c r="CF30" s="1559"/>
      <c r="CG30" s="1559"/>
      <c r="CH30" s="1559"/>
      <c r="CI30" s="1559"/>
      <c r="CJ30" s="1559"/>
      <c r="CK30" s="1559"/>
      <c r="CL30" s="1559"/>
      <c r="CM30" s="1559"/>
      <c r="CN30" s="1559"/>
      <c r="CO30" s="1559"/>
      <c r="CP30" s="1559"/>
      <c r="CQ30" s="1559"/>
      <c r="CR30" s="1559"/>
      <c r="CS30" s="1559"/>
      <c r="CT30" s="1559"/>
      <c r="CU30" s="1559"/>
      <c r="CV30" s="1559"/>
      <c r="CW30" s="1559"/>
      <c r="CX30" s="1559"/>
      <c r="CY30" s="1559"/>
      <c r="CZ30" s="1559"/>
      <c r="DA30" s="1559"/>
      <c r="DB30" s="1559"/>
      <c r="DC30" s="1559"/>
      <c r="DD30" s="1559"/>
      <c r="DE30" s="1559"/>
      <c r="DF30" s="1559"/>
      <c r="DG30" s="1559"/>
      <c r="DH30" s="1559"/>
      <c r="DI30" s="1559"/>
      <c r="DJ30" s="1559"/>
      <c r="DK30" s="1559"/>
      <c r="DL30" s="1559"/>
      <c r="DM30" s="1559"/>
      <c r="DN30" s="1559"/>
      <c r="DO30" s="1559"/>
      <c r="DP30" s="1559"/>
      <c r="DQ30" s="1559"/>
      <c r="DR30" s="1559"/>
      <c r="DS30" s="1559"/>
      <c r="DT30" s="1559"/>
      <c r="DU30" s="1559"/>
      <c r="DV30" s="1559"/>
      <c r="DW30" s="1559"/>
      <c r="DX30" s="1559"/>
      <c r="DY30" s="1559"/>
      <c r="DZ30" s="1559"/>
      <c r="EA30" s="1559"/>
      <c r="EB30" s="1559"/>
      <c r="EC30" s="1559"/>
      <c r="ED30" s="1559"/>
      <c r="EE30" s="1559"/>
      <c r="EF30" s="1559"/>
      <c r="EG30" s="1559"/>
      <c r="EH30" s="1559"/>
      <c r="EI30" s="1559"/>
      <c r="EJ30" s="1559"/>
      <c r="EK30" s="1559"/>
      <c r="EL30" s="1559"/>
      <c r="EM30" s="1559"/>
      <c r="EN30" s="1559"/>
      <c r="EO30" s="1559"/>
      <c r="EP30" s="1559"/>
      <c r="EQ30" s="1559"/>
      <c r="ER30" s="1559"/>
      <c r="ES30" s="1559"/>
      <c r="ET30" s="1559"/>
      <c r="EU30" s="1559"/>
      <c r="EV30" s="1559"/>
      <c r="EW30" s="1559"/>
      <c r="EX30" s="1559"/>
      <c r="EY30" s="1559"/>
      <c r="EZ30" s="1559"/>
      <c r="FA30" s="1559"/>
      <c r="FB30" s="1559"/>
      <c r="FC30" s="1559"/>
      <c r="FD30" s="1559"/>
      <c r="FE30" s="1559"/>
      <c r="FF30" s="1559"/>
      <c r="FG30" s="1559"/>
      <c r="FH30" s="1559"/>
      <c r="FI30" s="1559"/>
      <c r="FJ30" s="1559"/>
      <c r="FK30" s="1559"/>
      <c r="FL30" s="1559"/>
      <c r="FM30" s="1559"/>
      <c r="FN30" s="1559"/>
      <c r="FO30" s="1559"/>
      <c r="FP30" s="1559"/>
      <c r="FQ30" s="1559"/>
      <c r="FR30" s="1559"/>
      <c r="FS30" s="1559"/>
      <c r="FT30" s="1559"/>
      <c r="FU30" s="1559"/>
      <c r="FV30" s="1559"/>
      <c r="FW30" s="1559"/>
      <c r="FX30" s="1559"/>
      <c r="FY30" s="1559"/>
      <c r="FZ30" s="1559"/>
      <c r="GA30" s="1559"/>
      <c r="GB30" s="1559"/>
      <c r="GC30" s="1559"/>
      <c r="GD30" s="1559"/>
      <c r="GE30" s="1559"/>
      <c r="GF30" s="1559"/>
      <c r="GG30" s="1559"/>
      <c r="GH30" s="1559"/>
      <c r="GI30" s="1559"/>
      <c r="GJ30" s="1559"/>
      <c r="GK30" s="1559"/>
      <c r="GL30" s="1559"/>
      <c r="GM30" s="1559"/>
      <c r="GN30" s="1559"/>
      <c r="GO30" s="1559"/>
      <c r="GP30" s="1559"/>
      <c r="GQ30" s="1559"/>
      <c r="GR30" s="1559"/>
      <c r="GS30" s="1559"/>
      <c r="GT30" s="1559"/>
      <c r="GU30" s="1559"/>
      <c r="GV30" s="1559"/>
      <c r="GW30" s="1559"/>
    </row>
    <row r="31" spans="1:205" s="307" customFormat="1" ht="17.25" x14ac:dyDescent="0.3">
      <c r="A31" s="2415" t="str">
        <f t="shared" si="10"/>
        <v/>
      </c>
      <c r="B31" s="2015">
        <f t="shared" si="7"/>
        <v>1</v>
      </c>
      <c r="C31" s="2013">
        <f t="shared" si="11"/>
        <v>0</v>
      </c>
      <c r="D31" s="2013">
        <f t="shared" si="11"/>
        <v>0</v>
      </c>
      <c r="E31" s="2013">
        <f t="shared" si="11"/>
        <v>0</v>
      </c>
      <c r="F31" s="2013">
        <f t="shared" si="11"/>
        <v>0</v>
      </c>
      <c r="G31" s="2013">
        <f t="shared" si="11"/>
        <v>0</v>
      </c>
      <c r="H31" s="2013">
        <f t="shared" si="11"/>
        <v>0</v>
      </c>
      <c r="I31" s="2011">
        <f t="shared" si="8"/>
        <v>1</v>
      </c>
      <c r="J31" s="2374" t="str">
        <f t="shared" si="9"/>
        <v/>
      </c>
      <c r="K31" s="1559"/>
      <c r="L31" s="1559"/>
      <c r="M31" s="1559"/>
      <c r="N31" s="1559"/>
      <c r="O31" s="1559"/>
      <c r="P31" s="1559"/>
      <c r="Q31" s="1559"/>
      <c r="R31" s="1559"/>
      <c r="S31" s="1559"/>
      <c r="T31" s="1559"/>
      <c r="U31" s="1559"/>
      <c r="V31" s="1559"/>
      <c r="W31" s="1559"/>
      <c r="X31" s="1559"/>
      <c r="Y31" s="1559"/>
      <c r="Z31" s="1559"/>
      <c r="AA31" s="1559"/>
      <c r="AB31" s="1559"/>
      <c r="AC31" s="1559"/>
      <c r="AD31" s="1559"/>
      <c r="AE31" s="1559"/>
      <c r="AF31" s="1559"/>
      <c r="AG31" s="1559"/>
      <c r="AH31" s="1559"/>
      <c r="AI31" s="1559"/>
      <c r="AJ31" s="1559"/>
      <c r="AK31" s="1559"/>
      <c r="AL31" s="1559"/>
      <c r="AM31" s="1559"/>
      <c r="AN31" s="1559"/>
      <c r="AO31" s="1559"/>
      <c r="AP31" s="1559"/>
      <c r="AQ31" s="1559"/>
      <c r="AR31" s="1559"/>
      <c r="AS31" s="1559"/>
      <c r="AT31" s="1559"/>
      <c r="AU31" s="1559"/>
      <c r="AV31" s="1559"/>
      <c r="AW31" s="1559"/>
      <c r="AX31" s="1559"/>
      <c r="AY31" s="1559"/>
      <c r="AZ31" s="1559"/>
      <c r="BA31" s="1559"/>
      <c r="BB31" s="1559"/>
      <c r="BC31" s="1559"/>
      <c r="BD31" s="1559"/>
      <c r="BE31" s="1559"/>
      <c r="BF31" s="1559"/>
      <c r="BG31" s="1559"/>
      <c r="BH31" s="1559"/>
      <c r="BI31" s="1559"/>
      <c r="BJ31" s="1559"/>
      <c r="BK31" s="1559"/>
      <c r="BL31" s="1559"/>
      <c r="BM31" s="1559"/>
      <c r="BN31" s="1559"/>
      <c r="BO31" s="1559"/>
      <c r="BP31" s="1559"/>
      <c r="BQ31" s="1559"/>
      <c r="BR31" s="1559"/>
      <c r="BS31" s="1559"/>
      <c r="BT31" s="1559"/>
      <c r="BU31" s="1559"/>
      <c r="BV31" s="1559"/>
      <c r="BW31" s="1559"/>
      <c r="BX31" s="1559"/>
      <c r="BY31" s="1559"/>
      <c r="BZ31" s="1559"/>
      <c r="CA31" s="1559"/>
      <c r="CB31" s="1559"/>
      <c r="CC31" s="1559"/>
      <c r="CD31" s="1559"/>
      <c r="CE31" s="1559"/>
      <c r="CF31" s="1559"/>
      <c r="CG31" s="1559"/>
      <c r="CH31" s="1559"/>
      <c r="CI31" s="1559"/>
      <c r="CJ31" s="1559"/>
      <c r="CK31" s="1559"/>
      <c r="CL31" s="1559"/>
      <c r="CM31" s="1559"/>
      <c r="CN31" s="1559"/>
      <c r="CO31" s="1559"/>
      <c r="CP31" s="1559"/>
      <c r="CQ31" s="1559"/>
      <c r="CR31" s="1559"/>
      <c r="CS31" s="1559"/>
      <c r="CT31" s="1559"/>
      <c r="CU31" s="1559"/>
      <c r="CV31" s="1559"/>
      <c r="CW31" s="1559"/>
      <c r="CX31" s="1559"/>
      <c r="CY31" s="1559"/>
      <c r="CZ31" s="1559"/>
      <c r="DA31" s="1559"/>
      <c r="DB31" s="1559"/>
      <c r="DC31" s="1559"/>
      <c r="DD31" s="1559"/>
      <c r="DE31" s="1559"/>
      <c r="DF31" s="1559"/>
      <c r="DG31" s="1559"/>
      <c r="DH31" s="1559"/>
      <c r="DI31" s="1559"/>
      <c r="DJ31" s="1559"/>
      <c r="DK31" s="1559"/>
      <c r="DL31" s="1559"/>
      <c r="DM31" s="1559"/>
      <c r="DN31" s="1559"/>
      <c r="DO31" s="1559"/>
      <c r="DP31" s="1559"/>
      <c r="DQ31" s="1559"/>
      <c r="DR31" s="1559"/>
      <c r="DS31" s="1559"/>
      <c r="DT31" s="1559"/>
      <c r="DU31" s="1559"/>
      <c r="DV31" s="1559"/>
      <c r="DW31" s="1559"/>
      <c r="DX31" s="1559"/>
      <c r="DY31" s="1559"/>
      <c r="DZ31" s="1559"/>
      <c r="EA31" s="1559"/>
      <c r="EB31" s="1559"/>
      <c r="EC31" s="1559"/>
      <c r="ED31" s="1559"/>
      <c r="EE31" s="1559"/>
      <c r="EF31" s="1559"/>
      <c r="EG31" s="1559"/>
      <c r="EH31" s="1559"/>
      <c r="EI31" s="1559"/>
      <c r="EJ31" s="1559"/>
      <c r="EK31" s="1559"/>
      <c r="EL31" s="1559"/>
      <c r="EM31" s="1559"/>
      <c r="EN31" s="1559"/>
      <c r="EO31" s="1559"/>
      <c r="EP31" s="1559"/>
      <c r="EQ31" s="1559"/>
      <c r="ER31" s="1559"/>
      <c r="ES31" s="1559"/>
      <c r="ET31" s="1559"/>
      <c r="EU31" s="1559"/>
      <c r="EV31" s="1559"/>
      <c r="EW31" s="1559"/>
      <c r="EX31" s="1559"/>
      <c r="EY31" s="1559"/>
      <c r="EZ31" s="1559"/>
      <c r="FA31" s="1559"/>
      <c r="FB31" s="1559"/>
      <c r="FC31" s="1559"/>
      <c r="FD31" s="1559"/>
      <c r="FE31" s="1559"/>
      <c r="FF31" s="1559"/>
      <c r="FG31" s="1559"/>
      <c r="FH31" s="1559"/>
      <c r="FI31" s="1559"/>
      <c r="FJ31" s="1559"/>
      <c r="FK31" s="1559"/>
      <c r="FL31" s="1559"/>
      <c r="FM31" s="1559"/>
      <c r="FN31" s="1559"/>
      <c r="FO31" s="1559"/>
      <c r="FP31" s="1559"/>
      <c r="FQ31" s="1559"/>
      <c r="FR31" s="1559"/>
      <c r="FS31" s="1559"/>
      <c r="FT31" s="1559"/>
      <c r="FU31" s="1559"/>
      <c r="FV31" s="1559"/>
      <c r="FW31" s="1559"/>
      <c r="FX31" s="1559"/>
      <c r="FY31" s="1559"/>
      <c r="FZ31" s="1559"/>
      <c r="GA31" s="1559"/>
      <c r="GB31" s="1559"/>
      <c r="GC31" s="1559"/>
      <c r="GD31" s="1559"/>
      <c r="GE31" s="1559"/>
      <c r="GF31" s="1559"/>
      <c r="GG31" s="1559"/>
      <c r="GH31" s="1559"/>
      <c r="GI31" s="1559"/>
      <c r="GJ31" s="1559"/>
      <c r="GK31" s="1559"/>
      <c r="GL31" s="1559"/>
      <c r="GM31" s="1559"/>
      <c r="GN31" s="1559"/>
      <c r="GO31" s="1559"/>
      <c r="GP31" s="1559"/>
      <c r="GQ31" s="1559"/>
      <c r="GR31" s="1559"/>
      <c r="GS31" s="1559"/>
      <c r="GT31" s="1559"/>
      <c r="GU31" s="1559"/>
      <c r="GV31" s="1559"/>
      <c r="GW31" s="1559"/>
    </row>
    <row r="32" spans="1:205" s="307" customFormat="1" ht="17.25" x14ac:dyDescent="0.3">
      <c r="A32" s="2415" t="str">
        <f t="shared" si="10"/>
        <v/>
      </c>
      <c r="B32" s="2015">
        <f t="shared" si="7"/>
        <v>1</v>
      </c>
      <c r="C32" s="2013">
        <f t="shared" si="11"/>
        <v>0</v>
      </c>
      <c r="D32" s="2013">
        <f t="shared" si="11"/>
        <v>0</v>
      </c>
      <c r="E32" s="2013">
        <f t="shared" si="11"/>
        <v>0</v>
      </c>
      <c r="F32" s="2013">
        <f t="shared" si="11"/>
        <v>0</v>
      </c>
      <c r="G32" s="2013">
        <f t="shared" si="11"/>
        <v>0</v>
      </c>
      <c r="H32" s="2013">
        <f t="shared" si="11"/>
        <v>0</v>
      </c>
      <c r="I32" s="2011">
        <f t="shared" si="8"/>
        <v>1</v>
      </c>
      <c r="J32" s="2374" t="str">
        <f t="shared" si="9"/>
        <v/>
      </c>
      <c r="K32" s="1559"/>
      <c r="L32" s="1559"/>
      <c r="M32" s="1559"/>
      <c r="N32" s="1559"/>
      <c r="O32" s="1559"/>
      <c r="P32" s="1559"/>
      <c r="Q32" s="1559"/>
      <c r="R32" s="1559"/>
      <c r="S32" s="1559"/>
      <c r="T32" s="1559"/>
      <c r="U32" s="1559"/>
      <c r="V32" s="1559"/>
      <c r="W32" s="1559"/>
      <c r="X32" s="1559"/>
      <c r="Y32" s="1559"/>
      <c r="Z32" s="1559"/>
      <c r="AA32" s="1559"/>
      <c r="AB32" s="1559"/>
      <c r="AC32" s="1559"/>
      <c r="AD32" s="1559"/>
      <c r="AE32" s="1559"/>
      <c r="AF32" s="1559"/>
      <c r="AG32" s="1559"/>
      <c r="AH32" s="1559"/>
      <c r="AI32" s="1559"/>
      <c r="AJ32" s="1559"/>
      <c r="AK32" s="1559"/>
      <c r="AL32" s="1559"/>
      <c r="AM32" s="1559"/>
      <c r="AN32" s="1559"/>
      <c r="AO32" s="1559"/>
      <c r="AP32" s="1559"/>
      <c r="AQ32" s="1559"/>
      <c r="AR32" s="1559"/>
      <c r="AS32" s="1559"/>
      <c r="AT32" s="1559"/>
      <c r="AU32" s="1559"/>
      <c r="AV32" s="1559"/>
      <c r="AW32" s="1559"/>
      <c r="AX32" s="1559"/>
      <c r="AY32" s="1559"/>
      <c r="AZ32" s="1559"/>
      <c r="BA32" s="1559"/>
      <c r="BB32" s="1559"/>
      <c r="BC32" s="1559"/>
      <c r="BD32" s="1559"/>
      <c r="BE32" s="1559"/>
      <c r="BF32" s="1559"/>
      <c r="BG32" s="1559"/>
      <c r="BH32" s="1559"/>
      <c r="BI32" s="1559"/>
      <c r="BJ32" s="1559"/>
      <c r="BK32" s="1559"/>
      <c r="BL32" s="1559"/>
      <c r="BM32" s="1559"/>
      <c r="BN32" s="1559"/>
      <c r="BO32" s="1559"/>
      <c r="BP32" s="1559"/>
      <c r="BQ32" s="1559"/>
      <c r="BR32" s="1559"/>
      <c r="BS32" s="1559"/>
      <c r="BT32" s="1559"/>
      <c r="BU32" s="1559"/>
      <c r="BV32" s="1559"/>
      <c r="BW32" s="1559"/>
      <c r="BX32" s="1559"/>
      <c r="BY32" s="1559"/>
      <c r="BZ32" s="1559"/>
      <c r="CA32" s="1559"/>
      <c r="CB32" s="1559"/>
      <c r="CC32" s="1559"/>
      <c r="CD32" s="1559"/>
      <c r="CE32" s="1559"/>
      <c r="CF32" s="1559"/>
      <c r="CG32" s="1559"/>
      <c r="CH32" s="1559"/>
      <c r="CI32" s="1559"/>
      <c r="CJ32" s="1559"/>
      <c r="CK32" s="1559"/>
      <c r="CL32" s="1559"/>
      <c r="CM32" s="1559"/>
      <c r="CN32" s="1559"/>
      <c r="CO32" s="1559"/>
      <c r="CP32" s="1559"/>
      <c r="CQ32" s="1559"/>
      <c r="CR32" s="1559"/>
      <c r="CS32" s="1559"/>
      <c r="CT32" s="1559"/>
      <c r="CU32" s="1559"/>
      <c r="CV32" s="1559"/>
      <c r="CW32" s="1559"/>
      <c r="CX32" s="1559"/>
      <c r="CY32" s="1559"/>
      <c r="CZ32" s="1559"/>
      <c r="DA32" s="1559"/>
      <c r="DB32" s="1559"/>
      <c r="DC32" s="1559"/>
      <c r="DD32" s="1559"/>
      <c r="DE32" s="1559"/>
      <c r="DF32" s="1559"/>
      <c r="DG32" s="1559"/>
      <c r="DH32" s="1559"/>
      <c r="DI32" s="1559"/>
      <c r="DJ32" s="1559"/>
      <c r="DK32" s="1559"/>
      <c r="DL32" s="1559"/>
      <c r="DM32" s="1559"/>
      <c r="DN32" s="1559"/>
      <c r="DO32" s="1559"/>
      <c r="DP32" s="1559"/>
      <c r="DQ32" s="1559"/>
      <c r="DR32" s="1559"/>
      <c r="DS32" s="1559"/>
      <c r="DT32" s="1559"/>
      <c r="DU32" s="1559"/>
      <c r="DV32" s="1559"/>
      <c r="DW32" s="1559"/>
      <c r="DX32" s="1559"/>
      <c r="DY32" s="1559"/>
      <c r="DZ32" s="1559"/>
      <c r="EA32" s="1559"/>
      <c r="EB32" s="1559"/>
      <c r="EC32" s="1559"/>
      <c r="ED32" s="1559"/>
      <c r="EE32" s="1559"/>
      <c r="EF32" s="1559"/>
      <c r="EG32" s="1559"/>
      <c r="EH32" s="1559"/>
      <c r="EI32" s="1559"/>
      <c r="EJ32" s="1559"/>
      <c r="EK32" s="1559"/>
      <c r="EL32" s="1559"/>
      <c r="EM32" s="1559"/>
      <c r="EN32" s="1559"/>
      <c r="EO32" s="1559"/>
      <c r="EP32" s="1559"/>
      <c r="EQ32" s="1559"/>
      <c r="ER32" s="1559"/>
      <c r="ES32" s="1559"/>
      <c r="ET32" s="1559"/>
      <c r="EU32" s="1559"/>
      <c r="EV32" s="1559"/>
      <c r="EW32" s="1559"/>
      <c r="EX32" s="1559"/>
      <c r="EY32" s="1559"/>
      <c r="EZ32" s="1559"/>
      <c r="FA32" s="1559"/>
      <c r="FB32" s="1559"/>
      <c r="FC32" s="1559"/>
      <c r="FD32" s="1559"/>
      <c r="FE32" s="1559"/>
      <c r="FF32" s="1559"/>
      <c r="FG32" s="1559"/>
      <c r="FH32" s="1559"/>
      <c r="FI32" s="1559"/>
      <c r="FJ32" s="1559"/>
      <c r="FK32" s="1559"/>
      <c r="FL32" s="1559"/>
      <c r="FM32" s="1559"/>
      <c r="FN32" s="1559"/>
      <c r="FO32" s="1559"/>
      <c r="FP32" s="1559"/>
      <c r="FQ32" s="1559"/>
      <c r="FR32" s="1559"/>
      <c r="FS32" s="1559"/>
      <c r="FT32" s="1559"/>
      <c r="FU32" s="1559"/>
      <c r="FV32" s="1559"/>
      <c r="FW32" s="1559"/>
      <c r="FX32" s="1559"/>
      <c r="FY32" s="1559"/>
      <c r="FZ32" s="1559"/>
      <c r="GA32" s="1559"/>
      <c r="GB32" s="1559"/>
      <c r="GC32" s="1559"/>
      <c r="GD32" s="1559"/>
      <c r="GE32" s="1559"/>
      <c r="GF32" s="1559"/>
      <c r="GG32" s="1559"/>
      <c r="GH32" s="1559"/>
      <c r="GI32" s="1559"/>
      <c r="GJ32" s="1559"/>
      <c r="GK32" s="1559"/>
      <c r="GL32" s="1559"/>
      <c r="GM32" s="1559"/>
      <c r="GN32" s="1559"/>
      <c r="GO32" s="1559"/>
      <c r="GP32" s="1559"/>
      <c r="GQ32" s="1559"/>
      <c r="GR32" s="1559"/>
      <c r="GS32" s="1559"/>
      <c r="GT32" s="1559"/>
      <c r="GU32" s="1559"/>
      <c r="GV32" s="1559"/>
      <c r="GW32" s="1559"/>
    </row>
    <row r="33" spans="1:205" s="307" customFormat="1" ht="18" thickBot="1" x14ac:dyDescent="0.35">
      <c r="A33" s="2416" t="str">
        <f t="shared" si="10"/>
        <v/>
      </c>
      <c r="B33" s="2016">
        <f t="shared" si="7"/>
        <v>1</v>
      </c>
      <c r="C33" s="2014">
        <f t="shared" si="11"/>
        <v>0</v>
      </c>
      <c r="D33" s="2014">
        <f t="shared" si="11"/>
        <v>0</v>
      </c>
      <c r="E33" s="2014">
        <f t="shared" si="11"/>
        <v>0</v>
      </c>
      <c r="F33" s="2014">
        <f t="shared" si="11"/>
        <v>0</v>
      </c>
      <c r="G33" s="2014">
        <f t="shared" si="11"/>
        <v>0</v>
      </c>
      <c r="H33" s="2014">
        <f t="shared" si="11"/>
        <v>0</v>
      </c>
      <c r="I33" s="2012">
        <f t="shared" si="8"/>
        <v>1</v>
      </c>
      <c r="J33" s="2374" t="str">
        <f t="shared" si="9"/>
        <v/>
      </c>
      <c r="K33" s="1559"/>
      <c r="L33" s="1559"/>
      <c r="M33" s="1559"/>
      <c r="N33" s="1559"/>
      <c r="O33" s="1559"/>
      <c r="P33" s="1559"/>
      <c r="Q33" s="1559"/>
      <c r="R33" s="1559"/>
      <c r="S33" s="1559"/>
      <c r="T33" s="1559"/>
      <c r="U33" s="1559"/>
      <c r="V33" s="1559"/>
      <c r="W33" s="1559"/>
      <c r="X33" s="1559"/>
      <c r="Y33" s="1559"/>
      <c r="Z33" s="1559"/>
      <c r="AA33" s="1559"/>
      <c r="AB33" s="1559"/>
      <c r="AC33" s="1559"/>
      <c r="AD33" s="1559"/>
      <c r="AE33" s="1559"/>
      <c r="AF33" s="1559"/>
      <c r="AG33" s="1559"/>
      <c r="AH33" s="1559"/>
      <c r="AI33" s="1559"/>
      <c r="AJ33" s="1559"/>
      <c r="AK33" s="1559"/>
      <c r="AL33" s="1559"/>
      <c r="AM33" s="1559"/>
      <c r="AN33" s="1559"/>
      <c r="AO33" s="1559"/>
      <c r="AP33" s="1559"/>
      <c r="AQ33" s="1559"/>
      <c r="AR33" s="1559"/>
      <c r="AS33" s="1559"/>
      <c r="AT33" s="1559"/>
      <c r="AU33" s="1559"/>
      <c r="AV33" s="1559"/>
      <c r="AW33" s="1559"/>
      <c r="AX33" s="1559"/>
      <c r="AY33" s="1559"/>
      <c r="AZ33" s="1559"/>
      <c r="BA33" s="1559"/>
      <c r="BB33" s="1559"/>
      <c r="BC33" s="1559"/>
      <c r="BD33" s="1559"/>
      <c r="BE33" s="1559"/>
      <c r="BF33" s="1559"/>
      <c r="BG33" s="1559"/>
      <c r="BH33" s="1559"/>
      <c r="BI33" s="1559"/>
      <c r="BJ33" s="1559"/>
      <c r="BK33" s="1559"/>
      <c r="BL33" s="1559"/>
      <c r="BM33" s="1559"/>
      <c r="BN33" s="1559"/>
      <c r="BO33" s="1559"/>
      <c r="BP33" s="1559"/>
      <c r="BQ33" s="1559"/>
      <c r="BR33" s="1559"/>
      <c r="BS33" s="1559"/>
      <c r="BT33" s="1559"/>
      <c r="BU33" s="1559"/>
      <c r="BV33" s="1559"/>
      <c r="BW33" s="1559"/>
      <c r="BX33" s="1559"/>
      <c r="BY33" s="1559"/>
      <c r="BZ33" s="1559"/>
      <c r="CA33" s="1559"/>
      <c r="CB33" s="1559"/>
      <c r="CC33" s="1559"/>
      <c r="CD33" s="1559"/>
      <c r="CE33" s="1559"/>
      <c r="CF33" s="1559"/>
      <c r="CG33" s="1559"/>
      <c r="CH33" s="1559"/>
      <c r="CI33" s="1559"/>
      <c r="CJ33" s="1559"/>
      <c r="CK33" s="1559"/>
      <c r="CL33" s="1559"/>
      <c r="CM33" s="1559"/>
      <c r="CN33" s="1559"/>
      <c r="CO33" s="1559"/>
      <c r="CP33" s="1559"/>
      <c r="CQ33" s="1559"/>
      <c r="CR33" s="1559"/>
      <c r="CS33" s="1559"/>
      <c r="CT33" s="1559"/>
      <c r="CU33" s="1559"/>
      <c r="CV33" s="1559"/>
      <c r="CW33" s="1559"/>
      <c r="CX33" s="1559"/>
      <c r="CY33" s="1559"/>
      <c r="CZ33" s="1559"/>
      <c r="DA33" s="1559"/>
      <c r="DB33" s="1559"/>
      <c r="DC33" s="1559"/>
      <c r="DD33" s="1559"/>
      <c r="DE33" s="1559"/>
      <c r="DF33" s="1559"/>
      <c r="DG33" s="1559"/>
      <c r="DH33" s="1559"/>
      <c r="DI33" s="1559"/>
      <c r="DJ33" s="1559"/>
      <c r="DK33" s="1559"/>
      <c r="DL33" s="1559"/>
      <c r="DM33" s="1559"/>
      <c r="DN33" s="1559"/>
      <c r="DO33" s="1559"/>
      <c r="DP33" s="1559"/>
      <c r="DQ33" s="1559"/>
      <c r="DR33" s="1559"/>
      <c r="DS33" s="1559"/>
      <c r="DT33" s="1559"/>
      <c r="DU33" s="1559"/>
      <c r="DV33" s="1559"/>
      <c r="DW33" s="1559"/>
      <c r="DX33" s="1559"/>
      <c r="DY33" s="1559"/>
      <c r="DZ33" s="1559"/>
      <c r="EA33" s="1559"/>
      <c r="EB33" s="1559"/>
      <c r="EC33" s="1559"/>
      <c r="ED33" s="1559"/>
      <c r="EE33" s="1559"/>
      <c r="EF33" s="1559"/>
      <c r="EG33" s="1559"/>
      <c r="EH33" s="1559"/>
      <c r="EI33" s="1559"/>
      <c r="EJ33" s="1559"/>
      <c r="EK33" s="1559"/>
      <c r="EL33" s="1559"/>
      <c r="EM33" s="1559"/>
      <c r="EN33" s="1559"/>
      <c r="EO33" s="1559"/>
      <c r="EP33" s="1559"/>
      <c r="EQ33" s="1559"/>
      <c r="ER33" s="1559"/>
      <c r="ES33" s="1559"/>
      <c r="ET33" s="1559"/>
      <c r="EU33" s="1559"/>
      <c r="EV33" s="1559"/>
      <c r="EW33" s="1559"/>
      <c r="EX33" s="1559"/>
      <c r="EY33" s="1559"/>
      <c r="EZ33" s="1559"/>
      <c r="FA33" s="1559"/>
      <c r="FB33" s="1559"/>
      <c r="FC33" s="1559"/>
      <c r="FD33" s="1559"/>
      <c r="FE33" s="1559"/>
      <c r="FF33" s="1559"/>
      <c r="FG33" s="1559"/>
      <c r="FH33" s="1559"/>
      <c r="FI33" s="1559"/>
      <c r="FJ33" s="1559"/>
      <c r="FK33" s="1559"/>
      <c r="FL33" s="1559"/>
      <c r="FM33" s="1559"/>
      <c r="FN33" s="1559"/>
      <c r="FO33" s="1559"/>
      <c r="FP33" s="1559"/>
      <c r="FQ33" s="1559"/>
      <c r="FR33" s="1559"/>
      <c r="FS33" s="1559"/>
      <c r="FT33" s="1559"/>
      <c r="FU33" s="1559"/>
      <c r="FV33" s="1559"/>
      <c r="FW33" s="1559"/>
      <c r="FX33" s="1559"/>
      <c r="FY33" s="1559"/>
      <c r="FZ33" s="1559"/>
      <c r="GA33" s="1559"/>
      <c r="GB33" s="1559"/>
      <c r="GC33" s="1559"/>
      <c r="GD33" s="1559"/>
      <c r="GE33" s="1559"/>
      <c r="GF33" s="1559"/>
      <c r="GG33" s="1559"/>
      <c r="GH33" s="1559"/>
      <c r="GI33" s="1559"/>
      <c r="GJ33" s="1559"/>
      <c r="GK33" s="1559"/>
      <c r="GL33" s="1559"/>
      <c r="GM33" s="1559"/>
      <c r="GN33" s="1559"/>
      <c r="GO33" s="1559"/>
      <c r="GP33" s="1559"/>
      <c r="GQ33" s="1559"/>
      <c r="GR33" s="1559"/>
      <c r="GS33" s="1559"/>
      <c r="GT33" s="1559"/>
      <c r="GU33" s="1559"/>
      <c r="GV33" s="1559"/>
      <c r="GW33" s="1559"/>
    </row>
    <row r="34" spans="1:205" s="1559" customFormat="1" ht="17.25" x14ac:dyDescent="0.3"/>
    <row r="35" spans="1:205" s="1559" customFormat="1" ht="17.25" x14ac:dyDescent="0.3"/>
    <row r="36" spans="1:205" s="1559" customFormat="1" ht="17.25" x14ac:dyDescent="0.3"/>
  </sheetData>
  <sheetProtection sheet="1" objects="1" scenarios="1"/>
  <mergeCells count="1">
    <mergeCell ref="A1:K1"/>
  </mergeCells>
  <dataValidations count="4">
    <dataValidation allowBlank="1" showInputMessage="1" showErrorMessage="1" prompt="Nombre del producto o servicio o de la familia (una por linea)_x000a_O bien Ventas globales si se estiman conjuntamente las ventas." sqref="D11" xr:uid="{00000000-0002-0000-1300-000000000000}"/>
    <dataValidation type="textLength" allowBlank="1" showInputMessage="1" showErrorMessage="1" prompt="Nombre del producto o servicio o de la familia (una por linea)_x000a_O bien Ventas globales si se estiman conjuntamente las ventas." sqref="A11:A18" xr:uid="{00000000-0002-0000-1300-000001000000}">
      <formula1>0</formula1>
      <formula2>32</formula2>
    </dataValidation>
    <dataValidation type="decimal" allowBlank="1" showInputMessage="1" showErrorMessage="1" prompt="Incremento interanual (%) de precios de venta por familias_x000a__x000a_Cada % se aplica sobre los precios de venta del año anterior. NO SOBRE EL NÚMERO DE UNIDADES VENDIDAS." sqref="E11:E18 C11:C18 G11:G18 I11:I18" xr:uid="{00000000-0002-0000-1300-000002000000}">
      <formula1>0</formula1>
      <formula2>1</formula2>
    </dataValidation>
    <dataValidation type="decimal" allowBlank="1" showInputMessage="1" showErrorMessage="1" sqref="F19:J21 C26:H33" xr:uid="{00000000-0002-0000-1300-000003000000}">
      <formula1>0</formula1>
      <formula2>1</formula2>
    </dataValidation>
  </dataValidations>
  <pageMargins left="0.7" right="0.7" top="0.75" bottom="0.75" header="0.3" footer="0.3"/>
  <drawing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58">
    <tabColor rgb="FFA8DDD6"/>
    <pageSetUpPr fitToPage="1"/>
  </sheetPr>
  <dimension ref="A1:M44"/>
  <sheetViews>
    <sheetView showGridLines="0" topLeftCell="A25" workbookViewId="0">
      <selection activeCell="B13" sqref="B13"/>
    </sheetView>
  </sheetViews>
  <sheetFormatPr baseColWidth="10" defaultRowHeight="17.25" x14ac:dyDescent="0.3"/>
  <cols>
    <col min="1" max="1" width="26.25" style="307" customWidth="1"/>
    <col min="2" max="2" width="11.875" style="307" customWidth="1"/>
    <col min="3" max="3" width="11.25" style="307" customWidth="1"/>
    <col min="4" max="4" width="11" style="307"/>
    <col min="5" max="5" width="10.25" style="307" customWidth="1"/>
    <col min="6" max="11" width="11" style="307"/>
    <col min="12" max="12" width="21.875" style="307" bestFit="1" customWidth="1"/>
    <col min="13" max="16384" width="11" style="307"/>
  </cols>
  <sheetData>
    <row r="1" spans="1:13" ht="30" customHeight="1" x14ac:dyDescent="0.45">
      <c r="A1" s="2521" t="s">
        <v>1216</v>
      </c>
      <c r="B1" s="2506"/>
      <c r="C1" s="2506"/>
      <c r="D1" s="2506"/>
      <c r="E1" s="2506"/>
      <c r="F1" s="2506"/>
      <c r="G1" s="2506"/>
      <c r="H1" s="2506"/>
      <c r="I1" s="2506"/>
      <c r="J1" s="2506"/>
      <c r="K1" s="2506"/>
    </row>
    <row r="2" spans="1:13" ht="27.75" x14ac:dyDescent="0.45">
      <c r="A2" s="408">
        <f>'Datos Básicos'!B8</f>
        <v>0</v>
      </c>
      <c r="B2" s="408"/>
      <c r="C2" s="408"/>
      <c r="D2" s="408"/>
      <c r="E2" s="408"/>
      <c r="L2" s="1189"/>
      <c r="M2" s="1075"/>
    </row>
    <row r="3" spans="1:13" ht="19.5" x14ac:dyDescent="0.3">
      <c r="L3" s="1189"/>
      <c r="M3" s="1075"/>
    </row>
    <row r="4" spans="1:13" x14ac:dyDescent="0.3">
      <c r="A4" s="1679"/>
    </row>
    <row r="5" spans="1:13" ht="27.75" x14ac:dyDescent="0.45">
      <c r="A5" s="2311"/>
    </row>
    <row r="7" spans="1:13" ht="27.75" x14ac:dyDescent="0.45">
      <c r="A7" s="408" t="s">
        <v>88</v>
      </c>
      <c r="H7" s="451"/>
    </row>
    <row r="8" spans="1:13" ht="8.25" customHeight="1" thickBot="1" x14ac:dyDescent="0.35"/>
    <row r="9" spans="1:13" ht="48" customHeight="1" x14ac:dyDescent="0.35">
      <c r="A9" s="2020"/>
      <c r="B9" s="2021" t="str">
        <f>'Precios Venta y P. Cobros'!B9</f>
        <v>Año 0 2026</v>
      </c>
      <c r="C9" s="1961" t="str">
        <f>'Precios Venta y P. Cobros'!C9</f>
        <v>Año 1 :  2027</v>
      </c>
      <c r="D9" s="2022"/>
      <c r="E9" s="1961" t="str">
        <f>'Precios Venta y P. Cobros'!E9</f>
        <v>Año 2  : 2028</v>
      </c>
      <c r="F9" s="2022"/>
      <c r="G9" s="1961" t="str">
        <f>'Precios Venta y P. Cobros'!G9</f>
        <v>Año 3  : 2029</v>
      </c>
      <c r="H9" s="2022"/>
      <c r="I9" s="1961" t="str">
        <f>'Precios Venta y P. Cobros'!I9</f>
        <v>Año 4  : 2030</v>
      </c>
      <c r="J9" s="2023"/>
    </row>
    <row r="10" spans="1:13" ht="34.5" x14ac:dyDescent="0.3">
      <c r="A10" s="1918" t="s">
        <v>1070</v>
      </c>
      <c r="B10" s="2018" t="s">
        <v>157</v>
      </c>
      <c r="C10" s="2018" t="s">
        <v>50</v>
      </c>
      <c r="D10" s="2019" t="s">
        <v>157</v>
      </c>
      <c r="E10" s="2018" t="s">
        <v>50</v>
      </c>
      <c r="F10" s="2019" t="s">
        <v>157</v>
      </c>
      <c r="G10" s="2018" t="s">
        <v>50</v>
      </c>
      <c r="H10" s="2019" t="s">
        <v>157</v>
      </c>
      <c r="I10" s="2018" t="s">
        <v>50</v>
      </c>
      <c r="J10" s="2026" t="s">
        <v>157</v>
      </c>
    </row>
    <row r="11" spans="1:13" x14ac:dyDescent="0.3">
      <c r="A11" s="1309" t="str">
        <f>IF('Precios Venta y P. Cobros'!A11="","",'Precios Venta y P. Cobros'!A11)</f>
        <v/>
      </c>
      <c r="B11" s="2001">
        <v>0</v>
      </c>
      <c r="C11" s="2006">
        <v>0.02</v>
      </c>
      <c r="D11" s="2003">
        <f t="shared" ref="D11:F18" si="0">B11*(1+C11)</f>
        <v>0</v>
      </c>
      <c r="E11" s="2007">
        <f t="shared" ref="E11:E18" si="1">C11</f>
        <v>0.02</v>
      </c>
      <c r="F11" s="2004">
        <f t="shared" si="0"/>
        <v>0</v>
      </c>
      <c r="G11" s="2007">
        <f t="shared" ref="G11:G18" si="2">E11</f>
        <v>0.02</v>
      </c>
      <c r="H11" s="2004">
        <f t="shared" ref="H11:H18" si="3">F11*(1+G11)</f>
        <v>0</v>
      </c>
      <c r="I11" s="2007">
        <f t="shared" ref="I11:I18" si="4">G11</f>
        <v>0.02</v>
      </c>
      <c r="J11" s="2009">
        <f t="shared" ref="J11:J18" si="5">H11*(1+I11)</f>
        <v>0</v>
      </c>
    </row>
    <row r="12" spans="1:13" x14ac:dyDescent="0.3">
      <c r="A12" s="1309" t="str">
        <f>IF('Precios Venta y P. Cobros'!A12="","",'Precios Venta y P. Cobros'!A12)</f>
        <v/>
      </c>
      <c r="B12" s="2001">
        <v>0</v>
      </c>
      <c r="C12" s="2007">
        <v>0.02</v>
      </c>
      <c r="D12" s="2004">
        <f>B12*(1+C12)</f>
        <v>0</v>
      </c>
      <c r="E12" s="2007">
        <f>C12</f>
        <v>0.02</v>
      </c>
      <c r="F12" s="2004">
        <f t="shared" si="0"/>
        <v>0</v>
      </c>
      <c r="G12" s="2007">
        <f t="shared" si="2"/>
        <v>0.02</v>
      </c>
      <c r="H12" s="2004">
        <f t="shared" si="3"/>
        <v>0</v>
      </c>
      <c r="I12" s="2007">
        <f t="shared" si="4"/>
        <v>0.02</v>
      </c>
      <c r="J12" s="2009">
        <f t="shared" si="5"/>
        <v>0</v>
      </c>
    </row>
    <row r="13" spans="1:13" x14ac:dyDescent="0.3">
      <c r="A13" s="1309" t="str">
        <f>IF('Precios Venta y P. Cobros'!A13="","",'Precios Venta y P. Cobros'!A13)</f>
        <v/>
      </c>
      <c r="B13" s="2001">
        <v>0</v>
      </c>
      <c r="C13" s="2007">
        <v>0.02</v>
      </c>
      <c r="D13" s="2004">
        <f t="shared" si="0"/>
        <v>0</v>
      </c>
      <c r="E13" s="2007">
        <f t="shared" si="1"/>
        <v>0.02</v>
      </c>
      <c r="F13" s="2004">
        <f t="shared" si="0"/>
        <v>0</v>
      </c>
      <c r="G13" s="2007">
        <f t="shared" si="2"/>
        <v>0.02</v>
      </c>
      <c r="H13" s="2004">
        <f t="shared" si="3"/>
        <v>0</v>
      </c>
      <c r="I13" s="2007">
        <f t="shared" si="4"/>
        <v>0.02</v>
      </c>
      <c r="J13" s="2009">
        <f t="shared" si="5"/>
        <v>0</v>
      </c>
    </row>
    <row r="14" spans="1:13" x14ac:dyDescent="0.3">
      <c r="A14" s="1309" t="str">
        <f>IF('Precios Venta y P. Cobros'!A14="","",'Precios Venta y P. Cobros'!A14)</f>
        <v/>
      </c>
      <c r="B14" s="2001">
        <v>0</v>
      </c>
      <c r="C14" s="2007">
        <v>0.02</v>
      </c>
      <c r="D14" s="2004">
        <f t="shared" si="0"/>
        <v>0</v>
      </c>
      <c r="E14" s="2007">
        <f>C14</f>
        <v>0.02</v>
      </c>
      <c r="F14" s="2004">
        <f t="shared" si="0"/>
        <v>0</v>
      </c>
      <c r="G14" s="2007">
        <f t="shared" si="2"/>
        <v>0.02</v>
      </c>
      <c r="H14" s="2004">
        <f t="shared" si="3"/>
        <v>0</v>
      </c>
      <c r="I14" s="2007">
        <f>G14</f>
        <v>0.02</v>
      </c>
      <c r="J14" s="2009">
        <f t="shared" si="5"/>
        <v>0</v>
      </c>
    </row>
    <row r="15" spans="1:13" x14ac:dyDescent="0.3">
      <c r="A15" s="1309" t="str">
        <f>IF('Precios Venta y P. Cobros'!A15="","",'Precios Venta y P. Cobros'!A15)</f>
        <v/>
      </c>
      <c r="B15" s="2001">
        <v>0</v>
      </c>
      <c r="C15" s="2007">
        <v>0.02</v>
      </c>
      <c r="D15" s="2004">
        <f t="shared" si="0"/>
        <v>0</v>
      </c>
      <c r="E15" s="2007">
        <f t="shared" si="1"/>
        <v>0.02</v>
      </c>
      <c r="F15" s="2004">
        <f t="shared" si="0"/>
        <v>0</v>
      </c>
      <c r="G15" s="2007">
        <f t="shared" si="2"/>
        <v>0.02</v>
      </c>
      <c r="H15" s="2004">
        <f t="shared" si="3"/>
        <v>0</v>
      </c>
      <c r="I15" s="2007">
        <f t="shared" si="4"/>
        <v>0.02</v>
      </c>
      <c r="J15" s="2009">
        <f t="shared" si="5"/>
        <v>0</v>
      </c>
    </row>
    <row r="16" spans="1:13" x14ac:dyDescent="0.3">
      <c r="A16" s="1309" t="str">
        <f>IF('Precios Venta y P. Cobros'!A16="","",'Precios Venta y P. Cobros'!A16)</f>
        <v/>
      </c>
      <c r="B16" s="2001">
        <v>0</v>
      </c>
      <c r="C16" s="2007">
        <v>0.02</v>
      </c>
      <c r="D16" s="2004">
        <f t="shared" si="0"/>
        <v>0</v>
      </c>
      <c r="E16" s="2007">
        <f t="shared" si="1"/>
        <v>0.02</v>
      </c>
      <c r="F16" s="2004">
        <f t="shared" si="0"/>
        <v>0</v>
      </c>
      <c r="G16" s="2007">
        <f t="shared" si="2"/>
        <v>0.02</v>
      </c>
      <c r="H16" s="2004">
        <f t="shared" si="3"/>
        <v>0</v>
      </c>
      <c r="I16" s="2007">
        <f t="shared" si="4"/>
        <v>0.02</v>
      </c>
      <c r="J16" s="2009">
        <f t="shared" si="5"/>
        <v>0</v>
      </c>
    </row>
    <row r="17" spans="1:11" x14ac:dyDescent="0.3">
      <c r="A17" s="1309" t="str">
        <f>IF('Precios Venta y P. Cobros'!A17="","",'Precios Venta y P. Cobros'!A17)</f>
        <v/>
      </c>
      <c r="B17" s="2001">
        <v>0</v>
      </c>
      <c r="C17" s="2007">
        <v>0.02</v>
      </c>
      <c r="D17" s="2004">
        <f t="shared" si="0"/>
        <v>0</v>
      </c>
      <c r="E17" s="2007">
        <f t="shared" si="1"/>
        <v>0.02</v>
      </c>
      <c r="F17" s="2004">
        <f t="shared" si="0"/>
        <v>0</v>
      </c>
      <c r="G17" s="2007">
        <f t="shared" si="2"/>
        <v>0.02</v>
      </c>
      <c r="H17" s="2004">
        <f t="shared" si="3"/>
        <v>0</v>
      </c>
      <c r="I17" s="2007">
        <f t="shared" si="4"/>
        <v>0.02</v>
      </c>
      <c r="J17" s="2009">
        <f t="shared" si="5"/>
        <v>0</v>
      </c>
    </row>
    <row r="18" spans="1:11" ht="18" thickBot="1" x14ac:dyDescent="0.35">
      <c r="A18" s="1309" t="str">
        <f>IF('Precios Venta y P. Cobros'!A18="","",'Precios Venta y P. Cobros'!A18)</f>
        <v/>
      </c>
      <c r="B18" s="2002">
        <v>0</v>
      </c>
      <c r="C18" s="2008">
        <v>0.02</v>
      </c>
      <c r="D18" s="2005">
        <f t="shared" si="0"/>
        <v>0</v>
      </c>
      <c r="E18" s="2008">
        <f t="shared" si="1"/>
        <v>0.02</v>
      </c>
      <c r="F18" s="2005">
        <f t="shared" si="0"/>
        <v>0</v>
      </c>
      <c r="G18" s="2008">
        <f t="shared" si="2"/>
        <v>0.02</v>
      </c>
      <c r="H18" s="2005">
        <f t="shared" si="3"/>
        <v>0</v>
      </c>
      <c r="I18" s="2008">
        <f t="shared" si="4"/>
        <v>0.02</v>
      </c>
      <c r="J18" s="2010">
        <f t="shared" si="5"/>
        <v>0</v>
      </c>
    </row>
    <row r="21" spans="1:11" ht="27.75" x14ac:dyDescent="0.45">
      <c r="A21" s="408" t="s">
        <v>158</v>
      </c>
    </row>
    <row r="22" spans="1:11" ht="6" customHeight="1" thickBot="1" x14ac:dyDescent="0.35"/>
    <row r="23" spans="1:11" ht="32.25" customHeight="1" x14ac:dyDescent="0.3">
      <c r="A23" s="2020" t="s">
        <v>886</v>
      </c>
      <c r="B23" s="1961" t="str">
        <f>CONCATENATE('Datos Básicos'!B16,"  : ",'Datos Básicos'!$B$17)</f>
        <v>Año 0  : 2026</v>
      </c>
      <c r="C23" s="2022"/>
      <c r="D23" s="1961" t="str">
        <f>C9</f>
        <v>Año 1 :  2027</v>
      </c>
      <c r="E23" s="2022"/>
      <c r="F23" s="1961" t="str">
        <f>E9</f>
        <v>Año 2  : 2028</v>
      </c>
      <c r="G23" s="2022"/>
      <c r="H23" s="1961" t="str">
        <f>G9</f>
        <v>Año 3  : 2029</v>
      </c>
      <c r="I23" s="2022"/>
      <c r="J23" s="1961" t="str">
        <f>I9</f>
        <v>Año 4  : 2030</v>
      </c>
      <c r="K23" s="2023"/>
    </row>
    <row r="24" spans="1:11" ht="45" x14ac:dyDescent="0.3">
      <c r="A24" s="2024" t="s">
        <v>1070</v>
      </c>
      <c r="B24" s="2018" t="s">
        <v>1233</v>
      </c>
      <c r="C24" s="2025" t="s">
        <v>1234</v>
      </c>
      <c r="D24" s="2018" t="s">
        <v>1233</v>
      </c>
      <c r="E24" s="2025" t="s">
        <v>1234</v>
      </c>
      <c r="F24" s="2018" t="s">
        <v>1233</v>
      </c>
      <c r="G24" s="2025" t="s">
        <v>1234</v>
      </c>
      <c r="H24" s="2018" t="s">
        <v>1233</v>
      </c>
      <c r="I24" s="2025" t="s">
        <v>1234</v>
      </c>
      <c r="J24" s="2018" t="s">
        <v>1233</v>
      </c>
      <c r="K24" s="2019" t="s">
        <v>1234</v>
      </c>
    </row>
    <row r="25" spans="1:11" x14ac:dyDescent="0.3">
      <c r="A25" s="2414" t="str">
        <f>IF(A11="","",A11)</f>
        <v/>
      </c>
      <c r="B25" s="2017">
        <f>IF('Precios Venta y P. Cobros'!B11=0,0,B11/'Precios Venta y P. Cobros'!B11)</f>
        <v>0</v>
      </c>
      <c r="C25" s="2017">
        <f>1-B25</f>
        <v>1</v>
      </c>
      <c r="D25" s="2017">
        <f>IF('Precios Venta y P. Cobros'!D11=0,0,D11/'Precios Venta y P. Cobros'!D11)</f>
        <v>0</v>
      </c>
      <c r="E25" s="2017">
        <f>1-D25</f>
        <v>1</v>
      </c>
      <c r="F25" s="2017">
        <f>IF('Precios Venta y P. Cobros'!F11=0,0,F11/'Precios Venta y P. Cobros'!F11)</f>
        <v>0</v>
      </c>
      <c r="G25" s="2017">
        <f>1-F25</f>
        <v>1</v>
      </c>
      <c r="H25" s="2017">
        <f>IF('Precios Venta y P. Cobros'!H11=0,0,H11/'Precios Venta y P. Cobros'!H11)</f>
        <v>0</v>
      </c>
      <c r="I25" s="2017">
        <f>1-H25</f>
        <v>1</v>
      </c>
      <c r="J25" s="2017">
        <f>IF('Precios Venta y P. Cobros'!J11=0,0,J11/'Precios Venta y P. Cobros'!J11)</f>
        <v>0</v>
      </c>
      <c r="K25" s="2017">
        <f>1-J25</f>
        <v>1</v>
      </c>
    </row>
    <row r="26" spans="1:11" x14ac:dyDescent="0.3">
      <c r="A26" s="2414" t="str">
        <f t="shared" ref="A26:A32" si="6">IF(A12="","",A12)</f>
        <v/>
      </c>
      <c r="B26" s="2017">
        <f>IF('Precios Venta y P. Cobros'!B12=0,0,B12/'Precios Venta y P. Cobros'!B12)</f>
        <v>0</v>
      </c>
      <c r="C26" s="2017">
        <f t="shared" ref="C26:C32" si="7">1-B26</f>
        <v>1</v>
      </c>
      <c r="D26" s="2017">
        <f>IF('Precios Venta y P. Cobros'!D12=0,0,D12/'Precios Venta y P. Cobros'!D12)</f>
        <v>0</v>
      </c>
      <c r="E26" s="2017">
        <f t="shared" ref="E26:E32" si="8">1-D26</f>
        <v>1</v>
      </c>
      <c r="F26" s="2017">
        <f>IF('Precios Venta y P. Cobros'!F12=0,0,F12/'Precios Venta y P. Cobros'!F12)</f>
        <v>0</v>
      </c>
      <c r="G26" s="2017">
        <f t="shared" ref="G26:G32" si="9">1-F26</f>
        <v>1</v>
      </c>
      <c r="H26" s="2017">
        <f>IF('Precios Venta y P. Cobros'!H12=0,0,H12/'Precios Venta y P. Cobros'!H12)</f>
        <v>0</v>
      </c>
      <c r="I26" s="2017">
        <f t="shared" ref="I26:I32" si="10">1-H26</f>
        <v>1</v>
      </c>
      <c r="J26" s="2017">
        <f>IF('Precios Venta y P. Cobros'!J12=0,0,J12/'Precios Venta y P. Cobros'!J12)</f>
        <v>0</v>
      </c>
      <c r="K26" s="2017">
        <f t="shared" ref="K26:K32" si="11">1-J26</f>
        <v>1</v>
      </c>
    </row>
    <row r="27" spans="1:11" x14ac:dyDescent="0.3">
      <c r="A27" s="2414" t="str">
        <f t="shared" si="6"/>
        <v/>
      </c>
      <c r="B27" s="2017">
        <f>IF('Precios Venta y P. Cobros'!B13=0,0,B13/'Precios Venta y P. Cobros'!B13)</f>
        <v>0</v>
      </c>
      <c r="C27" s="2017">
        <f t="shared" si="7"/>
        <v>1</v>
      </c>
      <c r="D27" s="2017">
        <f>IF('Precios Venta y P. Cobros'!D13=0,0,D13/'Precios Venta y P. Cobros'!D13)</f>
        <v>0</v>
      </c>
      <c r="E27" s="2017">
        <f t="shared" si="8"/>
        <v>1</v>
      </c>
      <c r="F27" s="2017">
        <f>IF('Precios Venta y P. Cobros'!F13=0,0,F13/'Precios Venta y P. Cobros'!F13)</f>
        <v>0</v>
      </c>
      <c r="G27" s="2017">
        <f t="shared" si="9"/>
        <v>1</v>
      </c>
      <c r="H27" s="2017">
        <f>IF('Precios Venta y P. Cobros'!H13=0,0,H13/'Precios Venta y P. Cobros'!H13)</f>
        <v>0</v>
      </c>
      <c r="I27" s="2017">
        <f t="shared" si="10"/>
        <v>1</v>
      </c>
      <c r="J27" s="2017">
        <f>IF('Precios Venta y P. Cobros'!J13=0,0,J13/'Precios Venta y P. Cobros'!J13)</f>
        <v>0</v>
      </c>
      <c r="K27" s="2017">
        <f t="shared" si="11"/>
        <v>1</v>
      </c>
    </row>
    <row r="28" spans="1:11" x14ac:dyDescent="0.3">
      <c r="A28" s="2414" t="str">
        <f t="shared" si="6"/>
        <v/>
      </c>
      <c r="B28" s="2017">
        <f>IF('Precios Venta y P. Cobros'!B14=0,0,B14/'Precios Venta y P. Cobros'!B14)</f>
        <v>0</v>
      </c>
      <c r="C28" s="2017">
        <f t="shared" si="7"/>
        <v>1</v>
      </c>
      <c r="D28" s="2017">
        <f>IF('Precios Venta y P. Cobros'!D14=0,0,D14/'Precios Venta y P. Cobros'!D14)</f>
        <v>0</v>
      </c>
      <c r="E28" s="2017">
        <f t="shared" si="8"/>
        <v>1</v>
      </c>
      <c r="F28" s="2017">
        <f>IF('Precios Venta y P. Cobros'!F14=0,0,F14/'Precios Venta y P. Cobros'!F14)</f>
        <v>0</v>
      </c>
      <c r="G28" s="2017">
        <f t="shared" si="9"/>
        <v>1</v>
      </c>
      <c r="H28" s="2017">
        <f>IF('Precios Venta y P. Cobros'!H14=0,0,H14/'Precios Venta y P. Cobros'!H14)</f>
        <v>0</v>
      </c>
      <c r="I28" s="2017">
        <f t="shared" si="10"/>
        <v>1</v>
      </c>
      <c r="J28" s="2017">
        <f>IF('Precios Venta y P. Cobros'!J14=0,0,J14/'Precios Venta y P. Cobros'!J14)</f>
        <v>0</v>
      </c>
      <c r="K28" s="2017">
        <f t="shared" si="11"/>
        <v>1</v>
      </c>
    </row>
    <row r="29" spans="1:11" x14ac:dyDescent="0.3">
      <c r="A29" s="2414" t="str">
        <f t="shared" si="6"/>
        <v/>
      </c>
      <c r="B29" s="2017">
        <f>IF('Precios Venta y P. Cobros'!B15=0,0,B15/'Precios Venta y P. Cobros'!B15)</f>
        <v>0</v>
      </c>
      <c r="C29" s="2017">
        <f t="shared" si="7"/>
        <v>1</v>
      </c>
      <c r="D29" s="2017">
        <f>IF('Precios Venta y P. Cobros'!D15=0,0,D15/'Precios Venta y P. Cobros'!D15)</f>
        <v>0</v>
      </c>
      <c r="E29" s="2017">
        <f t="shared" si="8"/>
        <v>1</v>
      </c>
      <c r="F29" s="2017">
        <f>IF('Precios Venta y P. Cobros'!F15=0,0,F15/'Precios Venta y P. Cobros'!F15)</f>
        <v>0</v>
      </c>
      <c r="G29" s="2017">
        <f t="shared" si="9"/>
        <v>1</v>
      </c>
      <c r="H29" s="2017">
        <f>IF('Precios Venta y P. Cobros'!H15=0,0,H15/'Precios Venta y P. Cobros'!H15)</f>
        <v>0</v>
      </c>
      <c r="I29" s="2017">
        <f t="shared" si="10"/>
        <v>1</v>
      </c>
      <c r="J29" s="2017">
        <f>IF('Precios Venta y P. Cobros'!J15=0,0,J15/'Precios Venta y P. Cobros'!J15)</f>
        <v>0</v>
      </c>
      <c r="K29" s="2017">
        <f t="shared" si="11"/>
        <v>1</v>
      </c>
    </row>
    <row r="30" spans="1:11" x14ac:dyDescent="0.3">
      <c r="A30" s="2414" t="str">
        <f t="shared" si="6"/>
        <v/>
      </c>
      <c r="B30" s="2017">
        <f>IF('Precios Venta y P. Cobros'!B16=0,0,B16/'Precios Venta y P. Cobros'!B16)</f>
        <v>0</v>
      </c>
      <c r="C30" s="2017">
        <f t="shared" si="7"/>
        <v>1</v>
      </c>
      <c r="D30" s="2017">
        <f>IF('Precios Venta y P. Cobros'!D16=0,0,D16/'Precios Venta y P. Cobros'!D16)</f>
        <v>0</v>
      </c>
      <c r="E30" s="2017">
        <f t="shared" si="8"/>
        <v>1</v>
      </c>
      <c r="F30" s="2017">
        <f>IF('Precios Venta y P. Cobros'!F16=0,0,F16/'Precios Venta y P. Cobros'!F16)</f>
        <v>0</v>
      </c>
      <c r="G30" s="2017">
        <f t="shared" si="9"/>
        <v>1</v>
      </c>
      <c r="H30" s="2017">
        <f>IF('Precios Venta y P. Cobros'!H16=0,0,H16/'Precios Venta y P. Cobros'!H16)</f>
        <v>0</v>
      </c>
      <c r="I30" s="2017">
        <f t="shared" si="10"/>
        <v>1</v>
      </c>
      <c r="J30" s="2017">
        <f>IF('Precios Venta y P. Cobros'!J16=0,0,J16/'Precios Venta y P. Cobros'!J16)</f>
        <v>0</v>
      </c>
      <c r="K30" s="2017">
        <f t="shared" si="11"/>
        <v>1</v>
      </c>
    </row>
    <row r="31" spans="1:11" x14ac:dyDescent="0.3">
      <c r="A31" s="2414" t="str">
        <f t="shared" si="6"/>
        <v/>
      </c>
      <c r="B31" s="2017">
        <f>IF('Precios Venta y P. Cobros'!B17=0,0,B17/'Precios Venta y P. Cobros'!B17)</f>
        <v>0</v>
      </c>
      <c r="C31" s="2017">
        <f t="shared" si="7"/>
        <v>1</v>
      </c>
      <c r="D31" s="2017">
        <f>IF('Precios Venta y P. Cobros'!D17=0,0,D17/'Precios Venta y P. Cobros'!D17)</f>
        <v>0</v>
      </c>
      <c r="E31" s="2017">
        <f t="shared" si="8"/>
        <v>1</v>
      </c>
      <c r="F31" s="2017">
        <f>IF('Precios Venta y P. Cobros'!F17=0,0,F17/'Precios Venta y P. Cobros'!F17)</f>
        <v>0</v>
      </c>
      <c r="G31" s="2017">
        <f t="shared" si="9"/>
        <v>1</v>
      </c>
      <c r="H31" s="2017">
        <f>IF('Precios Venta y P. Cobros'!H17=0,0,H17/'Precios Venta y P. Cobros'!H17)</f>
        <v>0</v>
      </c>
      <c r="I31" s="2017">
        <f t="shared" si="10"/>
        <v>1</v>
      </c>
      <c r="J31" s="2017">
        <f>IF('Precios Venta y P. Cobros'!J17=0,0,J17/'Precios Venta y P. Cobros'!J17)</f>
        <v>0</v>
      </c>
      <c r="K31" s="2017">
        <f t="shared" si="11"/>
        <v>1</v>
      </c>
    </row>
    <row r="32" spans="1:11" x14ac:dyDescent="0.3">
      <c r="A32" s="2414" t="str">
        <f t="shared" si="6"/>
        <v/>
      </c>
      <c r="B32" s="2017">
        <f>IF('Precios Venta y P. Cobros'!B18=0,0,B18/'Precios Venta y P. Cobros'!B18)</f>
        <v>0</v>
      </c>
      <c r="C32" s="2017">
        <f t="shared" si="7"/>
        <v>1</v>
      </c>
      <c r="D32" s="2017">
        <f>IF('Precios Venta y P. Cobros'!D18=0,0,D18/'Precios Venta y P. Cobros'!D18)</f>
        <v>0</v>
      </c>
      <c r="E32" s="2017">
        <f t="shared" si="8"/>
        <v>1</v>
      </c>
      <c r="F32" s="2017">
        <f>IF('Precios Venta y P. Cobros'!F18=0,0,F18/'Precios Venta y P. Cobros'!F18)</f>
        <v>0</v>
      </c>
      <c r="G32" s="2017">
        <f t="shared" si="9"/>
        <v>1</v>
      </c>
      <c r="H32" s="2017">
        <f>IF('Precios Venta y P. Cobros'!H18=0,0,H18/'Precios Venta y P. Cobros'!H18)</f>
        <v>0</v>
      </c>
      <c r="I32" s="2017">
        <f t="shared" si="10"/>
        <v>1</v>
      </c>
      <c r="J32" s="2017">
        <f>IF('Precios Venta y P. Cobros'!J18=0,0,J18/'Precios Venta y P. Cobros'!J18)</f>
        <v>0</v>
      </c>
      <c r="K32" s="2017">
        <f t="shared" si="11"/>
        <v>1</v>
      </c>
    </row>
    <row r="35" spans="1:10" ht="28.5" thickBot="1" x14ac:dyDescent="0.5">
      <c r="A35" s="408" t="s">
        <v>1090</v>
      </c>
    </row>
    <row r="36" spans="1:10" x14ac:dyDescent="0.3">
      <c r="A36" s="2030" t="s">
        <v>950</v>
      </c>
      <c r="B36" s="2031" t="s">
        <v>951</v>
      </c>
      <c r="C36" s="2032">
        <v>30</v>
      </c>
      <c r="D36" s="2032">
        <v>60</v>
      </c>
      <c r="E36" s="2032">
        <v>90</v>
      </c>
      <c r="F36" s="2032">
        <v>120</v>
      </c>
      <c r="G36" s="2032">
        <v>150</v>
      </c>
      <c r="H36" s="2032">
        <v>180</v>
      </c>
      <c r="I36" s="2033" t="s">
        <v>865</v>
      </c>
    </row>
    <row r="37" spans="1:10" x14ac:dyDescent="0.3">
      <c r="A37" s="2414" t="str">
        <f>IF(A11="","",A11)</f>
        <v/>
      </c>
      <c r="B37" s="2015">
        <f>IF(SUM(C37:H37)&gt;1,"ERROR",1-SUM(C37:H37))</f>
        <v>1</v>
      </c>
      <c r="C37" s="2013"/>
      <c r="D37" s="2013">
        <v>0</v>
      </c>
      <c r="E37" s="2013">
        <v>0</v>
      </c>
      <c r="F37" s="2013">
        <v>0</v>
      </c>
      <c r="G37" s="2013">
        <v>0</v>
      </c>
      <c r="H37" s="2013">
        <v>0</v>
      </c>
      <c r="I37" s="2011">
        <f t="shared" ref="I37:I44" si="12">SUM(B37:H37)</f>
        <v>1</v>
      </c>
      <c r="J37" s="453" t="str">
        <f>IF(I37&lt;&gt;1,"ERROR EN PORCENTAJES","")</f>
        <v/>
      </c>
    </row>
    <row r="38" spans="1:10" x14ac:dyDescent="0.3">
      <c r="A38" s="2414" t="str">
        <f t="shared" ref="A38:A44" si="13">IF(A12="","",A12)</f>
        <v/>
      </c>
      <c r="B38" s="2015">
        <f t="shared" ref="B38:B44" si="14">IF(SUM(C38:H38)&gt;1,"ERROR",1-SUM(C38:H38))</f>
        <v>1</v>
      </c>
      <c r="C38" s="2013">
        <f t="shared" ref="C38:H44" si="15">C37</f>
        <v>0</v>
      </c>
      <c r="D38" s="2013">
        <f t="shared" si="15"/>
        <v>0</v>
      </c>
      <c r="E38" s="2013">
        <f t="shared" si="15"/>
        <v>0</v>
      </c>
      <c r="F38" s="2013">
        <f t="shared" si="15"/>
        <v>0</v>
      </c>
      <c r="G38" s="2013">
        <f t="shared" si="15"/>
        <v>0</v>
      </c>
      <c r="H38" s="2013">
        <f t="shared" si="15"/>
        <v>0</v>
      </c>
      <c r="I38" s="2011">
        <f t="shared" si="12"/>
        <v>1</v>
      </c>
      <c r="J38" s="453" t="str">
        <f t="shared" ref="J38:J44" si="16">IF(I38&lt;&gt;1,"ERROR EN PORCENTAJES","")</f>
        <v/>
      </c>
    </row>
    <row r="39" spans="1:10" x14ac:dyDescent="0.3">
      <c r="A39" s="2414" t="str">
        <f t="shared" si="13"/>
        <v/>
      </c>
      <c r="B39" s="2015">
        <f t="shared" si="14"/>
        <v>1</v>
      </c>
      <c r="C39" s="2013">
        <f t="shared" si="15"/>
        <v>0</v>
      </c>
      <c r="D39" s="2013">
        <f t="shared" si="15"/>
        <v>0</v>
      </c>
      <c r="E39" s="2013">
        <f>E38</f>
        <v>0</v>
      </c>
      <c r="F39" s="2013">
        <f t="shared" si="15"/>
        <v>0</v>
      </c>
      <c r="G39" s="2013">
        <f t="shared" si="15"/>
        <v>0</v>
      </c>
      <c r="H39" s="2013">
        <f t="shared" si="15"/>
        <v>0</v>
      </c>
      <c r="I39" s="2011">
        <f t="shared" si="12"/>
        <v>1</v>
      </c>
      <c r="J39" s="453" t="str">
        <f t="shared" si="16"/>
        <v/>
      </c>
    </row>
    <row r="40" spans="1:10" x14ac:dyDescent="0.3">
      <c r="A40" s="2414" t="str">
        <f t="shared" si="13"/>
        <v/>
      </c>
      <c r="B40" s="2015">
        <f t="shared" si="14"/>
        <v>1</v>
      </c>
      <c r="C40" s="2013">
        <f t="shared" si="15"/>
        <v>0</v>
      </c>
      <c r="D40" s="2013">
        <f t="shared" si="15"/>
        <v>0</v>
      </c>
      <c r="E40" s="2013">
        <f t="shared" si="15"/>
        <v>0</v>
      </c>
      <c r="F40" s="2013">
        <f t="shared" si="15"/>
        <v>0</v>
      </c>
      <c r="G40" s="2013">
        <f t="shared" si="15"/>
        <v>0</v>
      </c>
      <c r="H40" s="2013">
        <f t="shared" si="15"/>
        <v>0</v>
      </c>
      <c r="I40" s="2011">
        <f t="shared" si="12"/>
        <v>1</v>
      </c>
      <c r="J40" s="453" t="str">
        <f t="shared" si="16"/>
        <v/>
      </c>
    </row>
    <row r="41" spans="1:10" x14ac:dyDescent="0.3">
      <c r="A41" s="2414" t="str">
        <f t="shared" si="13"/>
        <v/>
      </c>
      <c r="B41" s="2015">
        <f t="shared" si="14"/>
        <v>1</v>
      </c>
      <c r="C41" s="2013">
        <f>C40</f>
        <v>0</v>
      </c>
      <c r="D41" s="2013">
        <f t="shared" si="15"/>
        <v>0</v>
      </c>
      <c r="E41" s="2013">
        <f t="shared" si="15"/>
        <v>0</v>
      </c>
      <c r="F41" s="2013">
        <f t="shared" si="15"/>
        <v>0</v>
      </c>
      <c r="G41" s="2013">
        <f t="shared" si="15"/>
        <v>0</v>
      </c>
      <c r="H41" s="2013">
        <f t="shared" si="15"/>
        <v>0</v>
      </c>
      <c r="I41" s="2011">
        <f t="shared" si="12"/>
        <v>1</v>
      </c>
      <c r="J41" s="453" t="str">
        <f t="shared" si="16"/>
        <v/>
      </c>
    </row>
    <row r="42" spans="1:10" x14ac:dyDescent="0.3">
      <c r="A42" s="2414" t="str">
        <f t="shared" si="13"/>
        <v/>
      </c>
      <c r="B42" s="2015">
        <f t="shared" si="14"/>
        <v>1</v>
      </c>
      <c r="C42" s="2013">
        <f>C41</f>
        <v>0</v>
      </c>
      <c r="D42" s="2013">
        <f t="shared" si="15"/>
        <v>0</v>
      </c>
      <c r="E42" s="2013">
        <f t="shared" si="15"/>
        <v>0</v>
      </c>
      <c r="F42" s="2013">
        <f t="shared" si="15"/>
        <v>0</v>
      </c>
      <c r="G42" s="2013">
        <f t="shared" si="15"/>
        <v>0</v>
      </c>
      <c r="H42" s="2013">
        <f t="shared" si="15"/>
        <v>0</v>
      </c>
      <c r="I42" s="2011">
        <f t="shared" si="12"/>
        <v>1</v>
      </c>
      <c r="J42" s="453" t="str">
        <f t="shared" si="16"/>
        <v/>
      </c>
    </row>
    <row r="43" spans="1:10" x14ac:dyDescent="0.3">
      <c r="A43" s="2414" t="str">
        <f t="shared" si="13"/>
        <v/>
      </c>
      <c r="B43" s="2015">
        <f t="shared" si="14"/>
        <v>1</v>
      </c>
      <c r="C43" s="2013">
        <f t="shared" si="15"/>
        <v>0</v>
      </c>
      <c r="D43" s="2013">
        <f t="shared" si="15"/>
        <v>0</v>
      </c>
      <c r="E43" s="2013">
        <f t="shared" si="15"/>
        <v>0</v>
      </c>
      <c r="F43" s="2013">
        <f t="shared" si="15"/>
        <v>0</v>
      </c>
      <c r="G43" s="2013">
        <f t="shared" si="15"/>
        <v>0</v>
      </c>
      <c r="H43" s="2013">
        <f t="shared" si="15"/>
        <v>0</v>
      </c>
      <c r="I43" s="2011">
        <f t="shared" si="12"/>
        <v>1</v>
      </c>
      <c r="J43" s="453" t="str">
        <f t="shared" si="16"/>
        <v/>
      </c>
    </row>
    <row r="44" spans="1:10" ht="18" thickBot="1" x14ac:dyDescent="0.35">
      <c r="A44" s="2417" t="str">
        <f t="shared" si="13"/>
        <v/>
      </c>
      <c r="B44" s="2016">
        <f t="shared" si="14"/>
        <v>1</v>
      </c>
      <c r="C44" s="2014">
        <f t="shared" si="15"/>
        <v>0</v>
      </c>
      <c r="D44" s="2014">
        <f t="shared" si="15"/>
        <v>0</v>
      </c>
      <c r="E44" s="2014">
        <f t="shared" si="15"/>
        <v>0</v>
      </c>
      <c r="F44" s="2014">
        <f t="shared" si="15"/>
        <v>0</v>
      </c>
      <c r="G44" s="2014">
        <f t="shared" si="15"/>
        <v>0</v>
      </c>
      <c r="H44" s="2014">
        <f t="shared" si="15"/>
        <v>0</v>
      </c>
      <c r="I44" s="2012">
        <f t="shared" si="12"/>
        <v>1</v>
      </c>
      <c r="J44" s="453" t="str">
        <f t="shared" si="16"/>
        <v/>
      </c>
    </row>
  </sheetData>
  <sheetProtection sheet="1" objects="1" scenarios="1" formatCells="0" formatColumns="0"/>
  <mergeCells count="1">
    <mergeCell ref="A1:K1"/>
  </mergeCells>
  <phoneticPr fontId="13" type="noConversion"/>
  <conditionalFormatting sqref="B25:K32">
    <cfRule type="expression" dxfId="38" priority="1" stopIfTrue="1">
      <formula>$A25=""</formula>
    </cfRule>
  </conditionalFormatting>
  <dataValidations xWindow="468" yWindow="275" count="2">
    <dataValidation type="decimal" allowBlank="1" showInputMessage="1" showErrorMessage="1" sqref="C37:H44" xr:uid="{00000000-0002-0000-1400-000000000000}">
      <formula1>0</formula1>
      <formula2>1</formula2>
    </dataValidation>
    <dataValidation type="decimal" allowBlank="1" showInputMessage="1" showErrorMessage="1" prompt="Incremento interanual de costes variables_x000a__x000a_Cada % se aplica sobre los costes variables de cada producto o familia del año anterior. SOBRE LOS PRECIOS DE COSTE VARIABLE._x000a_No se debe usar si se estiman las ventas directamente en euros." sqref="I11:I18 C11:C18 E11:E18 G11:G18" xr:uid="{00000000-0002-0000-1400-000001000000}">
      <formula1>0</formula1>
      <formula2>1</formula2>
    </dataValidation>
  </dataValidations>
  <printOptions horizontalCentered="1"/>
  <pageMargins left="0.35433070866141736" right="0.75" top="0.62992125984251968" bottom="0.35433070866141736" header="0" footer="0"/>
  <pageSetup paperSize="9" scale="61" orientation="portrait" horizontalDpi="300" r:id="rId1"/>
  <headerFooter alignWithMargins="0">
    <oddFooter>&amp;C&amp;A</oddFooter>
  </headerFooter>
  <rowBreaks count="1" manualBreakCount="1">
    <brk id="6" max="10" man="1"/>
  </rowBreaks>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21">
    <tabColor rgb="FFA8DDD6"/>
  </sheetPr>
  <dimension ref="A1:Q72"/>
  <sheetViews>
    <sheetView showGridLines="0" topLeftCell="A5" workbookViewId="0"/>
  </sheetViews>
  <sheetFormatPr baseColWidth="10" defaultRowHeight="15" x14ac:dyDescent="0.25"/>
  <cols>
    <col min="1" max="1" width="23.75" style="305" customWidth="1"/>
    <col min="2" max="2" width="13" style="446" customWidth="1"/>
    <col min="3" max="3" width="9.25" style="446" bestFit="1" customWidth="1"/>
    <col min="4" max="4" width="10.125" style="446" bestFit="1" customWidth="1"/>
    <col min="5" max="5" width="10.875" style="446" customWidth="1"/>
    <col min="6" max="6" width="10.125" style="446" bestFit="1" customWidth="1"/>
    <col min="7" max="7" width="9.625" style="446" customWidth="1"/>
    <col min="8" max="8" width="9.25" style="446" customWidth="1"/>
    <col min="9" max="9" width="10.625" style="446" customWidth="1"/>
    <col min="10" max="10" width="11.75" style="446" customWidth="1"/>
    <col min="11" max="11" width="10" style="446" customWidth="1"/>
    <col min="12" max="13" width="10.5" style="446" customWidth="1"/>
    <col min="14" max="14" width="10.5" style="305" customWidth="1"/>
    <col min="15" max="15" width="11" style="446"/>
    <col min="16" max="16" width="21.75" style="446" bestFit="1" customWidth="1"/>
    <col min="17" max="16384" width="11" style="446"/>
  </cols>
  <sheetData>
    <row r="1" spans="1:17" ht="26.25" x14ac:dyDescent="0.4">
      <c r="A1" s="1362" t="s">
        <v>331</v>
      </c>
      <c r="B1" s="1233"/>
      <c r="C1" s="1233"/>
      <c r="D1" s="1233"/>
      <c r="E1" s="1233"/>
      <c r="F1" s="1233"/>
      <c r="G1" s="1363"/>
      <c r="H1" s="1363"/>
      <c r="I1" s="1363"/>
      <c r="J1" s="1363"/>
      <c r="K1" s="1363"/>
      <c r="L1" s="1363"/>
      <c r="M1" s="1363"/>
      <c r="N1" s="1364"/>
      <c r="O1" s="1363"/>
    </row>
    <row r="2" spans="1:17" ht="27.75" x14ac:dyDescent="0.45">
      <c r="A2" s="408">
        <f>'Datos Básicos'!B8</f>
        <v>0</v>
      </c>
      <c r="P2" s="1189"/>
      <c r="Q2" s="1075"/>
    </row>
    <row r="3" spans="1:17" ht="18" hidden="1" customHeight="1" thickBot="1" x14ac:dyDescent="0.5">
      <c r="A3" s="408"/>
    </row>
    <row r="4" spans="1:17" s="445" customFormat="1" ht="16.5" hidden="1" thickTop="1" thickBot="1" x14ac:dyDescent="0.3">
      <c r="A4" s="459"/>
      <c r="B4" s="460" t="str">
        <f>'Datos Gastos Fijos'!D7</f>
        <v>enero</v>
      </c>
      <c r="C4" s="461" t="str">
        <f>'Datos Gastos Fijos'!E7</f>
        <v>febrero</v>
      </c>
      <c r="D4" s="461" t="str">
        <f>'Datos Gastos Fijos'!F7</f>
        <v>marzo</v>
      </c>
      <c r="E4" s="461" t="str">
        <f>'Datos Gastos Fijos'!G7</f>
        <v>abril</v>
      </c>
      <c r="F4" s="461" t="str">
        <f>'Datos Gastos Fijos'!H7</f>
        <v>mayo</v>
      </c>
      <c r="G4" s="461" t="str">
        <f>'Datos Gastos Fijos'!I7</f>
        <v>junio</v>
      </c>
      <c r="H4" s="461" t="str">
        <f>'Datos Gastos Fijos'!J7</f>
        <v>julio</v>
      </c>
      <c r="I4" s="461" t="str">
        <f>'Datos Gastos Fijos'!K7</f>
        <v>agosto</v>
      </c>
      <c r="J4" s="461" t="str">
        <f>'Datos Gastos Fijos'!L7</f>
        <v>septiembre</v>
      </c>
      <c r="K4" s="461" t="str">
        <f>'Datos Gastos Fijos'!M7</f>
        <v>octubre</v>
      </c>
      <c r="L4" s="461" t="str">
        <f>'Datos Gastos Fijos'!N7</f>
        <v>noviembre</v>
      </c>
      <c r="M4" s="461" t="str">
        <f>'Datos Gastos Fijos'!O7</f>
        <v>diciembre</v>
      </c>
      <c r="N4" s="462" t="s">
        <v>865</v>
      </c>
    </row>
    <row r="9" spans="1:17" ht="27.75" x14ac:dyDescent="0.45">
      <c r="A9" s="408" t="s">
        <v>276</v>
      </c>
      <c r="E9" s="463" t="str">
        <f>'Datos Básicos'!B16&amp;":"</f>
        <v>Año 0:</v>
      </c>
      <c r="F9" s="464">
        <f>'Datos Básicos'!B17</f>
        <v>2026</v>
      </c>
    </row>
    <row r="10" spans="1:17" ht="9" customHeight="1" thickBot="1" x14ac:dyDescent="0.5">
      <c r="A10" s="408"/>
      <c r="G10" s="449"/>
    </row>
    <row r="11" spans="1:17" ht="31.5" customHeight="1" x14ac:dyDescent="0.25">
      <c r="A11" s="1365" t="s">
        <v>52</v>
      </c>
      <c r="B11" s="1366" t="str">
        <f>CONCATENATE(B4," 
",$F$9)</f>
        <v>enero 
2026</v>
      </c>
      <c r="C11" s="1366" t="str">
        <f>CONCATENATE(C4," 
",$F$9)</f>
        <v>febrero 
2026</v>
      </c>
      <c r="D11" s="1366" t="str">
        <f t="shared" ref="D11:M11" si="0">CONCATENATE(D4," 
",$F$9)</f>
        <v>marzo 
2026</v>
      </c>
      <c r="E11" s="1366" t="str">
        <f t="shared" si="0"/>
        <v>abril 
2026</v>
      </c>
      <c r="F11" s="1366" t="str">
        <f t="shared" si="0"/>
        <v>mayo 
2026</v>
      </c>
      <c r="G11" s="1366" t="str">
        <f t="shared" si="0"/>
        <v>junio 
2026</v>
      </c>
      <c r="H11" s="1366" t="str">
        <f t="shared" si="0"/>
        <v>julio 
2026</v>
      </c>
      <c r="I11" s="1366" t="str">
        <f t="shared" si="0"/>
        <v>agosto 
2026</v>
      </c>
      <c r="J11" s="1366" t="str">
        <f t="shared" si="0"/>
        <v>septiembre 
2026</v>
      </c>
      <c r="K11" s="1366" t="str">
        <f t="shared" si="0"/>
        <v>octubre 
2026</v>
      </c>
      <c r="L11" s="1366" t="str">
        <f t="shared" si="0"/>
        <v>noviembre 
2026</v>
      </c>
      <c r="M11" s="1366" t="str">
        <f t="shared" si="0"/>
        <v>diciembre 
2026</v>
      </c>
      <c r="N11" s="2214" t="str">
        <f>CONCATENATE("Totales  ",$F$9)</f>
        <v>Totales  2026</v>
      </c>
    </row>
    <row r="12" spans="1:17" ht="15.75" x14ac:dyDescent="0.25">
      <c r="A12" s="1367" t="str">
        <f>IF(Parametros!A24="","",Parametros!A24)</f>
        <v/>
      </c>
      <c r="B12" s="1368">
        <v>0</v>
      </c>
      <c r="C12" s="1368">
        <v>0</v>
      </c>
      <c r="D12" s="1368">
        <v>0</v>
      </c>
      <c r="E12" s="1368">
        <v>0</v>
      </c>
      <c r="F12" s="1368">
        <v>0</v>
      </c>
      <c r="G12" s="1368">
        <v>0</v>
      </c>
      <c r="H12" s="1368">
        <v>0</v>
      </c>
      <c r="I12" s="1368">
        <v>0</v>
      </c>
      <c r="J12" s="1368">
        <v>0</v>
      </c>
      <c r="K12" s="1368">
        <v>0</v>
      </c>
      <c r="L12" s="1368">
        <v>0</v>
      </c>
      <c r="M12" s="1368">
        <v>0</v>
      </c>
      <c r="N12" s="2215">
        <f>SUM(B12:M12)</f>
        <v>0</v>
      </c>
    </row>
    <row r="13" spans="1:17" ht="15.75" x14ac:dyDescent="0.25">
      <c r="A13" s="1367" t="str">
        <f>IF(Parametros!A25="","",Parametros!A25)</f>
        <v/>
      </c>
      <c r="B13" s="2475">
        <v>0</v>
      </c>
      <c r="C13" s="1368">
        <v>0</v>
      </c>
      <c r="D13" s="1368">
        <v>0</v>
      </c>
      <c r="E13" s="1368">
        <v>0</v>
      </c>
      <c r="F13" s="1368">
        <v>0</v>
      </c>
      <c r="G13" s="1368">
        <v>0</v>
      </c>
      <c r="H13" s="1368">
        <v>0</v>
      </c>
      <c r="I13" s="1368">
        <v>0</v>
      </c>
      <c r="J13" s="1368">
        <v>0</v>
      </c>
      <c r="K13" s="1368">
        <v>0</v>
      </c>
      <c r="L13" s="1368">
        <v>0</v>
      </c>
      <c r="M13" s="1368">
        <v>0</v>
      </c>
      <c r="N13" s="2215">
        <f t="shared" ref="N13:N20" si="1">SUM(B13:M13)</f>
        <v>0</v>
      </c>
    </row>
    <row r="14" spans="1:17" ht="15.75" x14ac:dyDescent="0.25">
      <c r="A14" s="1367" t="str">
        <f>IF(Parametros!A26="","",Parametros!A26)</f>
        <v/>
      </c>
      <c r="B14" s="1368">
        <v>0</v>
      </c>
      <c r="C14" s="1368">
        <v>0</v>
      </c>
      <c r="D14" s="1368">
        <v>0</v>
      </c>
      <c r="E14" s="1368">
        <v>0</v>
      </c>
      <c r="F14" s="1368">
        <v>0</v>
      </c>
      <c r="G14" s="1368">
        <v>0</v>
      </c>
      <c r="H14" s="1368">
        <v>0</v>
      </c>
      <c r="I14" s="1368">
        <v>0</v>
      </c>
      <c r="J14" s="1368">
        <v>0</v>
      </c>
      <c r="K14" s="1368">
        <v>0</v>
      </c>
      <c r="L14" s="1368">
        <v>0</v>
      </c>
      <c r="M14" s="1368">
        <v>0</v>
      </c>
      <c r="N14" s="2215">
        <f t="shared" si="1"/>
        <v>0</v>
      </c>
    </row>
    <row r="15" spans="1:17" ht="15.75" x14ac:dyDescent="0.25">
      <c r="A15" s="1367" t="str">
        <f>IF(Parametros!A27="","",Parametros!A27)</f>
        <v/>
      </c>
      <c r="B15" s="1368">
        <v>0</v>
      </c>
      <c r="C15" s="1368">
        <v>0</v>
      </c>
      <c r="D15" s="1368">
        <v>0</v>
      </c>
      <c r="E15" s="1368">
        <v>0</v>
      </c>
      <c r="F15" s="1368">
        <v>0</v>
      </c>
      <c r="G15" s="1368">
        <v>0</v>
      </c>
      <c r="H15" s="1368">
        <v>0</v>
      </c>
      <c r="I15" s="1368">
        <v>0</v>
      </c>
      <c r="J15" s="1368">
        <v>0</v>
      </c>
      <c r="K15" s="1368">
        <v>0</v>
      </c>
      <c r="L15" s="1368">
        <v>0</v>
      </c>
      <c r="M15" s="1368">
        <v>0</v>
      </c>
      <c r="N15" s="2215">
        <f t="shared" si="1"/>
        <v>0</v>
      </c>
    </row>
    <row r="16" spans="1:17" ht="15.75" x14ac:dyDescent="0.25">
      <c r="A16" s="1367" t="str">
        <f>IF(Parametros!A28="","",Parametros!A28)</f>
        <v/>
      </c>
      <c r="B16" s="1368">
        <v>0</v>
      </c>
      <c r="C16" s="1368">
        <v>0</v>
      </c>
      <c r="D16" s="1368">
        <v>0</v>
      </c>
      <c r="E16" s="1368">
        <v>0</v>
      </c>
      <c r="F16" s="1368">
        <v>0</v>
      </c>
      <c r="G16" s="1368">
        <v>0</v>
      </c>
      <c r="H16" s="1368">
        <v>0</v>
      </c>
      <c r="I16" s="1368">
        <v>0</v>
      </c>
      <c r="J16" s="1368">
        <v>0</v>
      </c>
      <c r="K16" s="1368">
        <v>0</v>
      </c>
      <c r="L16" s="1368">
        <v>0</v>
      </c>
      <c r="M16" s="1368">
        <v>0</v>
      </c>
      <c r="N16" s="2215">
        <f t="shared" si="1"/>
        <v>0</v>
      </c>
    </row>
    <row r="17" spans="1:14" ht="15.75" x14ac:dyDescent="0.25">
      <c r="A17" s="1367" t="str">
        <f>IF(Parametros!A29="","",Parametros!A29)</f>
        <v/>
      </c>
      <c r="B17" s="1368">
        <v>0</v>
      </c>
      <c r="C17" s="1368">
        <v>0</v>
      </c>
      <c r="D17" s="1368">
        <v>0</v>
      </c>
      <c r="E17" s="1368">
        <v>0</v>
      </c>
      <c r="F17" s="1368">
        <v>0</v>
      </c>
      <c r="G17" s="1368">
        <v>0</v>
      </c>
      <c r="H17" s="1368">
        <v>0</v>
      </c>
      <c r="I17" s="1368">
        <v>0</v>
      </c>
      <c r="J17" s="1368">
        <v>0</v>
      </c>
      <c r="K17" s="1368">
        <v>0</v>
      </c>
      <c r="L17" s="1368">
        <v>0</v>
      </c>
      <c r="M17" s="1368">
        <v>0</v>
      </c>
      <c r="N17" s="2215">
        <f t="shared" si="1"/>
        <v>0</v>
      </c>
    </row>
    <row r="18" spans="1:14" ht="15.75" x14ac:dyDescent="0.25">
      <c r="A18" s="1367" t="str">
        <f>IF(Parametros!A30="","",Parametros!A30)</f>
        <v/>
      </c>
      <c r="B18" s="1368">
        <v>0</v>
      </c>
      <c r="C18" s="1368">
        <v>0</v>
      </c>
      <c r="D18" s="1368">
        <v>0</v>
      </c>
      <c r="E18" s="1368">
        <v>0</v>
      </c>
      <c r="F18" s="1368">
        <v>0</v>
      </c>
      <c r="G18" s="1368">
        <v>0</v>
      </c>
      <c r="H18" s="1368">
        <v>0</v>
      </c>
      <c r="I18" s="1368">
        <v>0</v>
      </c>
      <c r="J18" s="1368">
        <v>0</v>
      </c>
      <c r="K18" s="1368">
        <v>0</v>
      </c>
      <c r="L18" s="1368">
        <v>0</v>
      </c>
      <c r="M18" s="1368">
        <v>0</v>
      </c>
      <c r="N18" s="2215">
        <f t="shared" si="1"/>
        <v>0</v>
      </c>
    </row>
    <row r="19" spans="1:14" ht="15.75" x14ac:dyDescent="0.25">
      <c r="A19" s="1367" t="str">
        <f>IF(Parametros!A31="","",Parametros!A31)</f>
        <v/>
      </c>
      <c r="B19" s="1368">
        <v>0</v>
      </c>
      <c r="C19" s="1368">
        <v>0</v>
      </c>
      <c r="D19" s="1368">
        <v>0</v>
      </c>
      <c r="E19" s="1368">
        <v>0</v>
      </c>
      <c r="F19" s="1368">
        <v>0</v>
      </c>
      <c r="G19" s="1368">
        <v>0</v>
      </c>
      <c r="H19" s="1368">
        <v>0</v>
      </c>
      <c r="I19" s="1368">
        <v>0</v>
      </c>
      <c r="J19" s="1368">
        <v>0</v>
      </c>
      <c r="K19" s="1368">
        <v>0</v>
      </c>
      <c r="L19" s="1368">
        <v>0</v>
      </c>
      <c r="M19" s="1368">
        <v>0</v>
      </c>
      <c r="N19" s="2215">
        <f t="shared" si="1"/>
        <v>0</v>
      </c>
    </row>
    <row r="20" spans="1:14" ht="15.75" thickBot="1" x14ac:dyDescent="0.3">
      <c r="A20" s="2139" t="s">
        <v>865</v>
      </c>
      <c r="B20" s="2140">
        <f>SUM(B12:B19)</f>
        <v>0</v>
      </c>
      <c r="C20" s="2140">
        <f t="shared" ref="C20:M20" si="2">SUM(C12:C19)</f>
        <v>0</v>
      </c>
      <c r="D20" s="2140">
        <f t="shared" si="2"/>
        <v>0</v>
      </c>
      <c r="E20" s="2140">
        <f t="shared" si="2"/>
        <v>0</v>
      </c>
      <c r="F20" s="2140">
        <f t="shared" si="2"/>
        <v>0</v>
      </c>
      <c r="G20" s="2140">
        <f t="shared" si="2"/>
        <v>0</v>
      </c>
      <c r="H20" s="2140">
        <f t="shared" si="2"/>
        <v>0</v>
      </c>
      <c r="I20" s="2140">
        <f t="shared" si="2"/>
        <v>0</v>
      </c>
      <c r="J20" s="2140">
        <f t="shared" si="2"/>
        <v>0</v>
      </c>
      <c r="K20" s="2140">
        <f t="shared" si="2"/>
        <v>0</v>
      </c>
      <c r="L20" s="2140">
        <f t="shared" si="2"/>
        <v>0</v>
      </c>
      <c r="M20" s="2140">
        <f t="shared" si="2"/>
        <v>0</v>
      </c>
      <c r="N20" s="2216">
        <f t="shared" si="1"/>
        <v>0</v>
      </c>
    </row>
    <row r="21" spans="1:14" ht="17.25" x14ac:dyDescent="0.3">
      <c r="A21" s="450"/>
      <c r="B21" s="1012">
        <v>1</v>
      </c>
      <c r="C21" s="1012">
        <v>2</v>
      </c>
      <c r="D21" s="1012">
        <v>3</v>
      </c>
      <c r="E21" s="1012">
        <v>4</v>
      </c>
      <c r="F21" s="1012">
        <v>5</v>
      </c>
      <c r="G21" s="1012">
        <v>6</v>
      </c>
      <c r="H21" s="1012">
        <v>7</v>
      </c>
      <c r="I21" s="1012">
        <v>8</v>
      </c>
      <c r="J21" s="1012">
        <v>9</v>
      </c>
      <c r="K21" s="1012">
        <v>10</v>
      </c>
      <c r="L21" s="1012">
        <v>11</v>
      </c>
      <c r="M21" s="1012">
        <v>12</v>
      </c>
    </row>
    <row r="22" spans="1:14" ht="27.75" x14ac:dyDescent="0.45">
      <c r="A22" s="408" t="str">
        <f>A9</f>
        <v>Previsiones de Ventas de la empresa</v>
      </c>
      <c r="E22" s="469">
        <f>'Datos Básicos'!C16</f>
        <v>1</v>
      </c>
      <c r="F22" s="470">
        <f>F9+1</f>
        <v>2027</v>
      </c>
    </row>
    <row r="23" spans="1:14" ht="9.75" customHeight="1" thickBot="1" x14ac:dyDescent="0.3"/>
    <row r="24" spans="1:14" ht="30" x14ac:dyDescent="0.25">
      <c r="A24" s="1365" t="s">
        <v>52</v>
      </c>
      <c r="B24" s="1366" t="str">
        <f t="shared" ref="B24:M24" si="3">CONCATENATE(B4,"
",$F$22)</f>
        <v>enero
2027</v>
      </c>
      <c r="C24" s="1366" t="str">
        <f>CONCATENATE(C4,"
",$F$22)</f>
        <v>febrero
2027</v>
      </c>
      <c r="D24" s="1366" t="str">
        <f t="shared" si="3"/>
        <v>marzo
2027</v>
      </c>
      <c r="E24" s="1366" t="str">
        <f t="shared" si="3"/>
        <v>abril
2027</v>
      </c>
      <c r="F24" s="1366" t="str">
        <f t="shared" si="3"/>
        <v>mayo
2027</v>
      </c>
      <c r="G24" s="1366" t="str">
        <f t="shared" si="3"/>
        <v>junio
2027</v>
      </c>
      <c r="H24" s="1366" t="str">
        <f t="shared" si="3"/>
        <v>julio
2027</v>
      </c>
      <c r="I24" s="1366" t="str">
        <f t="shared" si="3"/>
        <v>agosto
2027</v>
      </c>
      <c r="J24" s="1366" t="str">
        <f t="shared" si="3"/>
        <v>septiembre
2027</v>
      </c>
      <c r="K24" s="1366" t="str">
        <f t="shared" si="3"/>
        <v>octubre
2027</v>
      </c>
      <c r="L24" s="1366" t="str">
        <f t="shared" si="3"/>
        <v>noviembre
2027</v>
      </c>
      <c r="M24" s="1366" t="str">
        <f t="shared" si="3"/>
        <v>diciembre
2027</v>
      </c>
      <c r="N24" s="2214" t="str">
        <f>CONCATENATE("Totales  ",$F$22)</f>
        <v>Totales  2027</v>
      </c>
    </row>
    <row r="25" spans="1:14" ht="15.75" x14ac:dyDescent="0.25">
      <c r="A25" s="1367" t="str">
        <f t="shared" ref="A25:A32" si="4">A12</f>
        <v/>
      </c>
      <c r="B25" s="1368">
        <f t="shared" ref="B25:M25" si="5">B12*1.05</f>
        <v>0</v>
      </c>
      <c r="C25" s="1368">
        <f t="shared" si="5"/>
        <v>0</v>
      </c>
      <c r="D25" s="1368">
        <f t="shared" si="5"/>
        <v>0</v>
      </c>
      <c r="E25" s="1368">
        <f t="shared" si="5"/>
        <v>0</v>
      </c>
      <c r="F25" s="1368">
        <f t="shared" si="5"/>
        <v>0</v>
      </c>
      <c r="G25" s="1368">
        <f t="shared" si="5"/>
        <v>0</v>
      </c>
      <c r="H25" s="1368">
        <f t="shared" si="5"/>
        <v>0</v>
      </c>
      <c r="I25" s="1368">
        <f t="shared" si="5"/>
        <v>0</v>
      </c>
      <c r="J25" s="1368">
        <f t="shared" si="5"/>
        <v>0</v>
      </c>
      <c r="K25" s="1368">
        <f t="shared" si="5"/>
        <v>0</v>
      </c>
      <c r="L25" s="1368">
        <f t="shared" si="5"/>
        <v>0</v>
      </c>
      <c r="M25" s="1368">
        <f t="shared" si="5"/>
        <v>0</v>
      </c>
      <c r="N25" s="2215">
        <f t="shared" ref="N25:N33" si="6">SUM(B25:M25)</f>
        <v>0</v>
      </c>
    </row>
    <row r="26" spans="1:14" ht="15.75" x14ac:dyDescent="0.25">
      <c r="A26" s="1367" t="str">
        <f t="shared" si="4"/>
        <v/>
      </c>
      <c r="B26" s="1368">
        <f t="shared" ref="B26:M26" si="7">B13*1.05</f>
        <v>0</v>
      </c>
      <c r="C26" s="1368">
        <f t="shared" si="7"/>
        <v>0</v>
      </c>
      <c r="D26" s="1368">
        <f t="shared" si="7"/>
        <v>0</v>
      </c>
      <c r="E26" s="1368">
        <f t="shared" si="7"/>
        <v>0</v>
      </c>
      <c r="F26" s="1368">
        <f t="shared" si="7"/>
        <v>0</v>
      </c>
      <c r="G26" s="1368">
        <f t="shared" si="7"/>
        <v>0</v>
      </c>
      <c r="H26" s="1368">
        <f t="shared" si="7"/>
        <v>0</v>
      </c>
      <c r="I26" s="1368">
        <f t="shared" si="7"/>
        <v>0</v>
      </c>
      <c r="J26" s="1368">
        <f t="shared" si="7"/>
        <v>0</v>
      </c>
      <c r="K26" s="1368">
        <f t="shared" si="7"/>
        <v>0</v>
      </c>
      <c r="L26" s="1368">
        <f t="shared" si="7"/>
        <v>0</v>
      </c>
      <c r="M26" s="1368">
        <f t="shared" si="7"/>
        <v>0</v>
      </c>
      <c r="N26" s="2215">
        <f t="shared" si="6"/>
        <v>0</v>
      </c>
    </row>
    <row r="27" spans="1:14" ht="15.75" x14ac:dyDescent="0.25">
      <c r="A27" s="1367" t="str">
        <f t="shared" si="4"/>
        <v/>
      </c>
      <c r="B27" s="1368">
        <f t="shared" ref="B27:M27" si="8">B14*1.05</f>
        <v>0</v>
      </c>
      <c r="C27" s="1368">
        <f t="shared" si="8"/>
        <v>0</v>
      </c>
      <c r="D27" s="1368">
        <f t="shared" si="8"/>
        <v>0</v>
      </c>
      <c r="E27" s="1368">
        <f t="shared" si="8"/>
        <v>0</v>
      </c>
      <c r="F27" s="1368">
        <f t="shared" si="8"/>
        <v>0</v>
      </c>
      <c r="G27" s="1368">
        <f t="shared" si="8"/>
        <v>0</v>
      </c>
      <c r="H27" s="1368">
        <f t="shared" si="8"/>
        <v>0</v>
      </c>
      <c r="I27" s="1368">
        <f t="shared" si="8"/>
        <v>0</v>
      </c>
      <c r="J27" s="1368">
        <f t="shared" si="8"/>
        <v>0</v>
      </c>
      <c r="K27" s="1368">
        <f t="shared" si="8"/>
        <v>0</v>
      </c>
      <c r="L27" s="1368">
        <f t="shared" si="8"/>
        <v>0</v>
      </c>
      <c r="M27" s="1368">
        <f t="shared" si="8"/>
        <v>0</v>
      </c>
      <c r="N27" s="2215">
        <f t="shared" si="6"/>
        <v>0</v>
      </c>
    </row>
    <row r="28" spans="1:14" ht="15.75" x14ac:dyDescent="0.25">
      <c r="A28" s="1367" t="str">
        <f t="shared" si="4"/>
        <v/>
      </c>
      <c r="B28" s="1368">
        <f t="shared" ref="B28:M28" si="9">B15*1.05</f>
        <v>0</v>
      </c>
      <c r="C28" s="1368">
        <f t="shared" si="9"/>
        <v>0</v>
      </c>
      <c r="D28" s="1368">
        <f t="shared" si="9"/>
        <v>0</v>
      </c>
      <c r="E28" s="1368">
        <f t="shared" si="9"/>
        <v>0</v>
      </c>
      <c r="F28" s="1368">
        <f t="shared" si="9"/>
        <v>0</v>
      </c>
      <c r="G28" s="1368">
        <f t="shared" si="9"/>
        <v>0</v>
      </c>
      <c r="H28" s="1368">
        <f t="shared" si="9"/>
        <v>0</v>
      </c>
      <c r="I28" s="1368">
        <f t="shared" si="9"/>
        <v>0</v>
      </c>
      <c r="J28" s="1368">
        <f t="shared" si="9"/>
        <v>0</v>
      </c>
      <c r="K28" s="1368">
        <f t="shared" si="9"/>
        <v>0</v>
      </c>
      <c r="L28" s="1368">
        <f t="shared" si="9"/>
        <v>0</v>
      </c>
      <c r="M28" s="1368">
        <f t="shared" si="9"/>
        <v>0</v>
      </c>
      <c r="N28" s="2215">
        <f t="shared" si="6"/>
        <v>0</v>
      </c>
    </row>
    <row r="29" spans="1:14" ht="15.75" x14ac:dyDescent="0.25">
      <c r="A29" s="1367" t="str">
        <f t="shared" si="4"/>
        <v/>
      </c>
      <c r="B29" s="1368">
        <f t="shared" ref="B29:M29" si="10">B16*1.05</f>
        <v>0</v>
      </c>
      <c r="C29" s="1368">
        <f t="shared" si="10"/>
        <v>0</v>
      </c>
      <c r="D29" s="1368">
        <f t="shared" si="10"/>
        <v>0</v>
      </c>
      <c r="E29" s="1368">
        <f t="shared" si="10"/>
        <v>0</v>
      </c>
      <c r="F29" s="1368">
        <f t="shared" si="10"/>
        <v>0</v>
      </c>
      <c r="G29" s="1368">
        <f t="shared" si="10"/>
        <v>0</v>
      </c>
      <c r="H29" s="1368">
        <f t="shared" si="10"/>
        <v>0</v>
      </c>
      <c r="I29" s="1368">
        <f t="shared" si="10"/>
        <v>0</v>
      </c>
      <c r="J29" s="1368">
        <f t="shared" si="10"/>
        <v>0</v>
      </c>
      <c r="K29" s="1368">
        <f t="shared" si="10"/>
        <v>0</v>
      </c>
      <c r="L29" s="1368">
        <f t="shared" si="10"/>
        <v>0</v>
      </c>
      <c r="M29" s="1368">
        <f t="shared" si="10"/>
        <v>0</v>
      </c>
      <c r="N29" s="2215">
        <f t="shared" si="6"/>
        <v>0</v>
      </c>
    </row>
    <row r="30" spans="1:14" ht="15.75" x14ac:dyDescent="0.25">
      <c r="A30" s="1367" t="str">
        <f t="shared" si="4"/>
        <v/>
      </c>
      <c r="B30" s="1368">
        <f t="shared" ref="B30:M30" si="11">B17*1.05</f>
        <v>0</v>
      </c>
      <c r="C30" s="1368">
        <f t="shared" si="11"/>
        <v>0</v>
      </c>
      <c r="D30" s="1368">
        <f t="shared" si="11"/>
        <v>0</v>
      </c>
      <c r="E30" s="1368">
        <f t="shared" si="11"/>
        <v>0</v>
      </c>
      <c r="F30" s="1368">
        <f t="shared" si="11"/>
        <v>0</v>
      </c>
      <c r="G30" s="1368">
        <f t="shared" si="11"/>
        <v>0</v>
      </c>
      <c r="H30" s="1368">
        <f t="shared" si="11"/>
        <v>0</v>
      </c>
      <c r="I30" s="1368">
        <f t="shared" si="11"/>
        <v>0</v>
      </c>
      <c r="J30" s="1368">
        <f t="shared" si="11"/>
        <v>0</v>
      </c>
      <c r="K30" s="1368">
        <f t="shared" si="11"/>
        <v>0</v>
      </c>
      <c r="L30" s="1368">
        <f t="shared" si="11"/>
        <v>0</v>
      </c>
      <c r="M30" s="1368">
        <f t="shared" si="11"/>
        <v>0</v>
      </c>
      <c r="N30" s="2215">
        <f t="shared" si="6"/>
        <v>0</v>
      </c>
    </row>
    <row r="31" spans="1:14" ht="15.75" x14ac:dyDescent="0.25">
      <c r="A31" s="1367" t="str">
        <f t="shared" si="4"/>
        <v/>
      </c>
      <c r="B31" s="1368">
        <f t="shared" ref="B31:M31" si="12">B18*1.05</f>
        <v>0</v>
      </c>
      <c r="C31" s="1368">
        <f t="shared" si="12"/>
        <v>0</v>
      </c>
      <c r="D31" s="1368">
        <f t="shared" si="12"/>
        <v>0</v>
      </c>
      <c r="E31" s="1368">
        <f t="shared" si="12"/>
        <v>0</v>
      </c>
      <c r="F31" s="1368">
        <f t="shared" si="12"/>
        <v>0</v>
      </c>
      <c r="G31" s="1368">
        <f t="shared" si="12"/>
        <v>0</v>
      </c>
      <c r="H31" s="1368">
        <f t="shared" si="12"/>
        <v>0</v>
      </c>
      <c r="I31" s="1368">
        <f t="shared" si="12"/>
        <v>0</v>
      </c>
      <c r="J31" s="1368">
        <f t="shared" si="12"/>
        <v>0</v>
      </c>
      <c r="K31" s="1368">
        <f t="shared" si="12"/>
        <v>0</v>
      </c>
      <c r="L31" s="1368">
        <f t="shared" si="12"/>
        <v>0</v>
      </c>
      <c r="M31" s="1368">
        <f t="shared" si="12"/>
        <v>0</v>
      </c>
      <c r="N31" s="2215">
        <f t="shared" si="6"/>
        <v>0</v>
      </c>
    </row>
    <row r="32" spans="1:14" ht="15.75" x14ac:dyDescent="0.25">
      <c r="A32" s="1367" t="str">
        <f t="shared" si="4"/>
        <v/>
      </c>
      <c r="B32" s="1368">
        <f t="shared" ref="B32:M32" si="13">B19*1.05</f>
        <v>0</v>
      </c>
      <c r="C32" s="1368">
        <f t="shared" si="13"/>
        <v>0</v>
      </c>
      <c r="D32" s="1368">
        <f t="shared" si="13"/>
        <v>0</v>
      </c>
      <c r="E32" s="1368">
        <f t="shared" si="13"/>
        <v>0</v>
      </c>
      <c r="F32" s="1368">
        <f t="shared" si="13"/>
        <v>0</v>
      </c>
      <c r="G32" s="1368">
        <f t="shared" si="13"/>
        <v>0</v>
      </c>
      <c r="H32" s="1368">
        <f t="shared" si="13"/>
        <v>0</v>
      </c>
      <c r="I32" s="1368">
        <f t="shared" si="13"/>
        <v>0</v>
      </c>
      <c r="J32" s="1368">
        <f t="shared" si="13"/>
        <v>0</v>
      </c>
      <c r="K32" s="1368">
        <f t="shared" si="13"/>
        <v>0</v>
      </c>
      <c r="L32" s="1368">
        <f t="shared" si="13"/>
        <v>0</v>
      </c>
      <c r="M32" s="1368">
        <f t="shared" si="13"/>
        <v>0</v>
      </c>
      <c r="N32" s="2215">
        <f t="shared" si="6"/>
        <v>0</v>
      </c>
    </row>
    <row r="33" spans="1:14" ht="15.75" thickBot="1" x14ac:dyDescent="0.3">
      <c r="A33" s="2139" t="s">
        <v>860</v>
      </c>
      <c r="B33" s="2140">
        <f t="shared" ref="B33:M33" si="14">B25+B26+B27+B28+B29+B30+B31+B32</f>
        <v>0</v>
      </c>
      <c r="C33" s="2140">
        <f t="shared" si="14"/>
        <v>0</v>
      </c>
      <c r="D33" s="2140">
        <f t="shared" si="14"/>
        <v>0</v>
      </c>
      <c r="E33" s="2140">
        <f t="shared" si="14"/>
        <v>0</v>
      </c>
      <c r="F33" s="2140">
        <f t="shared" si="14"/>
        <v>0</v>
      </c>
      <c r="G33" s="2140">
        <f t="shared" si="14"/>
        <v>0</v>
      </c>
      <c r="H33" s="2140">
        <f t="shared" si="14"/>
        <v>0</v>
      </c>
      <c r="I33" s="2140">
        <f t="shared" si="14"/>
        <v>0</v>
      </c>
      <c r="J33" s="2140">
        <f t="shared" si="14"/>
        <v>0</v>
      </c>
      <c r="K33" s="2140">
        <f t="shared" si="14"/>
        <v>0</v>
      </c>
      <c r="L33" s="2140">
        <f t="shared" si="14"/>
        <v>0</v>
      </c>
      <c r="M33" s="2140">
        <f t="shared" si="14"/>
        <v>0</v>
      </c>
      <c r="N33" s="2216">
        <f t="shared" si="6"/>
        <v>0</v>
      </c>
    </row>
    <row r="35" spans="1:14" ht="27.75" x14ac:dyDescent="0.45">
      <c r="A35" s="408" t="str">
        <f>A22</f>
        <v>Previsiones de Ventas de la empresa</v>
      </c>
      <c r="E35" s="469">
        <f>E22+1</f>
        <v>2</v>
      </c>
      <c r="F35" s="470">
        <f>F22+1</f>
        <v>2028</v>
      </c>
    </row>
    <row r="36" spans="1:14" ht="10.5" customHeight="1" thickBot="1" x14ac:dyDescent="0.3"/>
    <row r="37" spans="1:14" ht="30" x14ac:dyDescent="0.25">
      <c r="A37" s="1365" t="s">
        <v>52</v>
      </c>
      <c r="B37" s="1366" t="str">
        <f t="shared" ref="B37:M37" si="15">CONCATENATE(B4,"
",$F$35)</f>
        <v>enero
2028</v>
      </c>
      <c r="C37" s="1366" t="str">
        <f>CONCATENATE(C4,"
",$F$35)</f>
        <v>febrero
2028</v>
      </c>
      <c r="D37" s="1366" t="str">
        <f t="shared" si="15"/>
        <v>marzo
2028</v>
      </c>
      <c r="E37" s="1366" t="str">
        <f t="shared" si="15"/>
        <v>abril
2028</v>
      </c>
      <c r="F37" s="1366" t="str">
        <f t="shared" si="15"/>
        <v>mayo
2028</v>
      </c>
      <c r="G37" s="1366" t="str">
        <f t="shared" si="15"/>
        <v>junio
2028</v>
      </c>
      <c r="H37" s="1366" t="str">
        <f t="shared" si="15"/>
        <v>julio
2028</v>
      </c>
      <c r="I37" s="1366" t="str">
        <f t="shared" si="15"/>
        <v>agosto
2028</v>
      </c>
      <c r="J37" s="1366" t="str">
        <f t="shared" si="15"/>
        <v>septiembre
2028</v>
      </c>
      <c r="K37" s="1366" t="str">
        <f t="shared" si="15"/>
        <v>octubre
2028</v>
      </c>
      <c r="L37" s="1366" t="str">
        <f t="shared" si="15"/>
        <v>noviembre
2028</v>
      </c>
      <c r="M37" s="1366" t="str">
        <f t="shared" si="15"/>
        <v>diciembre
2028</v>
      </c>
      <c r="N37" s="2214" t="str">
        <f>CONCATENATE("Totales  ",$F$35)</f>
        <v>Totales  2028</v>
      </c>
    </row>
    <row r="38" spans="1:14" ht="15.75" x14ac:dyDescent="0.25">
      <c r="A38" s="1367" t="str">
        <f t="shared" ref="A38:A45" si="16">A25</f>
        <v/>
      </c>
      <c r="B38" s="1368">
        <f t="shared" ref="B38:M38" si="17">B25*1.05</f>
        <v>0</v>
      </c>
      <c r="C38" s="1368">
        <f t="shared" si="17"/>
        <v>0</v>
      </c>
      <c r="D38" s="1368">
        <f t="shared" si="17"/>
        <v>0</v>
      </c>
      <c r="E38" s="1368">
        <f t="shared" si="17"/>
        <v>0</v>
      </c>
      <c r="F38" s="1368">
        <f t="shared" si="17"/>
        <v>0</v>
      </c>
      <c r="G38" s="1368">
        <f t="shared" si="17"/>
        <v>0</v>
      </c>
      <c r="H38" s="1368">
        <f t="shared" si="17"/>
        <v>0</v>
      </c>
      <c r="I38" s="1368">
        <f t="shared" si="17"/>
        <v>0</v>
      </c>
      <c r="J38" s="1368">
        <f t="shared" si="17"/>
        <v>0</v>
      </c>
      <c r="K38" s="1368">
        <f t="shared" si="17"/>
        <v>0</v>
      </c>
      <c r="L38" s="1368">
        <f t="shared" si="17"/>
        <v>0</v>
      </c>
      <c r="M38" s="1368">
        <f t="shared" si="17"/>
        <v>0</v>
      </c>
      <c r="N38" s="2215">
        <f t="shared" ref="N38:N46" si="18">SUM(B38:M38)</f>
        <v>0</v>
      </c>
    </row>
    <row r="39" spans="1:14" ht="15.75" x14ac:dyDescent="0.25">
      <c r="A39" s="1367" t="str">
        <f t="shared" si="16"/>
        <v/>
      </c>
      <c r="B39" s="1368">
        <f t="shared" ref="B39:M39" si="19">B26*1.05</f>
        <v>0</v>
      </c>
      <c r="C39" s="1368">
        <f t="shared" si="19"/>
        <v>0</v>
      </c>
      <c r="D39" s="1368">
        <f t="shared" si="19"/>
        <v>0</v>
      </c>
      <c r="E39" s="1368">
        <f t="shared" si="19"/>
        <v>0</v>
      </c>
      <c r="F39" s="1368">
        <f t="shared" si="19"/>
        <v>0</v>
      </c>
      <c r="G39" s="1368">
        <f t="shared" si="19"/>
        <v>0</v>
      </c>
      <c r="H39" s="1368">
        <f t="shared" si="19"/>
        <v>0</v>
      </c>
      <c r="I39" s="1368">
        <f t="shared" si="19"/>
        <v>0</v>
      </c>
      <c r="J39" s="1368">
        <f t="shared" si="19"/>
        <v>0</v>
      </c>
      <c r="K39" s="1368">
        <f t="shared" si="19"/>
        <v>0</v>
      </c>
      <c r="L39" s="1368">
        <f t="shared" si="19"/>
        <v>0</v>
      </c>
      <c r="M39" s="1368">
        <f t="shared" si="19"/>
        <v>0</v>
      </c>
      <c r="N39" s="2215">
        <f t="shared" si="18"/>
        <v>0</v>
      </c>
    </row>
    <row r="40" spans="1:14" ht="15.75" x14ac:dyDescent="0.25">
      <c r="A40" s="1367" t="str">
        <f t="shared" si="16"/>
        <v/>
      </c>
      <c r="B40" s="1368">
        <f t="shared" ref="B40:M40" si="20">B27*1.05</f>
        <v>0</v>
      </c>
      <c r="C40" s="1368">
        <f t="shared" si="20"/>
        <v>0</v>
      </c>
      <c r="D40" s="1368">
        <f t="shared" si="20"/>
        <v>0</v>
      </c>
      <c r="E40" s="1368">
        <f t="shared" si="20"/>
        <v>0</v>
      </c>
      <c r="F40" s="1368">
        <f t="shared" si="20"/>
        <v>0</v>
      </c>
      <c r="G40" s="1368">
        <f t="shared" si="20"/>
        <v>0</v>
      </c>
      <c r="H40" s="1368">
        <f t="shared" si="20"/>
        <v>0</v>
      </c>
      <c r="I40" s="1368">
        <f t="shared" si="20"/>
        <v>0</v>
      </c>
      <c r="J40" s="1368">
        <f t="shared" si="20"/>
        <v>0</v>
      </c>
      <c r="K40" s="1368">
        <f t="shared" si="20"/>
        <v>0</v>
      </c>
      <c r="L40" s="1368">
        <f t="shared" si="20"/>
        <v>0</v>
      </c>
      <c r="M40" s="1368">
        <f t="shared" si="20"/>
        <v>0</v>
      </c>
      <c r="N40" s="2215">
        <f t="shared" si="18"/>
        <v>0</v>
      </c>
    </row>
    <row r="41" spans="1:14" ht="15.75" x14ac:dyDescent="0.25">
      <c r="A41" s="1367" t="str">
        <f t="shared" si="16"/>
        <v/>
      </c>
      <c r="B41" s="1368">
        <f t="shared" ref="B41:M41" si="21">B28*1.05</f>
        <v>0</v>
      </c>
      <c r="C41" s="1368">
        <f t="shared" si="21"/>
        <v>0</v>
      </c>
      <c r="D41" s="1368">
        <f t="shared" si="21"/>
        <v>0</v>
      </c>
      <c r="E41" s="1368">
        <f t="shared" si="21"/>
        <v>0</v>
      </c>
      <c r="F41" s="1368">
        <f t="shared" si="21"/>
        <v>0</v>
      </c>
      <c r="G41" s="1368">
        <f t="shared" si="21"/>
        <v>0</v>
      </c>
      <c r="H41" s="1368">
        <f t="shared" si="21"/>
        <v>0</v>
      </c>
      <c r="I41" s="1368">
        <f t="shared" si="21"/>
        <v>0</v>
      </c>
      <c r="J41" s="1368">
        <f t="shared" si="21"/>
        <v>0</v>
      </c>
      <c r="K41" s="1368">
        <f t="shared" si="21"/>
        <v>0</v>
      </c>
      <c r="L41" s="1368">
        <f t="shared" si="21"/>
        <v>0</v>
      </c>
      <c r="M41" s="1368">
        <f t="shared" si="21"/>
        <v>0</v>
      </c>
      <c r="N41" s="2215">
        <f t="shared" si="18"/>
        <v>0</v>
      </c>
    </row>
    <row r="42" spans="1:14" ht="15.75" x14ac:dyDescent="0.25">
      <c r="A42" s="1367" t="str">
        <f t="shared" si="16"/>
        <v/>
      </c>
      <c r="B42" s="1368">
        <f t="shared" ref="B42:M42" si="22">B29*1.05</f>
        <v>0</v>
      </c>
      <c r="C42" s="1368">
        <f t="shared" si="22"/>
        <v>0</v>
      </c>
      <c r="D42" s="1368">
        <f t="shared" si="22"/>
        <v>0</v>
      </c>
      <c r="E42" s="1368">
        <f t="shared" si="22"/>
        <v>0</v>
      </c>
      <c r="F42" s="1368">
        <f t="shared" si="22"/>
        <v>0</v>
      </c>
      <c r="G42" s="1368">
        <f t="shared" si="22"/>
        <v>0</v>
      </c>
      <c r="H42" s="1368">
        <f t="shared" si="22"/>
        <v>0</v>
      </c>
      <c r="I42" s="1368">
        <f t="shared" si="22"/>
        <v>0</v>
      </c>
      <c r="J42" s="1368">
        <f t="shared" si="22"/>
        <v>0</v>
      </c>
      <c r="K42" s="1368">
        <f t="shared" si="22"/>
        <v>0</v>
      </c>
      <c r="L42" s="1368">
        <f t="shared" si="22"/>
        <v>0</v>
      </c>
      <c r="M42" s="1368">
        <f t="shared" si="22"/>
        <v>0</v>
      </c>
      <c r="N42" s="2215">
        <f t="shared" si="18"/>
        <v>0</v>
      </c>
    </row>
    <row r="43" spans="1:14" ht="15.75" x14ac:dyDescent="0.25">
      <c r="A43" s="1367" t="str">
        <f t="shared" si="16"/>
        <v/>
      </c>
      <c r="B43" s="1368">
        <f t="shared" ref="B43:M43" si="23">B30*1.05</f>
        <v>0</v>
      </c>
      <c r="C43" s="1368">
        <f t="shared" si="23"/>
        <v>0</v>
      </c>
      <c r="D43" s="1368">
        <f t="shared" si="23"/>
        <v>0</v>
      </c>
      <c r="E43" s="1368">
        <f t="shared" si="23"/>
        <v>0</v>
      </c>
      <c r="F43" s="1368">
        <f t="shared" si="23"/>
        <v>0</v>
      </c>
      <c r="G43" s="1368">
        <f t="shared" si="23"/>
        <v>0</v>
      </c>
      <c r="H43" s="1368">
        <f t="shared" si="23"/>
        <v>0</v>
      </c>
      <c r="I43" s="1368">
        <f t="shared" si="23"/>
        <v>0</v>
      </c>
      <c r="J43" s="1368">
        <f t="shared" si="23"/>
        <v>0</v>
      </c>
      <c r="K43" s="1368">
        <f t="shared" si="23"/>
        <v>0</v>
      </c>
      <c r="L43" s="1368">
        <f t="shared" si="23"/>
        <v>0</v>
      </c>
      <c r="M43" s="1368">
        <f t="shared" si="23"/>
        <v>0</v>
      </c>
      <c r="N43" s="2215">
        <f t="shared" si="18"/>
        <v>0</v>
      </c>
    </row>
    <row r="44" spans="1:14" ht="15.75" x14ac:dyDescent="0.25">
      <c r="A44" s="1367" t="str">
        <f t="shared" si="16"/>
        <v/>
      </c>
      <c r="B44" s="1368">
        <f t="shared" ref="B44:M44" si="24">B31*1.05</f>
        <v>0</v>
      </c>
      <c r="C44" s="1368">
        <f t="shared" si="24"/>
        <v>0</v>
      </c>
      <c r="D44" s="1368">
        <f t="shared" si="24"/>
        <v>0</v>
      </c>
      <c r="E44" s="1368">
        <f t="shared" si="24"/>
        <v>0</v>
      </c>
      <c r="F44" s="1368">
        <f t="shared" si="24"/>
        <v>0</v>
      </c>
      <c r="G44" s="1368">
        <f t="shared" si="24"/>
        <v>0</v>
      </c>
      <c r="H44" s="1368">
        <f t="shared" si="24"/>
        <v>0</v>
      </c>
      <c r="I44" s="1368">
        <f t="shared" si="24"/>
        <v>0</v>
      </c>
      <c r="J44" s="1368">
        <f t="shared" si="24"/>
        <v>0</v>
      </c>
      <c r="K44" s="1368">
        <f t="shared" si="24"/>
        <v>0</v>
      </c>
      <c r="L44" s="1368">
        <f t="shared" si="24"/>
        <v>0</v>
      </c>
      <c r="M44" s="1368">
        <f t="shared" si="24"/>
        <v>0</v>
      </c>
      <c r="N44" s="2215">
        <f t="shared" si="18"/>
        <v>0</v>
      </c>
    </row>
    <row r="45" spans="1:14" ht="15.75" x14ac:dyDescent="0.25">
      <c r="A45" s="1367" t="str">
        <f t="shared" si="16"/>
        <v/>
      </c>
      <c r="B45" s="1368">
        <f t="shared" ref="B45:M45" si="25">B32*1.05</f>
        <v>0</v>
      </c>
      <c r="C45" s="1368">
        <f t="shared" si="25"/>
        <v>0</v>
      </c>
      <c r="D45" s="1368">
        <f t="shared" si="25"/>
        <v>0</v>
      </c>
      <c r="E45" s="1368">
        <f t="shared" si="25"/>
        <v>0</v>
      </c>
      <c r="F45" s="1368">
        <f t="shared" si="25"/>
        <v>0</v>
      </c>
      <c r="G45" s="1368">
        <f t="shared" si="25"/>
        <v>0</v>
      </c>
      <c r="H45" s="1368">
        <f t="shared" si="25"/>
        <v>0</v>
      </c>
      <c r="I45" s="1368">
        <f t="shared" si="25"/>
        <v>0</v>
      </c>
      <c r="J45" s="1368">
        <f t="shared" si="25"/>
        <v>0</v>
      </c>
      <c r="K45" s="1368">
        <f t="shared" si="25"/>
        <v>0</v>
      </c>
      <c r="L45" s="1368">
        <f t="shared" si="25"/>
        <v>0</v>
      </c>
      <c r="M45" s="1368">
        <f t="shared" si="25"/>
        <v>0</v>
      </c>
      <c r="N45" s="2215">
        <f t="shared" si="18"/>
        <v>0</v>
      </c>
    </row>
    <row r="46" spans="1:14" ht="15.75" thickBot="1" x14ac:dyDescent="0.3">
      <c r="A46" s="2139" t="s">
        <v>860</v>
      </c>
      <c r="B46" s="2140">
        <f t="shared" ref="B46:M46" si="26">B38+B39+B40+B41+B42+B43+B44+B45</f>
        <v>0</v>
      </c>
      <c r="C46" s="2140">
        <f t="shared" si="26"/>
        <v>0</v>
      </c>
      <c r="D46" s="2140">
        <f t="shared" si="26"/>
        <v>0</v>
      </c>
      <c r="E46" s="2140">
        <f t="shared" si="26"/>
        <v>0</v>
      </c>
      <c r="F46" s="2140">
        <f t="shared" si="26"/>
        <v>0</v>
      </c>
      <c r="G46" s="2140">
        <f t="shared" si="26"/>
        <v>0</v>
      </c>
      <c r="H46" s="2140">
        <f t="shared" si="26"/>
        <v>0</v>
      </c>
      <c r="I46" s="2140">
        <f t="shared" si="26"/>
        <v>0</v>
      </c>
      <c r="J46" s="2140">
        <f t="shared" si="26"/>
        <v>0</v>
      </c>
      <c r="K46" s="2140">
        <f t="shared" si="26"/>
        <v>0</v>
      </c>
      <c r="L46" s="2140">
        <f t="shared" si="26"/>
        <v>0</v>
      </c>
      <c r="M46" s="2140">
        <f t="shared" si="26"/>
        <v>0</v>
      </c>
      <c r="N46" s="2216">
        <f t="shared" si="18"/>
        <v>0</v>
      </c>
    </row>
    <row r="48" spans="1:14" ht="27.75" x14ac:dyDescent="0.45">
      <c r="A48" s="408" t="str">
        <f>A35</f>
        <v>Previsiones de Ventas de la empresa</v>
      </c>
      <c r="E48" s="469">
        <f>E35+1</f>
        <v>3</v>
      </c>
      <c r="F48" s="470">
        <f>F35+1</f>
        <v>2029</v>
      </c>
    </row>
    <row r="49" spans="1:14" ht="7.5" customHeight="1" thickBot="1" x14ac:dyDescent="0.3"/>
    <row r="50" spans="1:14" ht="30" x14ac:dyDescent="0.25">
      <c r="A50" s="1365" t="s">
        <v>52</v>
      </c>
      <c r="B50" s="1366" t="str">
        <f>CONCATENATE(B4,"
",$F$48)</f>
        <v>enero
2029</v>
      </c>
      <c r="C50" s="1366" t="str">
        <f>CONCATENATE(C4,"
",$F$48)</f>
        <v>febrero
2029</v>
      </c>
      <c r="D50" s="1366" t="str">
        <f t="shared" ref="D50:M50" si="27">CONCATENATE(D4,"
",$F$48)</f>
        <v>marzo
2029</v>
      </c>
      <c r="E50" s="1366" t="str">
        <f t="shared" si="27"/>
        <v>abril
2029</v>
      </c>
      <c r="F50" s="1366" t="str">
        <f t="shared" si="27"/>
        <v>mayo
2029</v>
      </c>
      <c r="G50" s="1366" t="str">
        <f t="shared" si="27"/>
        <v>junio
2029</v>
      </c>
      <c r="H50" s="1366" t="str">
        <f t="shared" si="27"/>
        <v>julio
2029</v>
      </c>
      <c r="I50" s="1366" t="str">
        <f t="shared" si="27"/>
        <v>agosto
2029</v>
      </c>
      <c r="J50" s="1366" t="str">
        <f t="shared" si="27"/>
        <v>septiembre
2029</v>
      </c>
      <c r="K50" s="1366" t="str">
        <f t="shared" si="27"/>
        <v>octubre
2029</v>
      </c>
      <c r="L50" s="1366" t="str">
        <f t="shared" si="27"/>
        <v>noviembre
2029</v>
      </c>
      <c r="M50" s="1366" t="str">
        <f t="shared" si="27"/>
        <v>diciembre
2029</v>
      </c>
      <c r="N50" s="2214" t="str">
        <f>CONCATENATE("Totales  ",$F$48)</f>
        <v>Totales  2029</v>
      </c>
    </row>
    <row r="51" spans="1:14" ht="15.75" x14ac:dyDescent="0.25">
      <c r="A51" s="1367" t="str">
        <f t="shared" ref="A51:A58" si="28">A38</f>
        <v/>
      </c>
      <c r="B51" s="1368">
        <f t="shared" ref="B51:M51" si="29">B38*1.05</f>
        <v>0</v>
      </c>
      <c r="C51" s="1368">
        <f t="shared" si="29"/>
        <v>0</v>
      </c>
      <c r="D51" s="1368">
        <f t="shared" si="29"/>
        <v>0</v>
      </c>
      <c r="E51" s="1368">
        <f t="shared" si="29"/>
        <v>0</v>
      </c>
      <c r="F51" s="1368">
        <f t="shared" si="29"/>
        <v>0</v>
      </c>
      <c r="G51" s="1368">
        <f t="shared" si="29"/>
        <v>0</v>
      </c>
      <c r="H51" s="1368">
        <f t="shared" si="29"/>
        <v>0</v>
      </c>
      <c r="I51" s="1368">
        <f t="shared" si="29"/>
        <v>0</v>
      </c>
      <c r="J51" s="1368">
        <f t="shared" si="29"/>
        <v>0</v>
      </c>
      <c r="K51" s="1368">
        <f t="shared" si="29"/>
        <v>0</v>
      </c>
      <c r="L51" s="1368">
        <f t="shared" si="29"/>
        <v>0</v>
      </c>
      <c r="M51" s="1368">
        <f t="shared" si="29"/>
        <v>0</v>
      </c>
      <c r="N51" s="2215">
        <f t="shared" ref="N51:N59" si="30">SUM(B51:M51)</f>
        <v>0</v>
      </c>
    </row>
    <row r="52" spans="1:14" ht="15.75" x14ac:dyDescent="0.25">
      <c r="A52" s="1367" t="str">
        <f t="shared" si="28"/>
        <v/>
      </c>
      <c r="B52" s="1368">
        <f t="shared" ref="B52:M52" si="31">B39*1.05</f>
        <v>0</v>
      </c>
      <c r="C52" s="1368">
        <f t="shared" si="31"/>
        <v>0</v>
      </c>
      <c r="D52" s="1368">
        <f t="shared" si="31"/>
        <v>0</v>
      </c>
      <c r="E52" s="1368">
        <f t="shared" si="31"/>
        <v>0</v>
      </c>
      <c r="F52" s="1368">
        <f t="shared" si="31"/>
        <v>0</v>
      </c>
      <c r="G52" s="1368">
        <f t="shared" si="31"/>
        <v>0</v>
      </c>
      <c r="H52" s="1368">
        <f t="shared" si="31"/>
        <v>0</v>
      </c>
      <c r="I52" s="1368">
        <f t="shared" si="31"/>
        <v>0</v>
      </c>
      <c r="J52" s="1368">
        <f t="shared" si="31"/>
        <v>0</v>
      </c>
      <c r="K52" s="1368">
        <f t="shared" si="31"/>
        <v>0</v>
      </c>
      <c r="L52" s="1368">
        <f t="shared" si="31"/>
        <v>0</v>
      </c>
      <c r="M52" s="1368">
        <f t="shared" si="31"/>
        <v>0</v>
      </c>
      <c r="N52" s="2215">
        <f t="shared" si="30"/>
        <v>0</v>
      </c>
    </row>
    <row r="53" spans="1:14" ht="15.75" x14ac:dyDescent="0.25">
      <c r="A53" s="1367" t="str">
        <f t="shared" si="28"/>
        <v/>
      </c>
      <c r="B53" s="1368">
        <f t="shared" ref="B53:M53" si="32">B40*1.05</f>
        <v>0</v>
      </c>
      <c r="C53" s="1368">
        <f t="shared" si="32"/>
        <v>0</v>
      </c>
      <c r="D53" s="1368">
        <f t="shared" si="32"/>
        <v>0</v>
      </c>
      <c r="E53" s="1368">
        <f t="shared" si="32"/>
        <v>0</v>
      </c>
      <c r="F53" s="1368">
        <f t="shared" si="32"/>
        <v>0</v>
      </c>
      <c r="G53" s="1368">
        <f t="shared" si="32"/>
        <v>0</v>
      </c>
      <c r="H53" s="1368">
        <f t="shared" si="32"/>
        <v>0</v>
      </c>
      <c r="I53" s="1368">
        <f t="shared" si="32"/>
        <v>0</v>
      </c>
      <c r="J53" s="1368">
        <f t="shared" si="32"/>
        <v>0</v>
      </c>
      <c r="K53" s="1368">
        <f t="shared" si="32"/>
        <v>0</v>
      </c>
      <c r="L53" s="1368">
        <f t="shared" si="32"/>
        <v>0</v>
      </c>
      <c r="M53" s="1368">
        <f t="shared" si="32"/>
        <v>0</v>
      </c>
      <c r="N53" s="2215">
        <f t="shared" si="30"/>
        <v>0</v>
      </c>
    </row>
    <row r="54" spans="1:14" ht="15.75" x14ac:dyDescent="0.25">
      <c r="A54" s="1367" t="str">
        <f t="shared" si="28"/>
        <v/>
      </c>
      <c r="B54" s="1368">
        <f t="shared" ref="B54:M54" si="33">B41*1.05</f>
        <v>0</v>
      </c>
      <c r="C54" s="1368">
        <f t="shared" si="33"/>
        <v>0</v>
      </c>
      <c r="D54" s="1368">
        <f t="shared" si="33"/>
        <v>0</v>
      </c>
      <c r="E54" s="1368">
        <f t="shared" si="33"/>
        <v>0</v>
      </c>
      <c r="F54" s="1368">
        <f t="shared" si="33"/>
        <v>0</v>
      </c>
      <c r="G54" s="1368">
        <f t="shared" si="33"/>
        <v>0</v>
      </c>
      <c r="H54" s="1368">
        <f t="shared" si="33"/>
        <v>0</v>
      </c>
      <c r="I54" s="1368">
        <f t="shared" si="33"/>
        <v>0</v>
      </c>
      <c r="J54" s="1368">
        <f t="shared" si="33"/>
        <v>0</v>
      </c>
      <c r="K54" s="1368">
        <f t="shared" si="33"/>
        <v>0</v>
      </c>
      <c r="L54" s="1368">
        <f t="shared" si="33"/>
        <v>0</v>
      </c>
      <c r="M54" s="1368">
        <f t="shared" si="33"/>
        <v>0</v>
      </c>
      <c r="N54" s="2215">
        <f t="shared" si="30"/>
        <v>0</v>
      </c>
    </row>
    <row r="55" spans="1:14" ht="15.75" x14ac:dyDescent="0.25">
      <c r="A55" s="1367" t="str">
        <f t="shared" si="28"/>
        <v/>
      </c>
      <c r="B55" s="1368">
        <f t="shared" ref="B55:M55" si="34">B42*1.05</f>
        <v>0</v>
      </c>
      <c r="C55" s="1368">
        <f t="shared" si="34"/>
        <v>0</v>
      </c>
      <c r="D55" s="1368">
        <f t="shared" si="34"/>
        <v>0</v>
      </c>
      <c r="E55" s="1368">
        <f t="shared" si="34"/>
        <v>0</v>
      </c>
      <c r="F55" s="1368">
        <f t="shared" si="34"/>
        <v>0</v>
      </c>
      <c r="G55" s="1368">
        <f t="shared" si="34"/>
        <v>0</v>
      </c>
      <c r="H55" s="1368">
        <f t="shared" si="34"/>
        <v>0</v>
      </c>
      <c r="I55" s="1368">
        <f t="shared" si="34"/>
        <v>0</v>
      </c>
      <c r="J55" s="1368">
        <f t="shared" si="34"/>
        <v>0</v>
      </c>
      <c r="K55" s="1368">
        <f t="shared" si="34"/>
        <v>0</v>
      </c>
      <c r="L55" s="1368">
        <f t="shared" si="34"/>
        <v>0</v>
      </c>
      <c r="M55" s="1368">
        <f t="shared" si="34"/>
        <v>0</v>
      </c>
      <c r="N55" s="2215">
        <f t="shared" si="30"/>
        <v>0</v>
      </c>
    </row>
    <row r="56" spans="1:14" ht="15.75" x14ac:dyDescent="0.25">
      <c r="A56" s="1367" t="str">
        <f t="shared" si="28"/>
        <v/>
      </c>
      <c r="B56" s="1368">
        <f t="shared" ref="B56:M56" si="35">B43*1.05</f>
        <v>0</v>
      </c>
      <c r="C56" s="1368">
        <f t="shared" si="35"/>
        <v>0</v>
      </c>
      <c r="D56" s="1368">
        <f t="shared" si="35"/>
        <v>0</v>
      </c>
      <c r="E56" s="1368">
        <f t="shared" si="35"/>
        <v>0</v>
      </c>
      <c r="F56" s="1368">
        <f t="shared" si="35"/>
        <v>0</v>
      </c>
      <c r="G56" s="1368">
        <f t="shared" si="35"/>
        <v>0</v>
      </c>
      <c r="H56" s="1368">
        <f t="shared" si="35"/>
        <v>0</v>
      </c>
      <c r="I56" s="1368">
        <f t="shared" si="35"/>
        <v>0</v>
      </c>
      <c r="J56" s="1368">
        <f t="shared" si="35"/>
        <v>0</v>
      </c>
      <c r="K56" s="1368">
        <f t="shared" si="35"/>
        <v>0</v>
      </c>
      <c r="L56" s="1368">
        <f t="shared" si="35"/>
        <v>0</v>
      </c>
      <c r="M56" s="1368">
        <f t="shared" si="35"/>
        <v>0</v>
      </c>
      <c r="N56" s="2215">
        <f t="shared" si="30"/>
        <v>0</v>
      </c>
    </row>
    <row r="57" spans="1:14" ht="15.75" x14ac:dyDescent="0.25">
      <c r="A57" s="1367" t="str">
        <f t="shared" si="28"/>
        <v/>
      </c>
      <c r="B57" s="1368">
        <f t="shared" ref="B57:M57" si="36">B44*1.05</f>
        <v>0</v>
      </c>
      <c r="C57" s="1368">
        <f t="shared" si="36"/>
        <v>0</v>
      </c>
      <c r="D57" s="1368">
        <f t="shared" si="36"/>
        <v>0</v>
      </c>
      <c r="E57" s="1368">
        <f t="shared" si="36"/>
        <v>0</v>
      </c>
      <c r="F57" s="1368">
        <f t="shared" si="36"/>
        <v>0</v>
      </c>
      <c r="G57" s="1368">
        <f t="shared" si="36"/>
        <v>0</v>
      </c>
      <c r="H57" s="1368">
        <f t="shared" si="36"/>
        <v>0</v>
      </c>
      <c r="I57" s="1368">
        <f t="shared" si="36"/>
        <v>0</v>
      </c>
      <c r="J57" s="1368">
        <f t="shared" si="36"/>
        <v>0</v>
      </c>
      <c r="K57" s="1368">
        <f t="shared" si="36"/>
        <v>0</v>
      </c>
      <c r="L57" s="1368">
        <f t="shared" si="36"/>
        <v>0</v>
      </c>
      <c r="M57" s="1368">
        <f t="shared" si="36"/>
        <v>0</v>
      </c>
      <c r="N57" s="2215">
        <f t="shared" si="30"/>
        <v>0</v>
      </c>
    </row>
    <row r="58" spans="1:14" ht="15.75" x14ac:dyDescent="0.25">
      <c r="A58" s="1367" t="str">
        <f t="shared" si="28"/>
        <v/>
      </c>
      <c r="B58" s="1368">
        <f t="shared" ref="B58:M58" si="37">B45*1.05</f>
        <v>0</v>
      </c>
      <c r="C58" s="1368">
        <f t="shared" si="37"/>
        <v>0</v>
      </c>
      <c r="D58" s="1368">
        <f t="shared" si="37"/>
        <v>0</v>
      </c>
      <c r="E58" s="1368">
        <f t="shared" si="37"/>
        <v>0</v>
      </c>
      <c r="F58" s="1368">
        <f t="shared" si="37"/>
        <v>0</v>
      </c>
      <c r="G58" s="1368">
        <f t="shared" si="37"/>
        <v>0</v>
      </c>
      <c r="H58" s="1368">
        <f t="shared" si="37"/>
        <v>0</v>
      </c>
      <c r="I58" s="1368">
        <f t="shared" si="37"/>
        <v>0</v>
      </c>
      <c r="J58" s="1368">
        <f t="shared" si="37"/>
        <v>0</v>
      </c>
      <c r="K58" s="1368">
        <f t="shared" si="37"/>
        <v>0</v>
      </c>
      <c r="L58" s="1368">
        <f t="shared" si="37"/>
        <v>0</v>
      </c>
      <c r="M58" s="1368">
        <f t="shared" si="37"/>
        <v>0</v>
      </c>
      <c r="N58" s="2215">
        <f t="shared" si="30"/>
        <v>0</v>
      </c>
    </row>
    <row r="59" spans="1:14" ht="15.75" thickBot="1" x14ac:dyDescent="0.3">
      <c r="A59" s="2139" t="s">
        <v>860</v>
      </c>
      <c r="B59" s="2140">
        <f t="shared" ref="B59:M59" si="38">B51+B52+B53+B54+B55+B56+B57+B58</f>
        <v>0</v>
      </c>
      <c r="C59" s="2140">
        <f t="shared" si="38"/>
        <v>0</v>
      </c>
      <c r="D59" s="2140">
        <f t="shared" si="38"/>
        <v>0</v>
      </c>
      <c r="E59" s="2140">
        <f t="shared" si="38"/>
        <v>0</v>
      </c>
      <c r="F59" s="2140">
        <f t="shared" si="38"/>
        <v>0</v>
      </c>
      <c r="G59" s="2140">
        <f t="shared" si="38"/>
        <v>0</v>
      </c>
      <c r="H59" s="2140">
        <f t="shared" si="38"/>
        <v>0</v>
      </c>
      <c r="I59" s="2140">
        <f t="shared" si="38"/>
        <v>0</v>
      </c>
      <c r="J59" s="2140">
        <f t="shared" si="38"/>
        <v>0</v>
      </c>
      <c r="K59" s="2140">
        <f t="shared" si="38"/>
        <v>0</v>
      </c>
      <c r="L59" s="2140">
        <f t="shared" si="38"/>
        <v>0</v>
      </c>
      <c r="M59" s="2140">
        <f t="shared" si="38"/>
        <v>0</v>
      </c>
      <c r="N59" s="2216">
        <f t="shared" si="30"/>
        <v>0</v>
      </c>
    </row>
    <row r="61" spans="1:14" ht="27.75" x14ac:dyDescent="0.45">
      <c r="A61" s="408" t="str">
        <f>A48</f>
        <v>Previsiones de Ventas de la empresa</v>
      </c>
      <c r="E61" s="469">
        <f>E48+1</f>
        <v>4</v>
      </c>
      <c r="F61" s="470">
        <f>F48+1</f>
        <v>2030</v>
      </c>
    </row>
    <row r="62" spans="1:14" ht="7.5" customHeight="1" thickBot="1" x14ac:dyDescent="0.3"/>
    <row r="63" spans="1:14" ht="30" x14ac:dyDescent="0.25">
      <c r="A63" s="1365" t="s">
        <v>52</v>
      </c>
      <c r="B63" s="1366" t="str">
        <f>CONCATENATE(B4,"
",$F$61)</f>
        <v>enero
2030</v>
      </c>
      <c r="C63" s="1366" t="str">
        <f>CONCATENATE(C4,"
",$F$61)</f>
        <v>febrero
2030</v>
      </c>
      <c r="D63" s="1366" t="str">
        <f t="shared" ref="D63:M63" si="39">CONCATENATE(D4,"
",$F$61)</f>
        <v>marzo
2030</v>
      </c>
      <c r="E63" s="1366" t="str">
        <f t="shared" si="39"/>
        <v>abril
2030</v>
      </c>
      <c r="F63" s="1366" t="str">
        <f t="shared" si="39"/>
        <v>mayo
2030</v>
      </c>
      <c r="G63" s="1366" t="str">
        <f t="shared" si="39"/>
        <v>junio
2030</v>
      </c>
      <c r="H63" s="1366" t="str">
        <f t="shared" si="39"/>
        <v>julio
2030</v>
      </c>
      <c r="I63" s="1366" t="str">
        <f t="shared" si="39"/>
        <v>agosto
2030</v>
      </c>
      <c r="J63" s="1366" t="str">
        <f t="shared" si="39"/>
        <v>septiembre
2030</v>
      </c>
      <c r="K63" s="1366" t="str">
        <f t="shared" si="39"/>
        <v>octubre
2030</v>
      </c>
      <c r="L63" s="1366" t="str">
        <f t="shared" si="39"/>
        <v>noviembre
2030</v>
      </c>
      <c r="M63" s="1366" t="str">
        <f t="shared" si="39"/>
        <v>diciembre
2030</v>
      </c>
      <c r="N63" s="2214" t="str">
        <f>CONCATENATE("Totales  ",$F$61)</f>
        <v>Totales  2030</v>
      </c>
    </row>
    <row r="64" spans="1:14" ht="15.75" x14ac:dyDescent="0.25">
      <c r="A64" s="1367" t="str">
        <f t="shared" ref="A64:A71" si="40">A51</f>
        <v/>
      </c>
      <c r="B64" s="1368">
        <f t="shared" ref="B64:M64" si="41">B51*1.05</f>
        <v>0</v>
      </c>
      <c r="C64" s="1368">
        <f t="shared" si="41"/>
        <v>0</v>
      </c>
      <c r="D64" s="1368">
        <f t="shared" si="41"/>
        <v>0</v>
      </c>
      <c r="E64" s="1368">
        <f t="shared" si="41"/>
        <v>0</v>
      </c>
      <c r="F64" s="1368">
        <f t="shared" si="41"/>
        <v>0</v>
      </c>
      <c r="G64" s="1368">
        <f t="shared" si="41"/>
        <v>0</v>
      </c>
      <c r="H64" s="1368">
        <f t="shared" si="41"/>
        <v>0</v>
      </c>
      <c r="I64" s="1368">
        <f t="shared" si="41"/>
        <v>0</v>
      </c>
      <c r="J64" s="1368">
        <f t="shared" si="41"/>
        <v>0</v>
      </c>
      <c r="K64" s="1368">
        <f t="shared" si="41"/>
        <v>0</v>
      </c>
      <c r="L64" s="1368">
        <f t="shared" si="41"/>
        <v>0</v>
      </c>
      <c r="M64" s="1368">
        <f t="shared" si="41"/>
        <v>0</v>
      </c>
      <c r="N64" s="2215">
        <f t="shared" ref="N64:N72" si="42">SUM(B64:M64)</f>
        <v>0</v>
      </c>
    </row>
    <row r="65" spans="1:14" ht="15.75" x14ac:dyDescent="0.25">
      <c r="A65" s="1367" t="str">
        <f t="shared" si="40"/>
        <v/>
      </c>
      <c r="B65" s="1368">
        <f t="shared" ref="B65:M65" si="43">B52*1.05</f>
        <v>0</v>
      </c>
      <c r="C65" s="1368">
        <f t="shared" si="43"/>
        <v>0</v>
      </c>
      <c r="D65" s="1368">
        <f t="shared" si="43"/>
        <v>0</v>
      </c>
      <c r="E65" s="1368">
        <f t="shared" si="43"/>
        <v>0</v>
      </c>
      <c r="F65" s="1368">
        <f t="shared" si="43"/>
        <v>0</v>
      </c>
      <c r="G65" s="1368">
        <f t="shared" si="43"/>
        <v>0</v>
      </c>
      <c r="H65" s="1368">
        <f t="shared" si="43"/>
        <v>0</v>
      </c>
      <c r="I65" s="1368">
        <f t="shared" si="43"/>
        <v>0</v>
      </c>
      <c r="J65" s="1368">
        <f t="shared" si="43"/>
        <v>0</v>
      </c>
      <c r="K65" s="1368">
        <f t="shared" si="43"/>
        <v>0</v>
      </c>
      <c r="L65" s="1368">
        <f t="shared" si="43"/>
        <v>0</v>
      </c>
      <c r="M65" s="1368">
        <f t="shared" si="43"/>
        <v>0</v>
      </c>
      <c r="N65" s="2215">
        <f t="shared" si="42"/>
        <v>0</v>
      </c>
    </row>
    <row r="66" spans="1:14" ht="15.75" x14ac:dyDescent="0.25">
      <c r="A66" s="1367" t="str">
        <f t="shared" si="40"/>
        <v/>
      </c>
      <c r="B66" s="1368">
        <f t="shared" ref="B66:M66" si="44">B53*1.05</f>
        <v>0</v>
      </c>
      <c r="C66" s="1368">
        <f t="shared" si="44"/>
        <v>0</v>
      </c>
      <c r="D66" s="1368">
        <f t="shared" si="44"/>
        <v>0</v>
      </c>
      <c r="E66" s="1368">
        <f t="shared" si="44"/>
        <v>0</v>
      </c>
      <c r="F66" s="1368">
        <f t="shared" si="44"/>
        <v>0</v>
      </c>
      <c r="G66" s="1368">
        <f t="shared" si="44"/>
        <v>0</v>
      </c>
      <c r="H66" s="1368">
        <f t="shared" si="44"/>
        <v>0</v>
      </c>
      <c r="I66" s="1368">
        <f t="shared" si="44"/>
        <v>0</v>
      </c>
      <c r="J66" s="1368">
        <f t="shared" si="44"/>
        <v>0</v>
      </c>
      <c r="K66" s="1368">
        <f t="shared" si="44"/>
        <v>0</v>
      </c>
      <c r="L66" s="1368">
        <f t="shared" si="44"/>
        <v>0</v>
      </c>
      <c r="M66" s="1368">
        <f t="shared" si="44"/>
        <v>0</v>
      </c>
      <c r="N66" s="2215">
        <f t="shared" si="42"/>
        <v>0</v>
      </c>
    </row>
    <row r="67" spans="1:14" ht="15.75" x14ac:dyDescent="0.25">
      <c r="A67" s="1367" t="str">
        <f t="shared" si="40"/>
        <v/>
      </c>
      <c r="B67" s="1368">
        <f t="shared" ref="B67:M67" si="45">B54*1.05</f>
        <v>0</v>
      </c>
      <c r="C67" s="1368">
        <f t="shared" si="45"/>
        <v>0</v>
      </c>
      <c r="D67" s="1368">
        <f t="shared" si="45"/>
        <v>0</v>
      </c>
      <c r="E67" s="1368">
        <f t="shared" si="45"/>
        <v>0</v>
      </c>
      <c r="F67" s="1368">
        <f t="shared" si="45"/>
        <v>0</v>
      </c>
      <c r="G67" s="1368">
        <f t="shared" si="45"/>
        <v>0</v>
      </c>
      <c r="H67" s="1368">
        <f t="shared" si="45"/>
        <v>0</v>
      </c>
      <c r="I67" s="1368">
        <f t="shared" si="45"/>
        <v>0</v>
      </c>
      <c r="J67" s="1368">
        <f t="shared" si="45"/>
        <v>0</v>
      </c>
      <c r="K67" s="1368">
        <f t="shared" si="45"/>
        <v>0</v>
      </c>
      <c r="L67" s="1368">
        <f t="shared" si="45"/>
        <v>0</v>
      </c>
      <c r="M67" s="1368">
        <f t="shared" si="45"/>
        <v>0</v>
      </c>
      <c r="N67" s="2215">
        <f t="shared" si="42"/>
        <v>0</v>
      </c>
    </row>
    <row r="68" spans="1:14" ht="15.75" x14ac:dyDescent="0.25">
      <c r="A68" s="1367" t="str">
        <f t="shared" si="40"/>
        <v/>
      </c>
      <c r="B68" s="1368">
        <f t="shared" ref="B68:M68" si="46">B55*1.05</f>
        <v>0</v>
      </c>
      <c r="C68" s="1368">
        <f t="shared" si="46"/>
        <v>0</v>
      </c>
      <c r="D68" s="1368">
        <f t="shared" si="46"/>
        <v>0</v>
      </c>
      <c r="E68" s="1368">
        <f t="shared" si="46"/>
        <v>0</v>
      </c>
      <c r="F68" s="1368">
        <f t="shared" si="46"/>
        <v>0</v>
      </c>
      <c r="G68" s="1368">
        <f t="shared" si="46"/>
        <v>0</v>
      </c>
      <c r="H68" s="1368">
        <f t="shared" si="46"/>
        <v>0</v>
      </c>
      <c r="I68" s="1368">
        <f t="shared" si="46"/>
        <v>0</v>
      </c>
      <c r="J68" s="1368">
        <f t="shared" si="46"/>
        <v>0</v>
      </c>
      <c r="K68" s="1368">
        <f t="shared" si="46"/>
        <v>0</v>
      </c>
      <c r="L68" s="1368">
        <f t="shared" si="46"/>
        <v>0</v>
      </c>
      <c r="M68" s="1368">
        <f t="shared" si="46"/>
        <v>0</v>
      </c>
      <c r="N68" s="2215">
        <f t="shared" si="42"/>
        <v>0</v>
      </c>
    </row>
    <row r="69" spans="1:14" ht="15.75" x14ac:dyDescent="0.25">
      <c r="A69" s="1367" t="str">
        <f t="shared" si="40"/>
        <v/>
      </c>
      <c r="B69" s="1368">
        <f t="shared" ref="B69:M69" si="47">B56*1.05</f>
        <v>0</v>
      </c>
      <c r="C69" s="1368">
        <f t="shared" si="47"/>
        <v>0</v>
      </c>
      <c r="D69" s="1368">
        <f t="shared" si="47"/>
        <v>0</v>
      </c>
      <c r="E69" s="1368">
        <f t="shared" si="47"/>
        <v>0</v>
      </c>
      <c r="F69" s="1368">
        <f t="shared" si="47"/>
        <v>0</v>
      </c>
      <c r="G69" s="1368">
        <f t="shared" si="47"/>
        <v>0</v>
      </c>
      <c r="H69" s="1368">
        <f t="shared" si="47"/>
        <v>0</v>
      </c>
      <c r="I69" s="1368">
        <f t="shared" si="47"/>
        <v>0</v>
      </c>
      <c r="J69" s="1368">
        <f t="shared" si="47"/>
        <v>0</v>
      </c>
      <c r="K69" s="1368">
        <f t="shared" si="47"/>
        <v>0</v>
      </c>
      <c r="L69" s="1368">
        <f t="shared" si="47"/>
        <v>0</v>
      </c>
      <c r="M69" s="1368">
        <f t="shared" si="47"/>
        <v>0</v>
      </c>
      <c r="N69" s="2215">
        <f t="shared" si="42"/>
        <v>0</v>
      </c>
    </row>
    <row r="70" spans="1:14" ht="15.75" x14ac:dyDescent="0.25">
      <c r="A70" s="1367" t="str">
        <f t="shared" si="40"/>
        <v/>
      </c>
      <c r="B70" s="1368">
        <f t="shared" ref="B70:M70" si="48">B57*1.05</f>
        <v>0</v>
      </c>
      <c r="C70" s="1368">
        <f t="shared" si="48"/>
        <v>0</v>
      </c>
      <c r="D70" s="1368">
        <f t="shared" si="48"/>
        <v>0</v>
      </c>
      <c r="E70" s="1368">
        <f t="shared" si="48"/>
        <v>0</v>
      </c>
      <c r="F70" s="1368">
        <f t="shared" si="48"/>
        <v>0</v>
      </c>
      <c r="G70" s="1368">
        <f t="shared" si="48"/>
        <v>0</v>
      </c>
      <c r="H70" s="1368">
        <f t="shared" si="48"/>
        <v>0</v>
      </c>
      <c r="I70" s="1368">
        <f t="shared" si="48"/>
        <v>0</v>
      </c>
      <c r="J70" s="1368">
        <f t="shared" si="48"/>
        <v>0</v>
      </c>
      <c r="K70" s="1368">
        <f t="shared" si="48"/>
        <v>0</v>
      </c>
      <c r="L70" s="1368">
        <f t="shared" si="48"/>
        <v>0</v>
      </c>
      <c r="M70" s="1368">
        <f t="shared" si="48"/>
        <v>0</v>
      </c>
      <c r="N70" s="2215">
        <f t="shared" si="42"/>
        <v>0</v>
      </c>
    </row>
    <row r="71" spans="1:14" ht="15.75" x14ac:dyDescent="0.25">
      <c r="A71" s="1367" t="str">
        <f t="shared" si="40"/>
        <v/>
      </c>
      <c r="B71" s="1368">
        <f t="shared" ref="B71:M71" si="49">B58*1.05</f>
        <v>0</v>
      </c>
      <c r="C71" s="1368">
        <f t="shared" si="49"/>
        <v>0</v>
      </c>
      <c r="D71" s="1368">
        <f t="shared" si="49"/>
        <v>0</v>
      </c>
      <c r="E71" s="1368">
        <f t="shared" si="49"/>
        <v>0</v>
      </c>
      <c r="F71" s="1368">
        <f t="shared" si="49"/>
        <v>0</v>
      </c>
      <c r="G71" s="1368">
        <f t="shared" si="49"/>
        <v>0</v>
      </c>
      <c r="H71" s="1368">
        <f t="shared" si="49"/>
        <v>0</v>
      </c>
      <c r="I71" s="1368">
        <f t="shared" si="49"/>
        <v>0</v>
      </c>
      <c r="J71" s="1368">
        <f t="shared" si="49"/>
        <v>0</v>
      </c>
      <c r="K71" s="1368">
        <f t="shared" si="49"/>
        <v>0</v>
      </c>
      <c r="L71" s="1368">
        <f t="shared" si="49"/>
        <v>0</v>
      </c>
      <c r="M71" s="1368">
        <f t="shared" si="49"/>
        <v>0</v>
      </c>
      <c r="N71" s="2215">
        <f t="shared" si="42"/>
        <v>0</v>
      </c>
    </row>
    <row r="72" spans="1:14" ht="15.75" thickBot="1" x14ac:dyDescent="0.3">
      <c r="A72" s="2139" t="s">
        <v>860</v>
      </c>
      <c r="B72" s="2140">
        <f t="shared" ref="B72:M72" si="50">B64+B65+B66+B67+B68+B69+B70+B71</f>
        <v>0</v>
      </c>
      <c r="C72" s="2140">
        <f t="shared" si="50"/>
        <v>0</v>
      </c>
      <c r="D72" s="2140">
        <f t="shared" si="50"/>
        <v>0</v>
      </c>
      <c r="E72" s="2140">
        <f t="shared" si="50"/>
        <v>0</v>
      </c>
      <c r="F72" s="2140">
        <f t="shared" si="50"/>
        <v>0</v>
      </c>
      <c r="G72" s="2140">
        <f t="shared" si="50"/>
        <v>0</v>
      </c>
      <c r="H72" s="2140">
        <f t="shared" si="50"/>
        <v>0</v>
      </c>
      <c r="I72" s="2140">
        <f t="shared" si="50"/>
        <v>0</v>
      </c>
      <c r="J72" s="2140">
        <f t="shared" si="50"/>
        <v>0</v>
      </c>
      <c r="K72" s="2140">
        <f t="shared" si="50"/>
        <v>0</v>
      </c>
      <c r="L72" s="2140">
        <f t="shared" si="50"/>
        <v>0</v>
      </c>
      <c r="M72" s="2140">
        <f t="shared" si="50"/>
        <v>0</v>
      </c>
      <c r="N72" s="2216">
        <f t="shared" si="42"/>
        <v>0</v>
      </c>
    </row>
  </sheetData>
  <sheetProtection sheet="1" objects="1" scenarios="1" formatCells="0" formatColumns="0"/>
  <phoneticPr fontId="13" type="noConversion"/>
  <conditionalFormatting sqref="B12:M20">
    <cfRule type="expression" dxfId="37" priority="1" stopIfTrue="1">
      <formula>B$21&lt;mes0</formula>
    </cfRule>
  </conditionalFormatting>
  <printOptions horizontalCentered="1" verticalCentered="1"/>
  <pageMargins left="0.47" right="0.19685039370078741" top="0.53" bottom="0.57999999999999996" header="0.51181102362204722" footer="0.39370078740157483"/>
  <pageSetup paperSize="9" scale="82" fitToHeight="2" orientation="landscape" horizontalDpi="300" verticalDpi="300" r:id="rId1"/>
  <headerFooter alignWithMargins="0">
    <oddFooter>&amp;A</oddFooter>
  </headerFooter>
  <rowBreaks count="1" manualBreakCount="1">
    <brk id="34" max="13" man="1"/>
  </rowBreaks>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5">
    <tabColor rgb="FF7CC9D0"/>
    <pageSetUpPr fitToPage="1"/>
  </sheetPr>
  <dimension ref="A1:J95"/>
  <sheetViews>
    <sheetView showGridLines="0" workbookViewId="0"/>
  </sheetViews>
  <sheetFormatPr baseColWidth="10" defaultRowHeight="17.25" x14ac:dyDescent="0.3"/>
  <cols>
    <col min="1" max="1" width="25" style="307" customWidth="1"/>
    <col min="2" max="8" width="11" style="307"/>
    <col min="9" max="9" width="7.875" style="307" customWidth="1"/>
    <col min="10" max="16384" width="11" style="307"/>
  </cols>
  <sheetData>
    <row r="1" spans="1:10" ht="27.75" x14ac:dyDescent="0.45">
      <c r="A1" s="485">
        <f>'Datos Básicos'!$B$8</f>
        <v>0</v>
      </c>
    </row>
    <row r="5" spans="1:10" ht="27.75" x14ac:dyDescent="0.45">
      <c r="A5" s="408" t="str">
        <f>CONCATENATE("Política de Cobros por Ventas para el ",'Datos Básicos'!B16,"  ( ",'Datos Básicos'!$B$17," )")</f>
        <v>Política de Cobros por Ventas para el Año 0  ( 2026 )</v>
      </c>
      <c r="B5" s="841"/>
      <c r="C5" s="843"/>
      <c r="D5" s="844"/>
      <c r="F5" s="843"/>
      <c r="G5" s="843"/>
      <c r="H5" s="843"/>
      <c r="I5" s="936"/>
    </row>
    <row r="6" spans="1:10" s="305" customFormat="1" ht="15" x14ac:dyDescent="0.25"/>
    <row r="7" spans="1:10" ht="18" thickBot="1" x14ac:dyDescent="0.35">
      <c r="A7" s="305"/>
      <c r="B7" s="445"/>
      <c r="C7" s="446"/>
      <c r="D7" s="446"/>
      <c r="E7" s="446"/>
      <c r="F7" s="446"/>
      <c r="G7" s="446"/>
      <c r="H7" s="446"/>
      <c r="I7" s="446"/>
    </row>
    <row r="8" spans="1:10" ht="18" thickBot="1" x14ac:dyDescent="0.35">
      <c r="A8" s="454" t="s">
        <v>950</v>
      </c>
      <c r="B8" s="846" t="s">
        <v>951</v>
      </c>
      <c r="C8" s="937">
        <v>30</v>
      </c>
      <c r="D8" s="937">
        <v>60</v>
      </c>
      <c r="E8" s="937">
        <v>90</v>
      </c>
      <c r="F8" s="937">
        <v>120</v>
      </c>
      <c r="G8" s="937">
        <v>150</v>
      </c>
      <c r="H8" s="937">
        <v>180</v>
      </c>
      <c r="I8" s="846" t="s">
        <v>865</v>
      </c>
    </row>
    <row r="9" spans="1:10" x14ac:dyDescent="0.3">
      <c r="A9" s="848" t="str">
        <f>IF(Parametros!A24="","",Parametros!A24)</f>
        <v/>
      </c>
      <c r="B9" s="452">
        <f>IF(SUM(C9:H9)&gt;1,"ERROR",1-SUM(C9:H9))</f>
        <v>1</v>
      </c>
      <c r="C9" s="938">
        <f>'Precios Venta y P. Cobros'!C26</f>
        <v>0</v>
      </c>
      <c r="D9" s="938">
        <f>'Precios Venta y P. Cobros'!D26</f>
        <v>0</v>
      </c>
      <c r="E9" s="938">
        <f>'Precios Venta y P. Cobros'!E26</f>
        <v>0</v>
      </c>
      <c r="F9" s="938">
        <f>'Precios Venta y P. Cobros'!F26</f>
        <v>0</v>
      </c>
      <c r="G9" s="938">
        <f>'Precios Venta y P. Cobros'!G26</f>
        <v>0</v>
      </c>
      <c r="H9" s="938">
        <f>'Precios Venta y P. Cobros'!H26</f>
        <v>0</v>
      </c>
      <c r="I9" s="456">
        <f t="shared" ref="I9:I16" si="0">SUM(B9:H9)</f>
        <v>1</v>
      </c>
      <c r="J9" s="453" t="str">
        <f>IF(I9&lt;&gt;1,"ERROR EN PORCENTAJES","")</f>
        <v/>
      </c>
    </row>
    <row r="10" spans="1:10" x14ac:dyDescent="0.3">
      <c r="A10" s="849" t="str">
        <f>IF(Parametros!A25="","",Parametros!A25)</f>
        <v/>
      </c>
      <c r="B10" s="452">
        <f t="shared" ref="B10:B16" si="1">IF(SUM(C10:H10)&gt;1,"ERROR",1-SUM(C10:H10))</f>
        <v>1</v>
      </c>
      <c r="C10" s="938">
        <f>'Precios Venta y P. Cobros'!C27</f>
        <v>0</v>
      </c>
      <c r="D10" s="938">
        <f>'Precios Venta y P. Cobros'!D27</f>
        <v>0</v>
      </c>
      <c r="E10" s="938">
        <f>'Precios Venta y P. Cobros'!E27</f>
        <v>0</v>
      </c>
      <c r="F10" s="938">
        <f>'Precios Venta y P. Cobros'!F27</f>
        <v>0</v>
      </c>
      <c r="G10" s="938">
        <f>'Precios Venta y P. Cobros'!G27</f>
        <v>0</v>
      </c>
      <c r="H10" s="938">
        <f>'Precios Venta y P. Cobros'!H27</f>
        <v>0</v>
      </c>
      <c r="I10" s="456">
        <f t="shared" si="0"/>
        <v>1</v>
      </c>
      <c r="J10" s="453" t="str">
        <f t="shared" ref="J10:J16" si="2">IF(I10&lt;&gt;1,"ERROR EN PORCENTAJES","")</f>
        <v/>
      </c>
    </row>
    <row r="11" spans="1:10" x14ac:dyDescent="0.3">
      <c r="A11" s="849" t="str">
        <f>IF(Parametros!A26="","",Parametros!A26)</f>
        <v/>
      </c>
      <c r="B11" s="452">
        <f t="shared" si="1"/>
        <v>1</v>
      </c>
      <c r="C11" s="938">
        <f>'Precios Venta y P. Cobros'!C28</f>
        <v>0</v>
      </c>
      <c r="D11" s="938">
        <f>'Precios Venta y P. Cobros'!D28</f>
        <v>0</v>
      </c>
      <c r="E11" s="938">
        <f>'Precios Venta y P. Cobros'!E28</f>
        <v>0</v>
      </c>
      <c r="F11" s="938">
        <f>'Precios Venta y P. Cobros'!F28</f>
        <v>0</v>
      </c>
      <c r="G11" s="938">
        <f>'Precios Venta y P. Cobros'!G28</f>
        <v>0</v>
      </c>
      <c r="H11" s="938">
        <f>'Precios Venta y P. Cobros'!H28</f>
        <v>0</v>
      </c>
      <c r="I11" s="456">
        <f t="shared" si="0"/>
        <v>1</v>
      </c>
      <c r="J11" s="453" t="str">
        <f t="shared" si="2"/>
        <v/>
      </c>
    </row>
    <row r="12" spans="1:10" x14ac:dyDescent="0.3">
      <c r="A12" s="849" t="str">
        <f>IF(Parametros!A27="","",Parametros!A27)</f>
        <v/>
      </c>
      <c r="B12" s="452">
        <f t="shared" si="1"/>
        <v>1</v>
      </c>
      <c r="C12" s="938">
        <f>'Precios Venta y P. Cobros'!C29</f>
        <v>0</v>
      </c>
      <c r="D12" s="938">
        <f>'Precios Venta y P. Cobros'!D29</f>
        <v>0</v>
      </c>
      <c r="E12" s="938">
        <f>'Precios Venta y P. Cobros'!E29</f>
        <v>0</v>
      </c>
      <c r="F12" s="938">
        <f>'Precios Venta y P. Cobros'!F29</f>
        <v>0</v>
      </c>
      <c r="G12" s="938">
        <f>'Precios Venta y P. Cobros'!G29</f>
        <v>0</v>
      </c>
      <c r="H12" s="938">
        <f>'Precios Venta y P. Cobros'!H29</f>
        <v>0</v>
      </c>
      <c r="I12" s="456">
        <f t="shared" si="0"/>
        <v>1</v>
      </c>
      <c r="J12" s="453" t="str">
        <f t="shared" si="2"/>
        <v/>
      </c>
    </row>
    <row r="13" spans="1:10" x14ac:dyDescent="0.3">
      <c r="A13" s="849" t="str">
        <f>IF(Parametros!A28="","",Parametros!A28)</f>
        <v/>
      </c>
      <c r="B13" s="452">
        <f t="shared" si="1"/>
        <v>1</v>
      </c>
      <c r="C13" s="938">
        <f>'Precios Venta y P. Cobros'!C30</f>
        <v>0</v>
      </c>
      <c r="D13" s="938">
        <f>'Precios Venta y P. Cobros'!D30</f>
        <v>0</v>
      </c>
      <c r="E13" s="938">
        <f>'Precios Venta y P. Cobros'!E30</f>
        <v>0</v>
      </c>
      <c r="F13" s="938">
        <f>'Precios Venta y P. Cobros'!F30</f>
        <v>0</v>
      </c>
      <c r="G13" s="938">
        <f>'Precios Venta y P. Cobros'!G30</f>
        <v>0</v>
      </c>
      <c r="H13" s="938">
        <f>'Precios Venta y P. Cobros'!H30</f>
        <v>0</v>
      </c>
      <c r="I13" s="456">
        <f t="shared" si="0"/>
        <v>1</v>
      </c>
      <c r="J13" s="453" t="str">
        <f t="shared" si="2"/>
        <v/>
      </c>
    </row>
    <row r="14" spans="1:10" x14ac:dyDescent="0.3">
      <c r="A14" s="849" t="str">
        <f>IF(Parametros!A29="","",Parametros!A29)</f>
        <v/>
      </c>
      <c r="B14" s="452">
        <f t="shared" si="1"/>
        <v>1</v>
      </c>
      <c r="C14" s="938">
        <f>'Precios Venta y P. Cobros'!C31</f>
        <v>0</v>
      </c>
      <c r="D14" s="938">
        <f>'Precios Venta y P. Cobros'!D31</f>
        <v>0</v>
      </c>
      <c r="E14" s="938">
        <f>'Precios Venta y P. Cobros'!E31</f>
        <v>0</v>
      </c>
      <c r="F14" s="938">
        <f>'Precios Venta y P. Cobros'!F31</f>
        <v>0</v>
      </c>
      <c r="G14" s="938">
        <f>'Precios Venta y P. Cobros'!G31</f>
        <v>0</v>
      </c>
      <c r="H14" s="938">
        <f>'Precios Venta y P. Cobros'!H31</f>
        <v>0</v>
      </c>
      <c r="I14" s="456">
        <f t="shared" si="0"/>
        <v>1</v>
      </c>
      <c r="J14" s="453" t="str">
        <f t="shared" si="2"/>
        <v/>
      </c>
    </row>
    <row r="15" spans="1:10" x14ac:dyDescent="0.3">
      <c r="A15" s="849" t="str">
        <f>IF(Parametros!A30="","",Parametros!A30)</f>
        <v/>
      </c>
      <c r="B15" s="452">
        <f t="shared" si="1"/>
        <v>1</v>
      </c>
      <c r="C15" s="938">
        <f>'Precios Venta y P. Cobros'!C32</f>
        <v>0</v>
      </c>
      <c r="D15" s="938">
        <f>'Precios Venta y P. Cobros'!D32</f>
        <v>0</v>
      </c>
      <c r="E15" s="938">
        <f>'Precios Venta y P. Cobros'!E32</f>
        <v>0</v>
      </c>
      <c r="F15" s="938">
        <f>'Precios Venta y P. Cobros'!F32</f>
        <v>0</v>
      </c>
      <c r="G15" s="938">
        <f>'Precios Venta y P. Cobros'!G32</f>
        <v>0</v>
      </c>
      <c r="H15" s="938">
        <f>'Precios Venta y P. Cobros'!H32</f>
        <v>0</v>
      </c>
      <c r="I15" s="456">
        <f t="shared" si="0"/>
        <v>1</v>
      </c>
      <c r="J15" s="453" t="str">
        <f t="shared" si="2"/>
        <v/>
      </c>
    </row>
    <row r="16" spans="1:10" ht="18" thickBot="1" x14ac:dyDescent="0.35">
      <c r="A16" s="939" t="str">
        <f>IF(Parametros!A31="","",Parametros!A31)</f>
        <v/>
      </c>
      <c r="B16" s="457">
        <f t="shared" si="1"/>
        <v>1</v>
      </c>
      <c r="C16" s="940">
        <f>'Precios Venta y P. Cobros'!C33</f>
        <v>0</v>
      </c>
      <c r="D16" s="940">
        <f>'Precios Venta y P. Cobros'!D33</f>
        <v>0</v>
      </c>
      <c r="E16" s="940">
        <f>'Precios Venta y P. Cobros'!E33</f>
        <v>0</v>
      </c>
      <c r="F16" s="940">
        <f>'Precios Venta y P. Cobros'!F33</f>
        <v>0</v>
      </c>
      <c r="G16" s="940">
        <f>'Precios Venta y P. Cobros'!G33</f>
        <v>0</v>
      </c>
      <c r="H16" s="940">
        <f>'Precios Venta y P. Cobros'!H33</f>
        <v>0</v>
      </c>
      <c r="I16" s="458">
        <f t="shared" si="0"/>
        <v>1</v>
      </c>
      <c r="J16" s="453" t="str">
        <f t="shared" si="2"/>
        <v/>
      </c>
    </row>
    <row r="18" spans="1:10" ht="28.5" thickBot="1" x14ac:dyDescent="0.5">
      <c r="A18" s="408" t="s">
        <v>1065</v>
      </c>
    </row>
    <row r="19" spans="1:10" ht="27" customHeight="1" thickBot="1" x14ac:dyDescent="0.35">
      <c r="A19" s="941" t="s">
        <v>1053</v>
      </c>
      <c r="B19" s="942" t="s">
        <v>179</v>
      </c>
      <c r="C19" s="943" t="s">
        <v>34</v>
      </c>
      <c r="D19" s="943" t="s">
        <v>35</v>
      </c>
      <c r="E19" s="943" t="s">
        <v>36</v>
      </c>
      <c r="F19" s="943" t="s">
        <v>37</v>
      </c>
      <c r="G19" s="943" t="s">
        <v>38</v>
      </c>
      <c r="H19" s="943" t="s">
        <v>39</v>
      </c>
      <c r="I19" s="455" t="s">
        <v>865</v>
      </c>
    </row>
    <row r="20" spans="1:10" ht="18.75" thickTop="1" thickBot="1" x14ac:dyDescent="0.35">
      <c r="A20" s="817" t="s">
        <v>1055</v>
      </c>
      <c r="B20" s="944" t="str">
        <f>IF(AVERAGE(H9:H16)&lt;&gt;0,180,IF(AVERAGE(G9:G16)&lt;&gt;0,150,IF(AVERAGE(F9:F16)&lt;&gt;0,120,IF(AVERAGE(E9:E16)&lt;&gt;0,90,IF(AVERAGE(D9:D16)&lt;&gt;0,60,IF(AVERAGE(C9:C16)&lt;&gt;0,30,"CONTADO"))))))</f>
        <v>CONTADO</v>
      </c>
      <c r="C20" s="945">
        <f>1-SUM(D20:H20)</f>
        <v>1</v>
      </c>
      <c r="D20" s="946">
        <f>IF($B20=180,1/6,IF($B20=150,1/5,IF($B20=120,1/4,IF($B20=90,1/3,IF($B20=60,1/2,0)))))</f>
        <v>0</v>
      </c>
      <c r="E20" s="946">
        <f>IF($B20=180,1/6,IF($B20=150,1/5,IF($B20=120,1/4,IF($B20=90,1/3,0))))</f>
        <v>0</v>
      </c>
      <c r="F20" s="946">
        <f>IF($B20=180,1/6,IF($B20=150,1/5,IF($B20=120,1/4,0)))</f>
        <v>0</v>
      </c>
      <c r="G20" s="946">
        <f>IF($B20=180,1/6,IF($B20=150,1/5,0))</f>
        <v>0</v>
      </c>
      <c r="H20" s="946">
        <f>IF(B20=180,1/6,0)</f>
        <v>0</v>
      </c>
      <c r="I20" s="458">
        <f>SUM(C20:H20)</f>
        <v>1</v>
      </c>
      <c r="J20" s="453" t="str">
        <f>IF(I20&lt;&gt;1,"ERROR EN PORCENTAJES","")</f>
        <v/>
      </c>
    </row>
    <row r="22" spans="1:10" ht="27.75" x14ac:dyDescent="0.45">
      <c r="A22" s="408" t="str">
        <f>CONCATENATE("Política de Cobros por Ventas para el Año ",'Datos Básicos'!C16,"  ( ",'Datos Básicos'!$C$17," )")</f>
        <v>Política de Cobros por Ventas para el Año 1  ( 2027 )</v>
      </c>
      <c r="B22" s="841"/>
      <c r="C22" s="843"/>
      <c r="D22" s="844"/>
      <c r="E22" s="450"/>
      <c r="F22" s="843"/>
      <c r="G22" s="843"/>
      <c r="H22" s="843"/>
      <c r="I22" s="936"/>
    </row>
    <row r="23" spans="1:10" ht="18" thickBot="1" x14ac:dyDescent="0.35">
      <c r="A23" s="305"/>
      <c r="B23" s="445"/>
      <c r="C23" s="446"/>
      <c r="D23" s="446"/>
      <c r="E23" s="446"/>
      <c r="F23" s="446"/>
      <c r="G23" s="446"/>
      <c r="H23" s="446"/>
      <c r="I23" s="446"/>
    </row>
    <row r="24" spans="1:10" ht="18" thickBot="1" x14ac:dyDescent="0.35">
      <c r="A24" s="454" t="s">
        <v>950</v>
      </c>
      <c r="B24" s="846" t="s">
        <v>951</v>
      </c>
      <c r="C24" s="937">
        <v>30</v>
      </c>
      <c r="D24" s="937">
        <v>60</v>
      </c>
      <c r="E24" s="937">
        <v>90</v>
      </c>
      <c r="F24" s="937">
        <v>120</v>
      </c>
      <c r="G24" s="937">
        <v>150</v>
      </c>
      <c r="H24" s="937">
        <v>180</v>
      </c>
      <c r="I24" s="846" t="s">
        <v>865</v>
      </c>
    </row>
    <row r="25" spans="1:10" x14ac:dyDescent="0.3">
      <c r="A25" s="848" t="str">
        <f>IF(Parametros!A24="","",Parametros!A24)</f>
        <v/>
      </c>
      <c r="B25" s="452">
        <f>IF(SUM(C25:H25)&gt;1,"ERROR",1-SUM(C25:H25))</f>
        <v>1</v>
      </c>
      <c r="C25" s="938">
        <f t="shared" ref="C25:H32" si="3">C9</f>
        <v>0</v>
      </c>
      <c r="D25" s="938">
        <f t="shared" si="3"/>
        <v>0</v>
      </c>
      <c r="E25" s="938">
        <f t="shared" si="3"/>
        <v>0</v>
      </c>
      <c r="F25" s="938">
        <f t="shared" si="3"/>
        <v>0</v>
      </c>
      <c r="G25" s="938">
        <f t="shared" si="3"/>
        <v>0</v>
      </c>
      <c r="H25" s="938">
        <f t="shared" si="3"/>
        <v>0</v>
      </c>
      <c r="I25" s="456">
        <f t="shared" ref="I25:I32" si="4">SUM(B25:H25)</f>
        <v>1</v>
      </c>
      <c r="J25" s="453" t="str">
        <f>IF(I25&lt;&gt;1,"ERROR EN PORCENTAJES","")</f>
        <v/>
      </c>
    </row>
    <row r="26" spans="1:10" x14ac:dyDescent="0.3">
      <c r="A26" s="849" t="str">
        <f>IF(Parametros!A25="","",Parametros!A25)</f>
        <v/>
      </c>
      <c r="B26" s="452">
        <f t="shared" ref="B26:B32" si="5">IF(SUM(C26:H26)&gt;1,"ERROR",1-SUM(C26:H26))</f>
        <v>1</v>
      </c>
      <c r="C26" s="938">
        <f t="shared" si="3"/>
        <v>0</v>
      </c>
      <c r="D26" s="938">
        <f t="shared" si="3"/>
        <v>0</v>
      </c>
      <c r="E26" s="938">
        <f t="shared" si="3"/>
        <v>0</v>
      </c>
      <c r="F26" s="938">
        <f t="shared" si="3"/>
        <v>0</v>
      </c>
      <c r="G26" s="938">
        <f t="shared" si="3"/>
        <v>0</v>
      </c>
      <c r="H26" s="938">
        <f t="shared" si="3"/>
        <v>0</v>
      </c>
      <c r="I26" s="456">
        <f t="shared" si="4"/>
        <v>1</v>
      </c>
      <c r="J26" s="453" t="str">
        <f t="shared" ref="J26:J32" si="6">IF(I26&lt;&gt;1,"ERROR EN PORCENTAJES","")</f>
        <v/>
      </c>
    </row>
    <row r="27" spans="1:10" x14ac:dyDescent="0.3">
      <c r="A27" s="849" t="str">
        <f>IF(Parametros!A26="","",Parametros!A26)</f>
        <v/>
      </c>
      <c r="B27" s="452">
        <f t="shared" si="5"/>
        <v>1</v>
      </c>
      <c r="C27" s="938">
        <f t="shared" si="3"/>
        <v>0</v>
      </c>
      <c r="D27" s="938">
        <f t="shared" si="3"/>
        <v>0</v>
      </c>
      <c r="E27" s="938">
        <f t="shared" si="3"/>
        <v>0</v>
      </c>
      <c r="F27" s="938">
        <f t="shared" si="3"/>
        <v>0</v>
      </c>
      <c r="G27" s="938">
        <f t="shared" si="3"/>
        <v>0</v>
      </c>
      <c r="H27" s="938">
        <f t="shared" si="3"/>
        <v>0</v>
      </c>
      <c r="I27" s="456">
        <f t="shared" si="4"/>
        <v>1</v>
      </c>
      <c r="J27" s="453" t="str">
        <f t="shared" si="6"/>
        <v/>
      </c>
    </row>
    <row r="28" spans="1:10" x14ac:dyDescent="0.3">
      <c r="A28" s="849" t="str">
        <f>IF(Parametros!A27="","",Parametros!A27)</f>
        <v/>
      </c>
      <c r="B28" s="452">
        <f t="shared" si="5"/>
        <v>1</v>
      </c>
      <c r="C28" s="938">
        <f t="shared" si="3"/>
        <v>0</v>
      </c>
      <c r="D28" s="938">
        <f t="shared" si="3"/>
        <v>0</v>
      </c>
      <c r="E28" s="938">
        <f t="shared" si="3"/>
        <v>0</v>
      </c>
      <c r="F28" s="938">
        <f t="shared" si="3"/>
        <v>0</v>
      </c>
      <c r="G28" s="938">
        <f t="shared" si="3"/>
        <v>0</v>
      </c>
      <c r="H28" s="938">
        <f t="shared" si="3"/>
        <v>0</v>
      </c>
      <c r="I28" s="456">
        <f t="shared" si="4"/>
        <v>1</v>
      </c>
      <c r="J28" s="453" t="str">
        <f t="shared" si="6"/>
        <v/>
      </c>
    </row>
    <row r="29" spans="1:10" x14ac:dyDescent="0.3">
      <c r="A29" s="849" t="str">
        <f>IF(Parametros!A28="","",Parametros!A28)</f>
        <v/>
      </c>
      <c r="B29" s="452">
        <f t="shared" si="5"/>
        <v>1</v>
      </c>
      <c r="C29" s="938">
        <f t="shared" si="3"/>
        <v>0</v>
      </c>
      <c r="D29" s="938">
        <f t="shared" si="3"/>
        <v>0</v>
      </c>
      <c r="E29" s="938">
        <f t="shared" si="3"/>
        <v>0</v>
      </c>
      <c r="F29" s="938">
        <f t="shared" si="3"/>
        <v>0</v>
      </c>
      <c r="G29" s="938">
        <f t="shared" si="3"/>
        <v>0</v>
      </c>
      <c r="H29" s="938">
        <f t="shared" si="3"/>
        <v>0</v>
      </c>
      <c r="I29" s="456">
        <f t="shared" si="4"/>
        <v>1</v>
      </c>
      <c r="J29" s="453" t="str">
        <f t="shared" si="6"/>
        <v/>
      </c>
    </row>
    <row r="30" spans="1:10" x14ac:dyDescent="0.3">
      <c r="A30" s="849" t="str">
        <f>IF(Parametros!A29="","",Parametros!A29)</f>
        <v/>
      </c>
      <c r="B30" s="452">
        <f t="shared" si="5"/>
        <v>1</v>
      </c>
      <c r="C30" s="938">
        <f t="shared" si="3"/>
        <v>0</v>
      </c>
      <c r="D30" s="938">
        <f t="shared" si="3"/>
        <v>0</v>
      </c>
      <c r="E30" s="938">
        <f t="shared" si="3"/>
        <v>0</v>
      </c>
      <c r="F30" s="938">
        <f t="shared" si="3"/>
        <v>0</v>
      </c>
      <c r="G30" s="938">
        <f t="shared" si="3"/>
        <v>0</v>
      </c>
      <c r="H30" s="938">
        <f t="shared" si="3"/>
        <v>0</v>
      </c>
      <c r="I30" s="456">
        <f t="shared" si="4"/>
        <v>1</v>
      </c>
      <c r="J30" s="453" t="str">
        <f t="shared" si="6"/>
        <v/>
      </c>
    </row>
    <row r="31" spans="1:10" x14ac:dyDescent="0.3">
      <c r="A31" s="849" t="str">
        <f>IF(Parametros!A30="","",Parametros!A30)</f>
        <v/>
      </c>
      <c r="B31" s="452">
        <f t="shared" si="5"/>
        <v>1</v>
      </c>
      <c r="C31" s="938">
        <f t="shared" si="3"/>
        <v>0</v>
      </c>
      <c r="D31" s="938">
        <f t="shared" si="3"/>
        <v>0</v>
      </c>
      <c r="E31" s="938">
        <f t="shared" si="3"/>
        <v>0</v>
      </c>
      <c r="F31" s="938">
        <f t="shared" si="3"/>
        <v>0</v>
      </c>
      <c r="G31" s="938">
        <f t="shared" si="3"/>
        <v>0</v>
      </c>
      <c r="H31" s="938">
        <f t="shared" si="3"/>
        <v>0</v>
      </c>
      <c r="I31" s="456">
        <f t="shared" si="4"/>
        <v>1</v>
      </c>
      <c r="J31" s="453" t="str">
        <f t="shared" si="6"/>
        <v/>
      </c>
    </row>
    <row r="32" spans="1:10" ht="18" thickBot="1" x14ac:dyDescent="0.35">
      <c r="A32" s="939" t="str">
        <f>IF(Parametros!A31="","",Parametros!A31)</f>
        <v/>
      </c>
      <c r="B32" s="457">
        <f t="shared" si="5"/>
        <v>1</v>
      </c>
      <c r="C32" s="940">
        <f t="shared" si="3"/>
        <v>0</v>
      </c>
      <c r="D32" s="940">
        <f t="shared" si="3"/>
        <v>0</v>
      </c>
      <c r="E32" s="940">
        <f t="shared" si="3"/>
        <v>0</v>
      </c>
      <c r="F32" s="940">
        <f t="shared" si="3"/>
        <v>0</v>
      </c>
      <c r="G32" s="940">
        <f t="shared" si="3"/>
        <v>0</v>
      </c>
      <c r="H32" s="940">
        <f t="shared" si="3"/>
        <v>0</v>
      </c>
      <c r="I32" s="458">
        <f t="shared" si="4"/>
        <v>1</v>
      </c>
      <c r="J32" s="453" t="str">
        <f t="shared" si="6"/>
        <v/>
      </c>
    </row>
    <row r="37" spans="1:10" ht="27.75" x14ac:dyDescent="0.45">
      <c r="A37" s="408" t="str">
        <f>CONCATENATE("Política de Cobros por Ventas para los años: ",'Datos Básicos'!$D$17,", ",'Datos Básicos'!$E$17," y ",'Datos Básicos'!$F$17)</f>
        <v>Política de Cobros por Ventas para los años: 2028, 2029 y 2030</v>
      </c>
      <c r="B37" s="841"/>
      <c r="C37" s="843"/>
      <c r="D37" s="844"/>
      <c r="E37" s="450"/>
      <c r="F37" s="843"/>
      <c r="G37" s="843"/>
      <c r="H37" s="843"/>
      <c r="I37" s="936"/>
    </row>
    <row r="38" spans="1:10" ht="18" thickBot="1" x14ac:dyDescent="0.35">
      <c r="A38" s="305"/>
      <c r="B38" s="445"/>
      <c r="C38" s="446"/>
      <c r="D38" s="446"/>
      <c r="E38" s="446"/>
      <c r="F38" s="446"/>
      <c r="G38" s="446"/>
      <c r="H38" s="446"/>
      <c r="I38" s="446"/>
    </row>
    <row r="39" spans="1:10" ht="18" thickBot="1" x14ac:dyDescent="0.35">
      <c r="A39" s="454" t="s">
        <v>950</v>
      </c>
      <c r="B39" s="846" t="s">
        <v>951</v>
      </c>
      <c r="C39" s="937">
        <v>30</v>
      </c>
      <c r="D39" s="937">
        <v>60</v>
      </c>
      <c r="E39" s="937">
        <v>90</v>
      </c>
      <c r="F39" s="937">
        <v>120</v>
      </c>
      <c r="G39" s="937">
        <v>150</v>
      </c>
      <c r="H39" s="937">
        <v>180</v>
      </c>
      <c r="I39" s="846" t="s">
        <v>865</v>
      </c>
    </row>
    <row r="40" spans="1:10" x14ac:dyDescent="0.3">
      <c r="A40" s="848" t="str">
        <f>IF(Parametros!A24="","",Parametros!A24)</f>
        <v/>
      </c>
      <c r="B40" s="452">
        <f>IF(SUM(C40:H40)&gt;1,"ERROR",1-SUM(C40:H40))</f>
        <v>1</v>
      </c>
      <c r="C40" s="938">
        <f t="shared" ref="C40:H47" si="7">C25</f>
        <v>0</v>
      </c>
      <c r="D40" s="938">
        <f t="shared" si="7"/>
        <v>0</v>
      </c>
      <c r="E40" s="938">
        <f t="shared" si="7"/>
        <v>0</v>
      </c>
      <c r="F40" s="938">
        <f t="shared" si="7"/>
        <v>0</v>
      </c>
      <c r="G40" s="938">
        <f t="shared" si="7"/>
        <v>0</v>
      </c>
      <c r="H40" s="938">
        <f t="shared" si="7"/>
        <v>0</v>
      </c>
      <c r="I40" s="456">
        <f t="shared" ref="I40:I47" si="8">SUM(B40:H40)</f>
        <v>1</v>
      </c>
      <c r="J40" s="453" t="str">
        <f>IF(I40&lt;&gt;1,"ERROR EN PORCENTAJES","")</f>
        <v/>
      </c>
    </row>
    <row r="41" spans="1:10" x14ac:dyDescent="0.3">
      <c r="A41" s="849" t="str">
        <f>IF(Parametros!A25="","",Parametros!A25)</f>
        <v/>
      </c>
      <c r="B41" s="452">
        <f t="shared" ref="B41:B47" si="9">IF(SUM(C41:H41)&gt;1,"ERROR",1-SUM(C41:H41))</f>
        <v>1</v>
      </c>
      <c r="C41" s="938">
        <f t="shared" si="7"/>
        <v>0</v>
      </c>
      <c r="D41" s="938">
        <f t="shared" si="7"/>
        <v>0</v>
      </c>
      <c r="E41" s="938">
        <f t="shared" si="7"/>
        <v>0</v>
      </c>
      <c r="F41" s="938">
        <f t="shared" si="7"/>
        <v>0</v>
      </c>
      <c r="G41" s="938">
        <f t="shared" si="7"/>
        <v>0</v>
      </c>
      <c r="H41" s="938">
        <f t="shared" si="7"/>
        <v>0</v>
      </c>
      <c r="I41" s="456">
        <f t="shared" si="8"/>
        <v>1</v>
      </c>
      <c r="J41" s="453" t="str">
        <f t="shared" ref="J41:J47" si="10">IF(I41&lt;&gt;1,"ERROR EN PORCENTAJES","")</f>
        <v/>
      </c>
    </row>
    <row r="42" spans="1:10" x14ac:dyDescent="0.3">
      <c r="A42" s="849" t="str">
        <f>IF(Parametros!A26="","",Parametros!A26)</f>
        <v/>
      </c>
      <c r="B42" s="452">
        <f t="shared" si="9"/>
        <v>1</v>
      </c>
      <c r="C42" s="938">
        <f t="shared" si="7"/>
        <v>0</v>
      </c>
      <c r="D42" s="938">
        <f t="shared" si="7"/>
        <v>0</v>
      </c>
      <c r="E42" s="938">
        <f t="shared" si="7"/>
        <v>0</v>
      </c>
      <c r="F42" s="938">
        <f t="shared" si="7"/>
        <v>0</v>
      </c>
      <c r="G42" s="938">
        <f t="shared" si="7"/>
        <v>0</v>
      </c>
      <c r="H42" s="938">
        <f t="shared" si="7"/>
        <v>0</v>
      </c>
      <c r="I42" s="456">
        <f t="shared" si="8"/>
        <v>1</v>
      </c>
      <c r="J42" s="453" t="str">
        <f t="shared" si="10"/>
        <v/>
      </c>
    </row>
    <row r="43" spans="1:10" x14ac:dyDescent="0.3">
      <c r="A43" s="849" t="str">
        <f>IF(Parametros!A27="","",Parametros!A27)</f>
        <v/>
      </c>
      <c r="B43" s="452">
        <f t="shared" si="9"/>
        <v>1</v>
      </c>
      <c r="C43" s="938">
        <f t="shared" si="7"/>
        <v>0</v>
      </c>
      <c r="D43" s="938">
        <f t="shared" si="7"/>
        <v>0</v>
      </c>
      <c r="E43" s="938">
        <f t="shared" si="7"/>
        <v>0</v>
      </c>
      <c r="F43" s="938">
        <f t="shared" si="7"/>
        <v>0</v>
      </c>
      <c r="G43" s="938">
        <f t="shared" si="7"/>
        <v>0</v>
      </c>
      <c r="H43" s="938">
        <f t="shared" si="7"/>
        <v>0</v>
      </c>
      <c r="I43" s="456">
        <f t="shared" si="8"/>
        <v>1</v>
      </c>
      <c r="J43" s="453" t="str">
        <f t="shared" si="10"/>
        <v/>
      </c>
    </row>
    <row r="44" spans="1:10" x14ac:dyDescent="0.3">
      <c r="A44" s="849" t="str">
        <f>IF(Parametros!A28="","",Parametros!A28)</f>
        <v/>
      </c>
      <c r="B44" s="452">
        <f t="shared" si="9"/>
        <v>1</v>
      </c>
      <c r="C44" s="938">
        <f t="shared" si="7"/>
        <v>0</v>
      </c>
      <c r="D44" s="938">
        <f t="shared" si="7"/>
        <v>0</v>
      </c>
      <c r="E44" s="938">
        <f t="shared" si="7"/>
        <v>0</v>
      </c>
      <c r="F44" s="938">
        <f t="shared" si="7"/>
        <v>0</v>
      </c>
      <c r="G44" s="938">
        <f t="shared" si="7"/>
        <v>0</v>
      </c>
      <c r="H44" s="938">
        <f t="shared" si="7"/>
        <v>0</v>
      </c>
      <c r="I44" s="456">
        <f t="shared" si="8"/>
        <v>1</v>
      </c>
      <c r="J44" s="453" t="str">
        <f t="shared" si="10"/>
        <v/>
      </c>
    </row>
    <row r="45" spans="1:10" x14ac:dyDescent="0.3">
      <c r="A45" s="849" t="str">
        <f>IF(Parametros!A29="","",Parametros!A29)</f>
        <v/>
      </c>
      <c r="B45" s="452">
        <f t="shared" si="9"/>
        <v>1</v>
      </c>
      <c r="C45" s="938">
        <f t="shared" si="7"/>
        <v>0</v>
      </c>
      <c r="D45" s="938">
        <f t="shared" si="7"/>
        <v>0</v>
      </c>
      <c r="E45" s="938">
        <f t="shared" si="7"/>
        <v>0</v>
      </c>
      <c r="F45" s="938">
        <f t="shared" si="7"/>
        <v>0</v>
      </c>
      <c r="G45" s="938">
        <f t="shared" si="7"/>
        <v>0</v>
      </c>
      <c r="H45" s="938">
        <f t="shared" si="7"/>
        <v>0</v>
      </c>
      <c r="I45" s="456">
        <f t="shared" si="8"/>
        <v>1</v>
      </c>
      <c r="J45" s="453" t="str">
        <f t="shared" si="10"/>
        <v/>
      </c>
    </row>
    <row r="46" spans="1:10" x14ac:dyDescent="0.3">
      <c r="A46" s="849" t="str">
        <f>IF(Parametros!A30="","",Parametros!A30)</f>
        <v/>
      </c>
      <c r="B46" s="452">
        <f t="shared" si="9"/>
        <v>1</v>
      </c>
      <c r="C46" s="938">
        <f t="shared" si="7"/>
        <v>0</v>
      </c>
      <c r="D46" s="938">
        <f t="shared" si="7"/>
        <v>0</v>
      </c>
      <c r="E46" s="938">
        <f t="shared" si="7"/>
        <v>0</v>
      </c>
      <c r="F46" s="938">
        <f t="shared" si="7"/>
        <v>0</v>
      </c>
      <c r="G46" s="938">
        <f t="shared" si="7"/>
        <v>0</v>
      </c>
      <c r="H46" s="938">
        <f t="shared" si="7"/>
        <v>0</v>
      </c>
      <c r="I46" s="456">
        <f t="shared" si="8"/>
        <v>1</v>
      </c>
      <c r="J46" s="453" t="str">
        <f t="shared" si="10"/>
        <v/>
      </c>
    </row>
    <row r="47" spans="1:10" ht="18" thickBot="1" x14ac:dyDescent="0.35">
      <c r="A47" s="939" t="str">
        <f>IF(Parametros!A31="","",Parametros!A31)</f>
        <v/>
      </c>
      <c r="B47" s="457">
        <f t="shared" si="9"/>
        <v>1</v>
      </c>
      <c r="C47" s="940">
        <f t="shared" si="7"/>
        <v>0</v>
      </c>
      <c r="D47" s="940">
        <f t="shared" si="7"/>
        <v>0</v>
      </c>
      <c r="E47" s="940">
        <f t="shared" si="7"/>
        <v>0</v>
      </c>
      <c r="F47" s="940">
        <f t="shared" si="7"/>
        <v>0</v>
      </c>
      <c r="G47" s="940">
        <f t="shared" si="7"/>
        <v>0</v>
      </c>
      <c r="H47" s="940">
        <f t="shared" si="7"/>
        <v>0</v>
      </c>
      <c r="I47" s="458">
        <f t="shared" si="8"/>
        <v>1</v>
      </c>
      <c r="J47" s="453" t="str">
        <f t="shared" si="10"/>
        <v/>
      </c>
    </row>
    <row r="53" spans="1:10" ht="27.75" x14ac:dyDescent="0.45">
      <c r="A53" s="408" t="str">
        <f>CONCATENATE("Política de Pagos por Compras y Costes Variables para el ",'Datos Básicos'!B16,"  ( ",'Datos Básicos'!$B$17," )")</f>
        <v>Política de Pagos por Compras y Costes Variables para el Año 0  ( 2026 )</v>
      </c>
      <c r="B53" s="841"/>
      <c r="C53" s="843"/>
      <c r="D53" s="844"/>
      <c r="E53" s="450"/>
      <c r="F53" s="843"/>
      <c r="G53" s="843"/>
      <c r="H53" s="843"/>
      <c r="I53" s="936"/>
    </row>
    <row r="54" spans="1:10" ht="18" thickBot="1" x14ac:dyDescent="0.35">
      <c r="A54" s="845"/>
      <c r="B54" s="845"/>
      <c r="C54" s="845"/>
      <c r="D54" s="845"/>
      <c r="E54" s="845"/>
      <c r="F54" s="845"/>
      <c r="G54" s="845"/>
      <c r="H54" s="845"/>
      <c r="I54" s="845"/>
    </row>
    <row r="55" spans="1:10" ht="18" thickBot="1" x14ac:dyDescent="0.35">
      <c r="A55" s="454" t="s">
        <v>950</v>
      </c>
      <c r="B55" s="846" t="s">
        <v>951</v>
      </c>
      <c r="C55" s="937">
        <v>30</v>
      </c>
      <c r="D55" s="937">
        <v>60</v>
      </c>
      <c r="E55" s="937">
        <v>90</v>
      </c>
      <c r="F55" s="937">
        <v>120</v>
      </c>
      <c r="G55" s="937">
        <v>150</v>
      </c>
      <c r="H55" s="937">
        <v>180</v>
      </c>
      <c r="I55" s="846" t="s">
        <v>865</v>
      </c>
    </row>
    <row r="56" spans="1:10" x14ac:dyDescent="0.3">
      <c r="A56" s="848" t="str">
        <f t="shared" ref="A56:A63" si="11">A9</f>
        <v/>
      </c>
      <c r="B56" s="452">
        <f>IF(SUM(C56:H56)&gt;1,"ERROR",1-SUM(C56:H56))</f>
        <v>1</v>
      </c>
      <c r="C56" s="938">
        <f>'Precios-CV'!C37</f>
        <v>0</v>
      </c>
      <c r="D56" s="938">
        <f>'Precios-CV'!D37</f>
        <v>0</v>
      </c>
      <c r="E56" s="938">
        <f>'Precios-CV'!E37</f>
        <v>0</v>
      </c>
      <c r="F56" s="938">
        <f>'Precios-CV'!F37</f>
        <v>0</v>
      </c>
      <c r="G56" s="938">
        <f>'Precios-CV'!G37</f>
        <v>0</v>
      </c>
      <c r="H56" s="938">
        <f>'Precios-CV'!H37</f>
        <v>0</v>
      </c>
      <c r="I56" s="456">
        <f t="shared" ref="I56:I63" si="12">SUM(B56:H56)</f>
        <v>1</v>
      </c>
      <c r="J56" s="453" t="str">
        <f>IF(I56&lt;&gt;1,"ERROR EN PORCENTAJES","")</f>
        <v/>
      </c>
    </row>
    <row r="57" spans="1:10" x14ac:dyDescent="0.3">
      <c r="A57" s="849" t="str">
        <f t="shared" si="11"/>
        <v/>
      </c>
      <c r="B57" s="452">
        <f t="shared" ref="B57:B63" si="13">IF(SUM(C57:H57)&gt;1,"ERROR",1-SUM(C57:H57))</f>
        <v>1</v>
      </c>
      <c r="C57" s="938">
        <f>'Precios-CV'!C38</f>
        <v>0</v>
      </c>
      <c r="D57" s="938">
        <f>'Precios-CV'!D38</f>
        <v>0</v>
      </c>
      <c r="E57" s="938">
        <f>'Precios-CV'!E38</f>
        <v>0</v>
      </c>
      <c r="F57" s="938">
        <f>'Precios-CV'!F38</f>
        <v>0</v>
      </c>
      <c r="G57" s="938">
        <f>'Precios-CV'!G38</f>
        <v>0</v>
      </c>
      <c r="H57" s="938">
        <f>'Precios-CV'!H38</f>
        <v>0</v>
      </c>
      <c r="I57" s="456">
        <f t="shared" si="12"/>
        <v>1</v>
      </c>
      <c r="J57" s="453" t="str">
        <f t="shared" ref="J57:J63" si="14">IF(I57&lt;&gt;1,"ERROR EN PORCENTAJES","")</f>
        <v/>
      </c>
    </row>
    <row r="58" spans="1:10" x14ac:dyDescent="0.3">
      <c r="A58" s="849" t="str">
        <f t="shared" si="11"/>
        <v/>
      </c>
      <c r="B58" s="452">
        <f t="shared" si="13"/>
        <v>1</v>
      </c>
      <c r="C58" s="938">
        <f>'Precios-CV'!C39</f>
        <v>0</v>
      </c>
      <c r="D58" s="938">
        <f>'Precios-CV'!D39</f>
        <v>0</v>
      </c>
      <c r="E58" s="938">
        <f>'Precios-CV'!E39</f>
        <v>0</v>
      </c>
      <c r="F58" s="938">
        <f>'Precios-CV'!F39</f>
        <v>0</v>
      </c>
      <c r="G58" s="938">
        <f>'Precios-CV'!G39</f>
        <v>0</v>
      </c>
      <c r="H58" s="938">
        <f>'Precios-CV'!H39</f>
        <v>0</v>
      </c>
      <c r="I58" s="456">
        <f t="shared" si="12"/>
        <v>1</v>
      </c>
      <c r="J58" s="453" t="str">
        <f t="shared" si="14"/>
        <v/>
      </c>
    </row>
    <row r="59" spans="1:10" x14ac:dyDescent="0.3">
      <c r="A59" s="849" t="str">
        <f t="shared" si="11"/>
        <v/>
      </c>
      <c r="B59" s="452">
        <f t="shared" si="13"/>
        <v>1</v>
      </c>
      <c r="C59" s="938">
        <f>'Precios-CV'!C40</f>
        <v>0</v>
      </c>
      <c r="D59" s="938">
        <f>'Precios-CV'!D40</f>
        <v>0</v>
      </c>
      <c r="E59" s="938">
        <f>'Precios-CV'!E40</f>
        <v>0</v>
      </c>
      <c r="F59" s="938">
        <f>'Precios-CV'!F40</f>
        <v>0</v>
      </c>
      <c r="G59" s="938">
        <f>'Precios-CV'!G40</f>
        <v>0</v>
      </c>
      <c r="H59" s="938">
        <f>'Precios-CV'!H40</f>
        <v>0</v>
      </c>
      <c r="I59" s="456">
        <f t="shared" si="12"/>
        <v>1</v>
      </c>
      <c r="J59" s="453" t="str">
        <f t="shared" si="14"/>
        <v/>
      </c>
    </row>
    <row r="60" spans="1:10" x14ac:dyDescent="0.3">
      <c r="A60" s="849" t="str">
        <f t="shared" si="11"/>
        <v/>
      </c>
      <c r="B60" s="452">
        <f t="shared" si="13"/>
        <v>1</v>
      </c>
      <c r="C60" s="938">
        <f>'Precios-CV'!C41</f>
        <v>0</v>
      </c>
      <c r="D60" s="938">
        <f>'Precios-CV'!D41</f>
        <v>0</v>
      </c>
      <c r="E60" s="938">
        <f>'Precios-CV'!E41</f>
        <v>0</v>
      </c>
      <c r="F60" s="938">
        <f>'Precios-CV'!F41</f>
        <v>0</v>
      </c>
      <c r="G60" s="938">
        <f>'Precios-CV'!G41</f>
        <v>0</v>
      </c>
      <c r="H60" s="938">
        <f>'Precios-CV'!H41</f>
        <v>0</v>
      </c>
      <c r="I60" s="456">
        <f t="shared" si="12"/>
        <v>1</v>
      </c>
      <c r="J60" s="453" t="str">
        <f t="shared" si="14"/>
        <v/>
      </c>
    </row>
    <row r="61" spans="1:10" x14ac:dyDescent="0.3">
      <c r="A61" s="849" t="str">
        <f t="shared" si="11"/>
        <v/>
      </c>
      <c r="B61" s="452">
        <f t="shared" si="13"/>
        <v>1</v>
      </c>
      <c r="C61" s="938">
        <f>'Precios-CV'!C42</f>
        <v>0</v>
      </c>
      <c r="D61" s="938">
        <f>'Precios-CV'!D42</f>
        <v>0</v>
      </c>
      <c r="E61" s="938">
        <f>'Precios-CV'!E42</f>
        <v>0</v>
      </c>
      <c r="F61" s="938">
        <f>'Precios-CV'!F42</f>
        <v>0</v>
      </c>
      <c r="G61" s="938">
        <f>'Precios-CV'!G42</f>
        <v>0</v>
      </c>
      <c r="H61" s="938">
        <f>'Precios-CV'!H42</f>
        <v>0</v>
      </c>
      <c r="I61" s="456">
        <f t="shared" si="12"/>
        <v>1</v>
      </c>
      <c r="J61" s="453" t="str">
        <f t="shared" si="14"/>
        <v/>
      </c>
    </row>
    <row r="62" spans="1:10" x14ac:dyDescent="0.3">
      <c r="A62" s="849" t="str">
        <f t="shared" si="11"/>
        <v/>
      </c>
      <c r="B62" s="452">
        <f t="shared" si="13"/>
        <v>1</v>
      </c>
      <c r="C62" s="938">
        <f>'Precios-CV'!C43</f>
        <v>0</v>
      </c>
      <c r="D62" s="938">
        <f>'Precios-CV'!D43</f>
        <v>0</v>
      </c>
      <c r="E62" s="938">
        <f>'Precios-CV'!E43</f>
        <v>0</v>
      </c>
      <c r="F62" s="938">
        <f>'Precios-CV'!F43</f>
        <v>0</v>
      </c>
      <c r="G62" s="938">
        <f>'Precios-CV'!G43</f>
        <v>0</v>
      </c>
      <c r="H62" s="938">
        <f>'Precios-CV'!H43</f>
        <v>0</v>
      </c>
      <c r="I62" s="456">
        <f t="shared" si="12"/>
        <v>1</v>
      </c>
      <c r="J62" s="453" t="str">
        <f t="shared" si="14"/>
        <v/>
      </c>
    </row>
    <row r="63" spans="1:10" ht="18" thickBot="1" x14ac:dyDescent="0.35">
      <c r="A63" s="939" t="str">
        <f t="shared" si="11"/>
        <v/>
      </c>
      <c r="B63" s="457">
        <f t="shared" si="13"/>
        <v>1</v>
      </c>
      <c r="C63" s="940">
        <f>'Precios-CV'!C44</f>
        <v>0</v>
      </c>
      <c r="D63" s="940">
        <f>'Precios-CV'!D44</f>
        <v>0</v>
      </c>
      <c r="E63" s="940">
        <f>'Precios-CV'!E44</f>
        <v>0</v>
      </c>
      <c r="F63" s="940">
        <f>'Precios-CV'!F44</f>
        <v>0</v>
      </c>
      <c r="G63" s="940">
        <f>'Precios-CV'!G44</f>
        <v>0</v>
      </c>
      <c r="H63" s="940">
        <f>'Precios-CV'!H44</f>
        <v>0</v>
      </c>
      <c r="I63" s="458">
        <f t="shared" si="12"/>
        <v>1</v>
      </c>
      <c r="J63" s="453" t="str">
        <f t="shared" si="14"/>
        <v/>
      </c>
    </row>
    <row r="65" spans="1:10" ht="28.5" thickBot="1" x14ac:dyDescent="0.5">
      <c r="A65" s="408" t="s">
        <v>1066</v>
      </c>
    </row>
    <row r="66" spans="1:10" ht="27.75" customHeight="1" thickBot="1" x14ac:dyDescent="0.35">
      <c r="A66" s="941" t="s">
        <v>40</v>
      </c>
      <c r="B66" s="942" t="s">
        <v>181</v>
      </c>
      <c r="C66" s="943" t="s">
        <v>34</v>
      </c>
      <c r="D66" s="943" t="s">
        <v>35</v>
      </c>
      <c r="E66" s="943" t="s">
        <v>36</v>
      </c>
      <c r="F66" s="943" t="s">
        <v>37</v>
      </c>
      <c r="G66" s="943" t="s">
        <v>38</v>
      </c>
      <c r="H66" s="943" t="s">
        <v>39</v>
      </c>
      <c r="I66" s="455" t="s">
        <v>865</v>
      </c>
    </row>
    <row r="67" spans="1:10" ht="18.75" thickTop="1" thickBot="1" x14ac:dyDescent="0.35">
      <c r="A67" s="817" t="s">
        <v>1056</v>
      </c>
      <c r="B67" s="944" t="str">
        <f>IF(AVERAGE(H56:H63)&lt;&gt;0,180,IF(AVERAGE(G56:G63)&lt;&gt;0,150,IF(AVERAGE(F56:F63)&lt;&gt;0,120,IF(AVERAGE(E56:E63)&lt;&gt;0,90,IF(AVERAGE(D56:D63)&lt;&gt;0,60,IF(AVERAGE(C56:C63)&lt;&gt;0,30,"CONTADO"))))))</f>
        <v>CONTADO</v>
      </c>
      <c r="C67" s="945">
        <f>1-SUM(D67:H67)</f>
        <v>1</v>
      </c>
      <c r="D67" s="946">
        <f>IF($B67=180,1/6,IF($B67=150,1/5,IF($B67=120,1/4,IF($B67=90,1/3,IF($B67=60,1/2,0)))))</f>
        <v>0</v>
      </c>
      <c r="E67" s="946">
        <f>IF($B67=180,1/6,IF($B67=150,1/5,IF($B67=120,1/4,IF($B67=90,1/3,0))))</f>
        <v>0</v>
      </c>
      <c r="F67" s="946">
        <f>IF($B67=180,1/6,IF($B67=150,1/5,IF($B67=120,1/4,0)))</f>
        <v>0</v>
      </c>
      <c r="G67" s="946">
        <f>IF($B67=180,1/6,IF($B67=150,1/5,0))</f>
        <v>0</v>
      </c>
      <c r="H67" s="946">
        <f>IF(B67=180,1/6,0)</f>
        <v>0</v>
      </c>
      <c r="I67" s="458">
        <f>SUM(C67:H67)</f>
        <v>1</v>
      </c>
      <c r="J67" s="453" t="str">
        <f>IF(I67&lt;&gt;1,"ERROR EN PORCENTAJES","")</f>
        <v/>
      </c>
    </row>
    <row r="70" spans="1:10" ht="27.75" x14ac:dyDescent="0.45">
      <c r="A70" s="408" t="str">
        <f>CONCATENATE("Política de Pagos por Compras y Costes Variables para el Año ",'Datos Básicos'!C16,"  ( ",'Datos Básicos'!$C$17," )")</f>
        <v>Política de Pagos por Compras y Costes Variables para el Año 1  ( 2027 )</v>
      </c>
      <c r="B70" s="841"/>
      <c r="C70" s="843"/>
      <c r="D70" s="844"/>
      <c r="E70" s="450"/>
      <c r="F70" s="843"/>
      <c r="G70" s="843"/>
      <c r="H70" s="843"/>
      <c r="I70" s="936"/>
    </row>
    <row r="71" spans="1:10" ht="18" thickBot="1" x14ac:dyDescent="0.35">
      <c r="A71" s="845"/>
      <c r="B71" s="845"/>
      <c r="C71" s="845"/>
      <c r="D71" s="845"/>
      <c r="E71" s="845"/>
      <c r="F71" s="845"/>
      <c r="G71" s="845"/>
      <c r="H71" s="845"/>
      <c r="I71" s="845"/>
    </row>
    <row r="72" spans="1:10" ht="18" thickBot="1" x14ac:dyDescent="0.35">
      <c r="A72" s="454" t="s">
        <v>950</v>
      </c>
      <c r="B72" s="846" t="s">
        <v>951</v>
      </c>
      <c r="C72" s="937">
        <v>30</v>
      </c>
      <c r="D72" s="937">
        <v>60</v>
      </c>
      <c r="E72" s="937">
        <v>90</v>
      </c>
      <c r="F72" s="937">
        <v>120</v>
      </c>
      <c r="G72" s="937">
        <v>150</v>
      </c>
      <c r="H72" s="937">
        <v>180</v>
      </c>
      <c r="I72" s="846" t="s">
        <v>865</v>
      </c>
    </row>
    <row r="73" spans="1:10" x14ac:dyDescent="0.3">
      <c r="A73" s="848" t="str">
        <f t="shared" ref="A73:A80" si="15">A56</f>
        <v/>
      </c>
      <c r="B73" s="452">
        <f>IF(SUM(C73:H73)&gt;1,"ERROR",1-SUM(C73:H73))</f>
        <v>1</v>
      </c>
      <c r="C73" s="938">
        <f t="shared" ref="C73:H80" si="16">C56</f>
        <v>0</v>
      </c>
      <c r="D73" s="938">
        <f t="shared" si="16"/>
        <v>0</v>
      </c>
      <c r="E73" s="938">
        <f t="shared" si="16"/>
        <v>0</v>
      </c>
      <c r="F73" s="938">
        <f t="shared" si="16"/>
        <v>0</v>
      </c>
      <c r="G73" s="938">
        <f t="shared" si="16"/>
        <v>0</v>
      </c>
      <c r="H73" s="938">
        <f t="shared" si="16"/>
        <v>0</v>
      </c>
      <c r="I73" s="456">
        <f t="shared" ref="I73:I80" si="17">SUM(B73:H73)</f>
        <v>1</v>
      </c>
      <c r="J73" s="453" t="str">
        <f>IF(I73&lt;&gt;1,"ERROR EN PORCENTAJES","")</f>
        <v/>
      </c>
    </row>
    <row r="74" spans="1:10" x14ac:dyDescent="0.3">
      <c r="A74" s="849" t="str">
        <f t="shared" si="15"/>
        <v/>
      </c>
      <c r="B74" s="452">
        <f t="shared" ref="B74:B80" si="18">IF(SUM(C74:H74)&gt;1,"ERROR",1-SUM(C74:H74))</f>
        <v>1</v>
      </c>
      <c r="C74" s="938">
        <f t="shared" si="16"/>
        <v>0</v>
      </c>
      <c r="D74" s="938">
        <f t="shared" si="16"/>
        <v>0</v>
      </c>
      <c r="E74" s="938">
        <f t="shared" si="16"/>
        <v>0</v>
      </c>
      <c r="F74" s="938">
        <f t="shared" si="16"/>
        <v>0</v>
      </c>
      <c r="G74" s="938">
        <f t="shared" si="16"/>
        <v>0</v>
      </c>
      <c r="H74" s="938">
        <f t="shared" si="16"/>
        <v>0</v>
      </c>
      <c r="I74" s="456">
        <f t="shared" si="17"/>
        <v>1</v>
      </c>
      <c r="J74" s="453" t="str">
        <f t="shared" ref="J74:J80" si="19">IF(I74&lt;&gt;1,"ERROR EN PORCENTAJES","")</f>
        <v/>
      </c>
    </row>
    <row r="75" spans="1:10" x14ac:dyDescent="0.3">
      <c r="A75" s="849" t="str">
        <f t="shared" si="15"/>
        <v/>
      </c>
      <c r="B75" s="452">
        <f t="shared" si="18"/>
        <v>1</v>
      </c>
      <c r="C75" s="938">
        <f t="shared" si="16"/>
        <v>0</v>
      </c>
      <c r="D75" s="938">
        <f t="shared" si="16"/>
        <v>0</v>
      </c>
      <c r="E75" s="938">
        <f t="shared" si="16"/>
        <v>0</v>
      </c>
      <c r="F75" s="938">
        <f t="shared" si="16"/>
        <v>0</v>
      </c>
      <c r="G75" s="938">
        <f t="shared" si="16"/>
        <v>0</v>
      </c>
      <c r="H75" s="938">
        <f t="shared" si="16"/>
        <v>0</v>
      </c>
      <c r="I75" s="456">
        <f t="shared" si="17"/>
        <v>1</v>
      </c>
      <c r="J75" s="453" t="str">
        <f t="shared" si="19"/>
        <v/>
      </c>
    </row>
    <row r="76" spans="1:10" x14ac:dyDescent="0.3">
      <c r="A76" s="849" t="str">
        <f t="shared" si="15"/>
        <v/>
      </c>
      <c r="B76" s="452">
        <f t="shared" si="18"/>
        <v>1</v>
      </c>
      <c r="C76" s="938">
        <f t="shared" si="16"/>
        <v>0</v>
      </c>
      <c r="D76" s="938">
        <f t="shared" si="16"/>
        <v>0</v>
      </c>
      <c r="E76" s="938">
        <f t="shared" si="16"/>
        <v>0</v>
      </c>
      <c r="F76" s="938">
        <f t="shared" si="16"/>
        <v>0</v>
      </c>
      <c r="G76" s="938">
        <f t="shared" si="16"/>
        <v>0</v>
      </c>
      <c r="H76" s="938">
        <f t="shared" si="16"/>
        <v>0</v>
      </c>
      <c r="I76" s="456">
        <f t="shared" si="17"/>
        <v>1</v>
      </c>
      <c r="J76" s="453" t="str">
        <f t="shared" si="19"/>
        <v/>
      </c>
    </row>
    <row r="77" spans="1:10" x14ac:dyDescent="0.3">
      <c r="A77" s="849" t="str">
        <f t="shared" si="15"/>
        <v/>
      </c>
      <c r="B77" s="452">
        <f t="shared" si="18"/>
        <v>1</v>
      </c>
      <c r="C77" s="938">
        <f t="shared" si="16"/>
        <v>0</v>
      </c>
      <c r="D77" s="938">
        <f t="shared" si="16"/>
        <v>0</v>
      </c>
      <c r="E77" s="938">
        <f t="shared" si="16"/>
        <v>0</v>
      </c>
      <c r="F77" s="938">
        <f t="shared" si="16"/>
        <v>0</v>
      </c>
      <c r="G77" s="938">
        <f t="shared" si="16"/>
        <v>0</v>
      </c>
      <c r="H77" s="938">
        <f t="shared" si="16"/>
        <v>0</v>
      </c>
      <c r="I77" s="456">
        <f t="shared" si="17"/>
        <v>1</v>
      </c>
      <c r="J77" s="453" t="str">
        <f t="shared" si="19"/>
        <v/>
      </c>
    </row>
    <row r="78" spans="1:10" x14ac:dyDescent="0.3">
      <c r="A78" s="849" t="str">
        <f t="shared" si="15"/>
        <v/>
      </c>
      <c r="B78" s="452">
        <f t="shared" si="18"/>
        <v>1</v>
      </c>
      <c r="C78" s="938">
        <f t="shared" si="16"/>
        <v>0</v>
      </c>
      <c r="D78" s="938">
        <f t="shared" si="16"/>
        <v>0</v>
      </c>
      <c r="E78" s="938">
        <f t="shared" si="16"/>
        <v>0</v>
      </c>
      <c r="F78" s="938">
        <f t="shared" si="16"/>
        <v>0</v>
      </c>
      <c r="G78" s="938">
        <f t="shared" si="16"/>
        <v>0</v>
      </c>
      <c r="H78" s="938">
        <f t="shared" si="16"/>
        <v>0</v>
      </c>
      <c r="I78" s="456">
        <f t="shared" si="17"/>
        <v>1</v>
      </c>
      <c r="J78" s="453" t="str">
        <f t="shared" si="19"/>
        <v/>
      </c>
    </row>
    <row r="79" spans="1:10" x14ac:dyDescent="0.3">
      <c r="A79" s="849" t="str">
        <f t="shared" si="15"/>
        <v/>
      </c>
      <c r="B79" s="452">
        <f t="shared" si="18"/>
        <v>1</v>
      </c>
      <c r="C79" s="938">
        <f t="shared" si="16"/>
        <v>0</v>
      </c>
      <c r="D79" s="938">
        <f t="shared" si="16"/>
        <v>0</v>
      </c>
      <c r="E79" s="938">
        <f t="shared" si="16"/>
        <v>0</v>
      </c>
      <c r="F79" s="938">
        <f t="shared" si="16"/>
        <v>0</v>
      </c>
      <c r="G79" s="938">
        <f t="shared" si="16"/>
        <v>0</v>
      </c>
      <c r="H79" s="938">
        <f t="shared" si="16"/>
        <v>0</v>
      </c>
      <c r="I79" s="456">
        <f t="shared" si="17"/>
        <v>1</v>
      </c>
      <c r="J79" s="453" t="str">
        <f t="shared" si="19"/>
        <v/>
      </c>
    </row>
    <row r="80" spans="1:10" ht="18" thickBot="1" x14ac:dyDescent="0.35">
      <c r="A80" s="939" t="str">
        <f t="shared" si="15"/>
        <v/>
      </c>
      <c r="B80" s="457">
        <f t="shared" si="18"/>
        <v>1</v>
      </c>
      <c r="C80" s="940">
        <f t="shared" si="16"/>
        <v>0</v>
      </c>
      <c r="D80" s="940">
        <f t="shared" si="16"/>
        <v>0</v>
      </c>
      <c r="E80" s="940">
        <f t="shared" si="16"/>
        <v>0</v>
      </c>
      <c r="F80" s="940">
        <f t="shared" si="16"/>
        <v>0</v>
      </c>
      <c r="G80" s="940">
        <f t="shared" si="16"/>
        <v>0</v>
      </c>
      <c r="H80" s="940">
        <f t="shared" si="16"/>
        <v>0</v>
      </c>
      <c r="I80" s="458">
        <f t="shared" si="17"/>
        <v>1</v>
      </c>
      <c r="J80" s="453" t="str">
        <f t="shared" si="19"/>
        <v/>
      </c>
    </row>
    <row r="85" spans="1:10" ht="27.75" x14ac:dyDescent="0.45">
      <c r="A85" s="947" t="str">
        <f>CONCATENATE("Política de Pagos de Compras y Costes Variables para los años: ",'Datos Básicos'!$D$17,", ",'Datos Básicos'!$E$17," y ",'Datos Básicos'!$F$17)</f>
        <v>Política de Pagos de Compras y Costes Variables para los años: 2028, 2029 y 2030</v>
      </c>
      <c r="B85" s="841"/>
      <c r="C85" s="843"/>
      <c r="D85" s="844"/>
      <c r="E85" s="450"/>
      <c r="F85" s="843"/>
      <c r="G85" s="843"/>
      <c r="H85" s="843"/>
      <c r="I85" s="936"/>
    </row>
    <row r="86" spans="1:10" ht="18" thickBot="1" x14ac:dyDescent="0.35">
      <c r="A86" s="845"/>
      <c r="B86" s="845"/>
      <c r="C86" s="845"/>
      <c r="D86" s="845"/>
      <c r="E86" s="845"/>
      <c r="F86" s="845"/>
      <c r="G86" s="845"/>
      <c r="H86" s="845"/>
      <c r="I86" s="845"/>
    </row>
    <row r="87" spans="1:10" ht="18" thickBot="1" x14ac:dyDescent="0.35">
      <c r="A87" s="454" t="s">
        <v>950</v>
      </c>
      <c r="B87" s="846" t="s">
        <v>951</v>
      </c>
      <c r="C87" s="937">
        <v>30</v>
      </c>
      <c r="D87" s="937">
        <v>60</v>
      </c>
      <c r="E87" s="937">
        <v>90</v>
      </c>
      <c r="F87" s="937">
        <v>120</v>
      </c>
      <c r="G87" s="937">
        <v>150</v>
      </c>
      <c r="H87" s="937">
        <v>180</v>
      </c>
      <c r="I87" s="846" t="s">
        <v>865</v>
      </c>
    </row>
    <row r="88" spans="1:10" x14ac:dyDescent="0.3">
      <c r="A88" s="848" t="str">
        <f t="shared" ref="A88:A95" si="20">A73</f>
        <v/>
      </c>
      <c r="B88" s="452">
        <f>IF(SUM(C88:H88)&gt;1,"ERROR",1-SUM(C88:H88))</f>
        <v>1</v>
      </c>
      <c r="C88" s="938">
        <f t="shared" ref="C88:H95" si="21">C73</f>
        <v>0</v>
      </c>
      <c r="D88" s="938">
        <f t="shared" si="21"/>
        <v>0</v>
      </c>
      <c r="E88" s="938">
        <f t="shared" si="21"/>
        <v>0</v>
      </c>
      <c r="F88" s="938">
        <f t="shared" si="21"/>
        <v>0</v>
      </c>
      <c r="G88" s="938">
        <f t="shared" si="21"/>
        <v>0</v>
      </c>
      <c r="H88" s="938">
        <f t="shared" si="21"/>
        <v>0</v>
      </c>
      <c r="I88" s="456">
        <f t="shared" ref="I88:I95" si="22">SUM(B88:H88)</f>
        <v>1</v>
      </c>
      <c r="J88" s="453" t="str">
        <f>IF(I88&lt;&gt;1,"ERROR EN PORCENTAJES","")</f>
        <v/>
      </c>
    </row>
    <row r="89" spans="1:10" x14ac:dyDescent="0.3">
      <c r="A89" s="849" t="str">
        <f t="shared" si="20"/>
        <v/>
      </c>
      <c r="B89" s="452">
        <f t="shared" ref="B89:B95" si="23">IF(SUM(C89:H89)&gt;1,"ERROR",1-SUM(C89:H89))</f>
        <v>1</v>
      </c>
      <c r="C89" s="938">
        <f t="shared" si="21"/>
        <v>0</v>
      </c>
      <c r="D89" s="938">
        <f t="shared" si="21"/>
        <v>0</v>
      </c>
      <c r="E89" s="938">
        <f t="shared" si="21"/>
        <v>0</v>
      </c>
      <c r="F89" s="938">
        <f t="shared" si="21"/>
        <v>0</v>
      </c>
      <c r="G89" s="938">
        <f t="shared" si="21"/>
        <v>0</v>
      </c>
      <c r="H89" s="938">
        <f t="shared" si="21"/>
        <v>0</v>
      </c>
      <c r="I89" s="456">
        <f t="shared" si="22"/>
        <v>1</v>
      </c>
      <c r="J89" s="453" t="str">
        <f t="shared" ref="J89:J95" si="24">IF(I89&lt;&gt;1,"ERROR EN PORCENTAJES","")</f>
        <v/>
      </c>
    </row>
    <row r="90" spans="1:10" x14ac:dyDescent="0.3">
      <c r="A90" s="849" t="str">
        <f t="shared" si="20"/>
        <v/>
      </c>
      <c r="B90" s="452">
        <f t="shared" si="23"/>
        <v>1</v>
      </c>
      <c r="C90" s="938">
        <f t="shared" si="21"/>
        <v>0</v>
      </c>
      <c r="D90" s="938">
        <f t="shared" si="21"/>
        <v>0</v>
      </c>
      <c r="E90" s="938">
        <f t="shared" si="21"/>
        <v>0</v>
      </c>
      <c r="F90" s="938">
        <f t="shared" si="21"/>
        <v>0</v>
      </c>
      <c r="G90" s="938">
        <f t="shared" si="21"/>
        <v>0</v>
      </c>
      <c r="H90" s="938">
        <f t="shared" si="21"/>
        <v>0</v>
      </c>
      <c r="I90" s="456">
        <f t="shared" si="22"/>
        <v>1</v>
      </c>
      <c r="J90" s="453" t="str">
        <f t="shared" si="24"/>
        <v/>
      </c>
    </row>
    <row r="91" spans="1:10" x14ac:dyDescent="0.3">
      <c r="A91" s="849" t="str">
        <f t="shared" si="20"/>
        <v/>
      </c>
      <c r="B91" s="452">
        <f t="shared" si="23"/>
        <v>1</v>
      </c>
      <c r="C91" s="938">
        <f t="shared" si="21"/>
        <v>0</v>
      </c>
      <c r="D91" s="938">
        <f t="shared" si="21"/>
        <v>0</v>
      </c>
      <c r="E91" s="938">
        <f t="shared" si="21"/>
        <v>0</v>
      </c>
      <c r="F91" s="938">
        <f t="shared" si="21"/>
        <v>0</v>
      </c>
      <c r="G91" s="938">
        <f t="shared" si="21"/>
        <v>0</v>
      </c>
      <c r="H91" s="938">
        <f t="shared" si="21"/>
        <v>0</v>
      </c>
      <c r="I91" s="456">
        <f t="shared" si="22"/>
        <v>1</v>
      </c>
      <c r="J91" s="453" t="str">
        <f t="shared" si="24"/>
        <v/>
      </c>
    </row>
    <row r="92" spans="1:10" x14ac:dyDescent="0.3">
      <c r="A92" s="849" t="str">
        <f t="shared" si="20"/>
        <v/>
      </c>
      <c r="B92" s="452">
        <f t="shared" si="23"/>
        <v>1</v>
      </c>
      <c r="C92" s="938">
        <f t="shared" si="21"/>
        <v>0</v>
      </c>
      <c r="D92" s="938">
        <f t="shared" si="21"/>
        <v>0</v>
      </c>
      <c r="E92" s="938">
        <f t="shared" si="21"/>
        <v>0</v>
      </c>
      <c r="F92" s="938">
        <f t="shared" si="21"/>
        <v>0</v>
      </c>
      <c r="G92" s="938">
        <f t="shared" si="21"/>
        <v>0</v>
      </c>
      <c r="H92" s="938">
        <f t="shared" si="21"/>
        <v>0</v>
      </c>
      <c r="I92" s="456">
        <f t="shared" si="22"/>
        <v>1</v>
      </c>
      <c r="J92" s="453" t="str">
        <f t="shared" si="24"/>
        <v/>
      </c>
    </row>
    <row r="93" spans="1:10" x14ac:dyDescent="0.3">
      <c r="A93" s="849" t="str">
        <f t="shared" si="20"/>
        <v/>
      </c>
      <c r="B93" s="452">
        <f t="shared" si="23"/>
        <v>1</v>
      </c>
      <c r="C93" s="938">
        <f t="shared" si="21"/>
        <v>0</v>
      </c>
      <c r="D93" s="938">
        <f t="shared" si="21"/>
        <v>0</v>
      </c>
      <c r="E93" s="938">
        <f t="shared" si="21"/>
        <v>0</v>
      </c>
      <c r="F93" s="938">
        <f t="shared" si="21"/>
        <v>0</v>
      </c>
      <c r="G93" s="938">
        <f t="shared" si="21"/>
        <v>0</v>
      </c>
      <c r="H93" s="938">
        <f t="shared" si="21"/>
        <v>0</v>
      </c>
      <c r="I93" s="456">
        <f t="shared" si="22"/>
        <v>1</v>
      </c>
      <c r="J93" s="453" t="str">
        <f t="shared" si="24"/>
        <v/>
      </c>
    </row>
    <row r="94" spans="1:10" x14ac:dyDescent="0.3">
      <c r="A94" s="849" t="str">
        <f t="shared" si="20"/>
        <v/>
      </c>
      <c r="B94" s="452">
        <f t="shared" si="23"/>
        <v>1</v>
      </c>
      <c r="C94" s="938">
        <f t="shared" si="21"/>
        <v>0</v>
      </c>
      <c r="D94" s="938">
        <f t="shared" si="21"/>
        <v>0</v>
      </c>
      <c r="E94" s="938">
        <f t="shared" si="21"/>
        <v>0</v>
      </c>
      <c r="F94" s="938">
        <f t="shared" si="21"/>
        <v>0</v>
      </c>
      <c r="G94" s="938">
        <f t="shared" si="21"/>
        <v>0</v>
      </c>
      <c r="H94" s="938">
        <f t="shared" si="21"/>
        <v>0</v>
      </c>
      <c r="I94" s="456">
        <f t="shared" si="22"/>
        <v>1</v>
      </c>
      <c r="J94" s="453" t="str">
        <f t="shared" si="24"/>
        <v/>
      </c>
    </row>
    <row r="95" spans="1:10" ht="18" thickBot="1" x14ac:dyDescent="0.35">
      <c r="A95" s="939" t="str">
        <f t="shared" si="20"/>
        <v/>
      </c>
      <c r="B95" s="457">
        <f t="shared" si="23"/>
        <v>1</v>
      </c>
      <c r="C95" s="940">
        <f t="shared" si="21"/>
        <v>0</v>
      </c>
      <c r="D95" s="940">
        <f t="shared" si="21"/>
        <v>0</v>
      </c>
      <c r="E95" s="940">
        <f t="shared" si="21"/>
        <v>0</v>
      </c>
      <c r="F95" s="940">
        <f t="shared" si="21"/>
        <v>0</v>
      </c>
      <c r="G95" s="940">
        <f t="shared" si="21"/>
        <v>0</v>
      </c>
      <c r="H95" s="940">
        <f t="shared" si="21"/>
        <v>0</v>
      </c>
      <c r="I95" s="458">
        <f t="shared" si="22"/>
        <v>1</v>
      </c>
      <c r="J95" s="453" t="str">
        <f t="shared" si="24"/>
        <v/>
      </c>
    </row>
  </sheetData>
  <sheetProtection sheet="1" objects="1" scenarios="1" formatCells="0" formatColumns="0"/>
  <phoneticPr fontId="13" type="noConversion"/>
  <dataValidations count="1">
    <dataValidation type="decimal" allowBlank="1" showInputMessage="1" showErrorMessage="1" sqref="C20:H20 C67:H67 C9:H16 C25:H32 C40:H47 C56:H63 C73:H80 C88:H95" xr:uid="{00000000-0002-0000-1600-000000000000}">
      <formula1>0</formula1>
      <formula2>1</formula2>
    </dataValidation>
  </dataValidations>
  <pageMargins left="0.5" right="0.33" top="0.88" bottom="2" header="0" footer="0"/>
  <pageSetup paperSize="9" scale="67" fitToHeight="2" orientation="portrait" horizontalDpi="300" r:id="rId1"/>
  <headerFooter alignWithMargins="0"/>
  <rowBreaks count="1" manualBreakCount="1">
    <brk id="52" max="16383" man="1"/>
  </row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6">
    <tabColor rgb="FF2C3138"/>
    <pageSetUpPr fitToPage="1"/>
  </sheetPr>
  <dimension ref="A1:P114"/>
  <sheetViews>
    <sheetView showGridLines="0" workbookViewId="0">
      <selection activeCell="N8" sqref="N8"/>
    </sheetView>
  </sheetViews>
  <sheetFormatPr baseColWidth="10" defaultRowHeight="15" x14ac:dyDescent="0.25"/>
  <cols>
    <col min="1" max="1" width="27.625" style="8" customWidth="1"/>
    <col min="2" max="2" width="11.5" style="16" customWidth="1"/>
    <col min="3" max="3" width="10.5" style="7" customWidth="1"/>
    <col min="4" max="4" width="9.75" style="7" customWidth="1"/>
    <col min="5" max="5" width="9.875" style="7" customWidth="1"/>
    <col min="6" max="6" width="9.625" style="7" customWidth="1"/>
    <col min="7" max="7" width="10.25" style="7" customWidth="1"/>
    <col min="8" max="9" width="8.75" style="7" customWidth="1"/>
    <col min="10" max="10" width="9.75" style="7" customWidth="1"/>
    <col min="11" max="11" width="10.125" style="7" customWidth="1"/>
    <col min="12" max="12" width="10.5" style="7" customWidth="1"/>
    <col min="13" max="13" width="9.75" style="7" customWidth="1"/>
    <col min="14" max="14" width="10.25" style="7" customWidth="1"/>
    <col min="15" max="15" width="9.5" style="11" customWidth="1"/>
    <col min="16" max="16384" width="11" style="7"/>
  </cols>
  <sheetData>
    <row r="1" spans="1:15" ht="27.75" x14ac:dyDescent="0.45">
      <c r="A1" s="5" t="s">
        <v>464</v>
      </c>
      <c r="B1" s="6"/>
      <c r="F1" s="8"/>
      <c r="G1" s="8"/>
      <c r="H1" s="9"/>
      <c r="M1" s="10"/>
    </row>
    <row r="2" spans="1:15" s="13" customFormat="1" ht="27.75" x14ac:dyDescent="0.45">
      <c r="A2" s="12">
        <f>'Datos Básicos'!B8</f>
        <v>0</v>
      </c>
      <c r="B2" s="6"/>
      <c r="D2" s="14"/>
      <c r="E2" s="1"/>
      <c r="O2" s="15"/>
    </row>
    <row r="4" spans="1:15" s="15" customFormat="1" ht="16.149999999999999" customHeight="1" x14ac:dyDescent="0.3">
      <c r="A4" s="17"/>
    </row>
    <row r="5" spans="1:15" s="15" customFormat="1" ht="27.75" x14ac:dyDescent="0.45">
      <c r="A5" s="12" t="s">
        <v>463</v>
      </c>
      <c r="B5" s="18"/>
      <c r="D5" s="34">
        <f>'Datos Básicos'!B17</f>
        <v>2026</v>
      </c>
      <c r="F5" s="1029"/>
      <c r="G5" s="1030"/>
    </row>
    <row r="6" spans="1:15" ht="15.75" thickBot="1" x14ac:dyDescent="0.3">
      <c r="A6" s="7"/>
      <c r="B6" s="7"/>
      <c r="O6" s="7"/>
    </row>
    <row r="7" spans="1:15" s="18" customFormat="1" ht="26.25" customHeight="1" thickBot="1" x14ac:dyDescent="0.25">
      <c r="A7" s="207" t="str">
        <f>CONCATENATE("Otros cobros  ",D5)</f>
        <v>Otros cobros  2026</v>
      </c>
      <c r="B7" s="208" t="str">
        <f>CONCATENATE(Parametros!D57,"
",
$D$5)</f>
        <v>enero
2026</v>
      </c>
      <c r="C7" s="208" t="str">
        <f>CONCATENATE(Parametros!E57,"
",
$D$5)</f>
        <v>febrero
2026</v>
      </c>
      <c r="D7" s="208" t="str">
        <f>CONCATENATE(Parametros!F57,"
",
$D$5)</f>
        <v>marzo
2026</v>
      </c>
      <c r="E7" s="208" t="str">
        <f>CONCATENATE(Parametros!G57,"
",
$D$5)</f>
        <v>abril
2026</v>
      </c>
      <c r="F7" s="208" t="str">
        <f>CONCATENATE(Parametros!H57,"
",
$D$5)</f>
        <v>mayo
2026</v>
      </c>
      <c r="G7" s="208" t="str">
        <f>CONCATENATE(Parametros!I57,"
",
$D$5)</f>
        <v>junio
2026</v>
      </c>
      <c r="H7" s="208" t="str">
        <f>CONCATENATE(Parametros!J57,"
",
$D$5)</f>
        <v>julio
2026</v>
      </c>
      <c r="I7" s="208" t="str">
        <f>CONCATENATE(Parametros!K57,"
",
$D$5)</f>
        <v>agosto
2026</v>
      </c>
      <c r="J7" s="208" t="str">
        <f>CONCATENATE(Parametros!L57,"
",
$D$5)</f>
        <v>septiembre
2026</v>
      </c>
      <c r="K7" s="208" t="str">
        <f>CONCATENATE(Parametros!M57,"
",
$D$5)</f>
        <v>octubre
2026</v>
      </c>
      <c r="L7" s="208" t="str">
        <f>CONCATENATE(Parametros!N57,"
",
$D$5)</f>
        <v>noviembre
2026</v>
      </c>
      <c r="M7" s="208" t="str">
        <f>CONCATENATE(Parametros!O57,"
",
$D$5)</f>
        <v>diciembre
2026</v>
      </c>
      <c r="N7" s="208" t="str">
        <f>CONCATENATE("Total ","
",
$D$5)</f>
        <v>Total 
2026</v>
      </c>
    </row>
    <row r="8" spans="1:15" s="13" customFormat="1" ht="16.149999999999999" customHeight="1" x14ac:dyDescent="0.25">
      <c r="A8" s="209" t="s">
        <v>1058</v>
      </c>
      <c r="B8" s="42">
        <v>0</v>
      </c>
      <c r="C8" s="42">
        <v>0</v>
      </c>
      <c r="D8" s="42">
        <v>0</v>
      </c>
      <c r="E8" s="42">
        <v>0</v>
      </c>
      <c r="F8" s="42">
        <v>0</v>
      </c>
      <c r="G8" s="42">
        <v>0</v>
      </c>
      <c r="H8" s="42">
        <v>0</v>
      </c>
      <c r="I8" s="42">
        <v>0</v>
      </c>
      <c r="J8" s="42">
        <v>0</v>
      </c>
      <c r="K8" s="42">
        <v>0</v>
      </c>
      <c r="L8" s="42">
        <v>0</v>
      </c>
      <c r="M8" s="42">
        <v>0</v>
      </c>
      <c r="N8" s="42">
        <f t="shared" ref="N8:N13" si="0">SUM(B8:M8)</f>
        <v>0</v>
      </c>
    </row>
    <row r="9" spans="1:15" s="15" customFormat="1" ht="16.149999999999999" customHeight="1" x14ac:dyDescent="0.25">
      <c r="A9" s="210" t="s">
        <v>1048</v>
      </c>
      <c r="B9" s="42"/>
      <c r="C9" s="42"/>
      <c r="D9" s="42"/>
      <c r="E9" s="42"/>
      <c r="F9" s="42"/>
      <c r="G9" s="42"/>
      <c r="H9" s="42"/>
      <c r="I9" s="42"/>
      <c r="J9" s="42"/>
      <c r="K9" s="42"/>
      <c r="L9" s="42"/>
      <c r="M9" s="42"/>
      <c r="N9" s="42">
        <f t="shared" si="0"/>
        <v>0</v>
      </c>
    </row>
    <row r="10" spans="1:15" s="13" customFormat="1" ht="16.149999999999999" customHeight="1" x14ac:dyDescent="0.25">
      <c r="A10" s="210" t="s">
        <v>856</v>
      </c>
      <c r="B10" s="42"/>
      <c r="C10" s="42"/>
      <c r="D10" s="42"/>
      <c r="E10" s="42"/>
      <c r="F10" s="42"/>
      <c r="G10" s="42"/>
      <c r="H10" s="42"/>
      <c r="I10" s="42"/>
      <c r="J10" s="42"/>
      <c r="K10" s="42"/>
      <c r="L10" s="42"/>
      <c r="M10" s="42"/>
      <c r="N10" s="42">
        <f t="shared" si="0"/>
        <v>0</v>
      </c>
    </row>
    <row r="11" spans="1:15" s="13" customFormat="1" ht="16.149999999999999" customHeight="1" x14ac:dyDescent="0.25">
      <c r="A11" s="210" t="s">
        <v>116</v>
      </c>
      <c r="B11" s="42"/>
      <c r="C11" s="42"/>
      <c r="D11" s="42"/>
      <c r="E11" s="42"/>
      <c r="F11" s="42"/>
      <c r="G11" s="42"/>
      <c r="H11" s="42"/>
      <c r="I11" s="42"/>
      <c r="J11" s="42"/>
      <c r="K11" s="42"/>
      <c r="L11" s="42"/>
      <c r="M11" s="42"/>
      <c r="N11" s="42">
        <f t="shared" si="0"/>
        <v>0</v>
      </c>
    </row>
    <row r="12" spans="1:15" s="13" customFormat="1" ht="16.149999999999999" customHeight="1" x14ac:dyDescent="0.25">
      <c r="A12" s="210" t="s">
        <v>1053</v>
      </c>
      <c r="B12" s="42">
        <f>'Inversiones AC'!$B$19*IF(OR(mes0&gt;COLUMN(B12)-1,COLUMN(B12)-mes0&gt;6),0,INDEX('Politicas Cobros y Pagos'!$C$20:$H$20,1,COLUMN(B12)-mes0))</f>
        <v>0</v>
      </c>
      <c r="C12" s="42">
        <f>'Inversiones AC'!$B$19*IF(OR(mes0&gt;COLUMN(C12)-1,COLUMN(C12)-mes0&gt;6),0,INDEX('Politicas Cobros y Pagos'!$C$20:$H$20,1,COLUMN(C12)-mes0))</f>
        <v>0</v>
      </c>
      <c r="D12" s="42">
        <f>'Inversiones AC'!$B$19*IF(OR(mes0&gt;COLUMN(D12)-1,COLUMN(D12)-mes0&gt;6),0,INDEX('Politicas Cobros y Pagos'!$C$20:$H$20,1,COLUMN(D12)-mes0))</f>
        <v>0</v>
      </c>
      <c r="E12" s="42">
        <f>'Inversiones AC'!$B$19*IF(OR(mes0&gt;COLUMN(E12)-1,COLUMN(E12)-mes0&gt;6),0,INDEX('Politicas Cobros y Pagos'!$C$20:$H$20,1,COLUMN(E12)-mes0))</f>
        <v>0</v>
      </c>
      <c r="F12" s="42">
        <f>'Inversiones AC'!$B$19*IF(OR(mes0&gt;COLUMN(F12)-1,COLUMN(F12)-mes0&gt;6),0,INDEX('Politicas Cobros y Pagos'!$C$20:$H$20,1,COLUMN(F12)-mes0))</f>
        <v>0</v>
      </c>
      <c r="G12" s="42">
        <f>'Inversiones AC'!$B$19*IF(OR(mes0&gt;COLUMN(G12)-1,COLUMN(G12)-mes0&gt;6),0,INDEX('Politicas Cobros y Pagos'!$C$20:$H$20,1,COLUMN(G12)-mes0))</f>
        <v>0</v>
      </c>
      <c r="H12" s="42">
        <f>'Inversiones AC'!$B$19*IF(OR(mes0&gt;COLUMN(H12)-1,COLUMN(H12)-mes0&gt;6),0,INDEX('Politicas Cobros y Pagos'!$C$20:$H$20,1,COLUMN(H12)-mes0))</f>
        <v>0</v>
      </c>
      <c r="I12" s="42">
        <f>'Inversiones AC'!$B$19*IF(OR(mes0&gt;COLUMN(I12)-1,COLUMN(I12)-mes0&gt;6),0,INDEX('Politicas Cobros y Pagos'!$C$20:$H$20,1,COLUMN(I12)-mes0))</f>
        <v>0</v>
      </c>
      <c r="J12" s="42">
        <f>'Inversiones AC'!$B$19*IF(OR(mes0&gt;COLUMN(J12)-1,COLUMN(J12)-mes0&gt;6),0,INDEX('Politicas Cobros y Pagos'!$C$20:$H$20,1,COLUMN(J12)-mes0))</f>
        <v>0</v>
      </c>
      <c r="K12" s="42">
        <f>'Inversiones AC'!$B$19*IF(OR(mes0&gt;COLUMN(K12)-1,COLUMN(K12)-mes0&gt;6),0,INDEX('Politicas Cobros y Pagos'!$C$20:$H$20,1,COLUMN(K12)-mes0))</f>
        <v>0</v>
      </c>
      <c r="L12" s="42">
        <f>'Inversiones AC'!$B$19*IF(OR(mes0&gt;COLUMN(L12)-1,COLUMN(L12)-mes0&gt;6),0,INDEX('Politicas Cobros y Pagos'!$C$20:$H$20,1,COLUMN(L12)-mes0))</f>
        <v>0</v>
      </c>
      <c r="M12" s="42">
        <f>'Inversiones AC'!$B$19*IF(OR(mes0&gt;COLUMN(M12)-1,COLUMN(M12)-mes0&gt;6),0,INDEX('Politicas Cobros y Pagos'!$C$20:$H$20,1,COLUMN(M12)-mes0))</f>
        <v>0</v>
      </c>
      <c r="N12" s="42">
        <f t="shared" si="0"/>
        <v>0</v>
      </c>
    </row>
    <row r="13" spans="1:15" s="15" customFormat="1" ht="16.149999999999999" customHeight="1" thickBot="1" x14ac:dyDescent="0.3">
      <c r="A13" s="211" t="s">
        <v>860</v>
      </c>
      <c r="B13" s="212">
        <f t="shared" ref="B13:M13" si="1">SUM(B8:B12)</f>
        <v>0</v>
      </c>
      <c r="C13" s="212">
        <f t="shared" si="1"/>
        <v>0</v>
      </c>
      <c r="D13" s="212">
        <f t="shared" si="1"/>
        <v>0</v>
      </c>
      <c r="E13" s="212">
        <f t="shared" si="1"/>
        <v>0</v>
      </c>
      <c r="F13" s="212">
        <f t="shared" si="1"/>
        <v>0</v>
      </c>
      <c r="G13" s="212">
        <f t="shared" si="1"/>
        <v>0</v>
      </c>
      <c r="H13" s="212">
        <f t="shared" si="1"/>
        <v>0</v>
      </c>
      <c r="I13" s="212">
        <f t="shared" si="1"/>
        <v>0</v>
      </c>
      <c r="J13" s="212">
        <f t="shared" si="1"/>
        <v>0</v>
      </c>
      <c r="K13" s="212">
        <f t="shared" si="1"/>
        <v>0</v>
      </c>
      <c r="L13" s="212">
        <f t="shared" si="1"/>
        <v>0</v>
      </c>
      <c r="M13" s="212">
        <f t="shared" si="1"/>
        <v>0</v>
      </c>
      <c r="N13" s="212">
        <f t="shared" si="0"/>
        <v>0</v>
      </c>
    </row>
    <row r="14" spans="1:15" s="15" customFormat="1" ht="13.5" customHeight="1" x14ac:dyDescent="0.2">
      <c r="B14" s="19"/>
    </row>
    <row r="15" spans="1:15" s="15" customFormat="1" ht="13.5" customHeight="1" x14ac:dyDescent="0.2">
      <c r="B15" s="19"/>
    </row>
    <row r="16" spans="1:15" s="13" customFormat="1" ht="27.75" x14ac:dyDescent="0.45">
      <c r="A16" s="12" t="str">
        <f>A5</f>
        <v>Otros Cobros de la empresa</v>
      </c>
      <c r="B16" s="18"/>
      <c r="C16" s="15"/>
      <c r="D16" s="34">
        <f>D5+1</f>
        <v>2027</v>
      </c>
      <c r="E16" s="23"/>
      <c r="F16" s="23"/>
      <c r="G16" s="23"/>
      <c r="H16" s="23"/>
      <c r="I16" s="23"/>
      <c r="J16" s="23"/>
      <c r="K16" s="23"/>
      <c r="L16" s="23"/>
      <c r="M16" s="22"/>
    </row>
    <row r="17" spans="1:16" s="13" customFormat="1" ht="13.5" customHeight="1" thickBot="1" x14ac:dyDescent="0.25">
      <c r="A17" s="15"/>
      <c r="B17" s="18"/>
      <c r="O17" s="15"/>
    </row>
    <row r="18" spans="1:16" ht="26.25" customHeight="1" thickBot="1" x14ac:dyDescent="0.3">
      <c r="A18" s="207" t="str">
        <f>CONCATENATE("Otros cobros  ",D16)</f>
        <v>Otros cobros  2027</v>
      </c>
      <c r="B18" s="208" t="str">
        <f>CONCATENATE(Parametros!D57,"
",
$D$16)</f>
        <v>enero
2027</v>
      </c>
      <c r="C18" s="208" t="str">
        <f>CONCATENATE(Parametros!E57,"
",
$D$16)</f>
        <v>febrero
2027</v>
      </c>
      <c r="D18" s="208" t="str">
        <f>CONCATENATE(Parametros!F57,"
",
$D$16)</f>
        <v>marzo
2027</v>
      </c>
      <c r="E18" s="208" t="str">
        <f>CONCATENATE(Parametros!G57,"
",
$D$16)</f>
        <v>abril
2027</v>
      </c>
      <c r="F18" s="208" t="str">
        <f>CONCATENATE(Parametros!H57,"
",
$D$16)</f>
        <v>mayo
2027</v>
      </c>
      <c r="G18" s="208" t="str">
        <f>CONCATENATE(Parametros!I57,"
",
$D$16)</f>
        <v>junio
2027</v>
      </c>
      <c r="H18" s="208" t="str">
        <f>CONCATENATE(Parametros!J57,"
",
$D$16)</f>
        <v>julio
2027</v>
      </c>
      <c r="I18" s="208" t="str">
        <f>CONCATENATE(Parametros!K57,"
",
$D$16)</f>
        <v>agosto
2027</v>
      </c>
      <c r="J18" s="208" t="str">
        <f>CONCATENATE(Parametros!L57,"
",
$D$16)</f>
        <v>septiembre
2027</v>
      </c>
      <c r="K18" s="208" t="str">
        <f>CONCATENATE(Parametros!M57,"
",
$D$16)</f>
        <v>octubre
2027</v>
      </c>
      <c r="L18" s="208" t="str">
        <f>CONCATENATE(Parametros!N57,"
",
$D$16)</f>
        <v>noviembre
2027</v>
      </c>
      <c r="M18" s="208" t="str">
        <f>CONCATENATE(Parametros!O57,"
",
$D$16)</f>
        <v>diciembre
2027</v>
      </c>
      <c r="N18" s="208" t="str">
        <f>CONCATENATE("Total ","
",
$D$16)</f>
        <v>Total 
2027</v>
      </c>
      <c r="O18" s="15"/>
    </row>
    <row r="19" spans="1:16" x14ac:dyDescent="0.25">
      <c r="A19" s="209" t="s">
        <v>1058</v>
      </c>
      <c r="B19" s="42">
        <v>0</v>
      </c>
      <c r="C19" s="42">
        <v>0</v>
      </c>
      <c r="D19" s="42">
        <v>0</v>
      </c>
      <c r="E19" s="42">
        <v>0</v>
      </c>
      <c r="F19" s="42">
        <v>0</v>
      </c>
      <c r="G19" s="42">
        <v>0</v>
      </c>
      <c r="H19" s="42">
        <v>0</v>
      </c>
      <c r="I19" s="42">
        <v>0</v>
      </c>
      <c r="J19" s="42">
        <v>0</v>
      </c>
      <c r="K19" s="42">
        <v>0</v>
      </c>
      <c r="L19" s="42">
        <v>0</v>
      </c>
      <c r="M19" s="42">
        <v>0</v>
      </c>
      <c r="N19" s="42">
        <f t="shared" ref="N19:N24" si="2">SUM(B19:M19)</f>
        <v>0</v>
      </c>
      <c r="O19" s="15"/>
    </row>
    <row r="20" spans="1:16" x14ac:dyDescent="0.25">
      <c r="A20" s="210" t="s">
        <v>1048</v>
      </c>
      <c r="B20" s="42"/>
      <c r="C20" s="42"/>
      <c r="D20" s="42"/>
      <c r="E20" s="42"/>
      <c r="F20" s="42"/>
      <c r="G20" s="42"/>
      <c r="H20" s="42"/>
      <c r="I20" s="42"/>
      <c r="J20" s="42"/>
      <c r="K20" s="42"/>
      <c r="L20" s="42"/>
      <c r="M20" s="42"/>
      <c r="N20" s="42">
        <f t="shared" si="2"/>
        <v>0</v>
      </c>
      <c r="O20" s="15"/>
    </row>
    <row r="21" spans="1:16" x14ac:dyDescent="0.25">
      <c r="A21" s="210" t="s">
        <v>856</v>
      </c>
      <c r="B21" s="42"/>
      <c r="C21" s="42"/>
      <c r="D21" s="42"/>
      <c r="E21" s="42"/>
      <c r="F21" s="42"/>
      <c r="G21" s="42"/>
      <c r="H21" s="42"/>
      <c r="I21" s="42"/>
      <c r="J21" s="42"/>
      <c r="K21" s="42"/>
      <c r="L21" s="42"/>
      <c r="M21" s="42"/>
      <c r="N21" s="42">
        <f t="shared" si="2"/>
        <v>0</v>
      </c>
      <c r="O21" s="15"/>
    </row>
    <row r="22" spans="1:16" x14ac:dyDescent="0.25">
      <c r="A22" s="210" t="s">
        <v>116</v>
      </c>
      <c r="B22" s="42"/>
      <c r="C22" s="42"/>
      <c r="D22" s="42"/>
      <c r="E22" s="42"/>
      <c r="F22" s="42"/>
      <c r="G22" s="42"/>
      <c r="H22" s="42"/>
      <c r="I22" s="42"/>
      <c r="J22" s="42"/>
      <c r="K22" s="42"/>
      <c r="L22" s="42"/>
      <c r="M22" s="42">
        <f>IF(Imp.Sociedades!$B$20&lt;0,-Imp.Sociedades!$B$20,0)</f>
        <v>0</v>
      </c>
      <c r="N22" s="42">
        <f t="shared" si="2"/>
        <v>0</v>
      </c>
      <c r="O22" s="15"/>
    </row>
    <row r="23" spans="1:16" x14ac:dyDescent="0.25">
      <c r="A23" s="210" t="s">
        <v>1053</v>
      </c>
      <c r="B23" s="42">
        <f>'Inversiones AC'!$B$19*IF(OR(mes0&lt;=7,COLUMN(B12)&gt;mes0-6),0,INDEX('Politicas Cobros y Pagos'!$C$20:$H$20,1,COLUMN(B12)-mes0+12))</f>
        <v>0</v>
      </c>
      <c r="C23" s="42">
        <f>'Inversiones AC'!$B$19*IF(OR(mes0&lt;=7,COLUMN(C12)&gt;mes0-6),0,INDEX('Politicas Cobros y Pagos'!$C$20:$H$20,1,COLUMN(C12)-mes0+12))</f>
        <v>0</v>
      </c>
      <c r="D23" s="42">
        <f>'Inversiones AC'!$B$19*IF(OR(mes0&lt;=7,COLUMN(D12)&gt;mes0-6),0,INDEX('Politicas Cobros y Pagos'!$C$20:$H$20,1,COLUMN(D12)-mes0+12))</f>
        <v>0</v>
      </c>
      <c r="E23" s="42">
        <f>'Inversiones AC'!$B$19*IF(OR(mes0&lt;=7,COLUMN(E12)&gt;mes0-6),0,INDEX('Politicas Cobros y Pagos'!$C$20:$H$20,1,COLUMN(E12)-mes0+12))</f>
        <v>0</v>
      </c>
      <c r="F23" s="42">
        <f>'Inversiones AC'!$B$19*IF(OR(mes0&lt;=7,COLUMN(F12)&gt;mes0-6),0,INDEX('Politicas Cobros y Pagos'!$C$20:$H$20,1,COLUMN(F12)-mes0+12))</f>
        <v>0</v>
      </c>
      <c r="G23" s="42">
        <f>'Inversiones AC'!$B$19*IF(OR(mes0&lt;=7,COLUMN(G12)&gt;mes0-6),0,INDEX('Politicas Cobros y Pagos'!$C$20:$H$20,1,COLUMN(G12)-mes0+12))</f>
        <v>0</v>
      </c>
      <c r="H23" s="42">
        <f>'Inversiones AC'!$B$19*IF(OR(mes0&lt;=7,COLUMN(H12)&gt;mes0-6),0,INDEX('Politicas Cobros y Pagos'!$C$20:$H$20,1,COLUMN(H12)-mes0+12))</f>
        <v>0</v>
      </c>
      <c r="I23" s="42">
        <f>'Inversiones AC'!$B$19*IF(OR(mes0&lt;=7,COLUMN(I12)&gt;mes0-6),0,INDEX('Politicas Cobros y Pagos'!$C$20:$H$20,1,COLUMN(I12)-mes0+12))</f>
        <v>0</v>
      </c>
      <c r="J23" s="42">
        <f>'Inversiones AC'!$B$19*IF(OR(mes0&lt;=7,COLUMN(J12)&gt;mes0-6),0,INDEX('Politicas Cobros y Pagos'!$C$20:$H$20,1,COLUMN(J12)-mes0+12))</f>
        <v>0</v>
      </c>
      <c r="K23" s="42">
        <f>'Inversiones AC'!$B$19*IF(OR(mes0&lt;=7,COLUMN(K12)&gt;mes0-6),0,INDEX('Politicas Cobros y Pagos'!$C$20:$H$20,1,COLUMN(K12)-mes0+12))</f>
        <v>0</v>
      </c>
      <c r="L23" s="42">
        <f>'Inversiones AC'!$B$19*IF(OR(mes0&lt;=7,COLUMN(L12)&gt;mes0-6),0,INDEX('Politicas Cobros y Pagos'!$C$20:$H$20,1,COLUMN(L12)-mes0+12))</f>
        <v>0</v>
      </c>
      <c r="M23" s="42">
        <f>'Inversiones AC'!$B$19*IF(OR(mes0&lt;=7,COLUMN(M12)&gt;mes0-6),0,INDEX('Politicas Cobros y Pagos'!$C$20:$H$20,1,COLUMN(M12)-mes0+12))</f>
        <v>0</v>
      </c>
      <c r="N23" s="42">
        <f t="shared" si="2"/>
        <v>0</v>
      </c>
      <c r="O23" s="15"/>
    </row>
    <row r="24" spans="1:16" ht="15.75" thickBot="1" x14ac:dyDescent="0.3">
      <c r="A24" s="211" t="s">
        <v>860</v>
      </c>
      <c r="B24" s="212">
        <f t="shared" ref="B24:M24" si="3">SUM(B19:B23)</f>
        <v>0</v>
      </c>
      <c r="C24" s="212">
        <f t="shared" si="3"/>
        <v>0</v>
      </c>
      <c r="D24" s="212">
        <f t="shared" si="3"/>
        <v>0</v>
      </c>
      <c r="E24" s="212">
        <f t="shared" si="3"/>
        <v>0</v>
      </c>
      <c r="F24" s="212">
        <f t="shared" si="3"/>
        <v>0</v>
      </c>
      <c r="G24" s="212">
        <f t="shared" si="3"/>
        <v>0</v>
      </c>
      <c r="H24" s="212">
        <f t="shared" si="3"/>
        <v>0</v>
      </c>
      <c r="I24" s="212">
        <f t="shared" si="3"/>
        <v>0</v>
      </c>
      <c r="J24" s="212">
        <f t="shared" si="3"/>
        <v>0</v>
      </c>
      <c r="K24" s="212">
        <f t="shared" si="3"/>
        <v>0</v>
      </c>
      <c r="L24" s="212">
        <f t="shared" si="3"/>
        <v>0</v>
      </c>
      <c r="M24" s="212">
        <f t="shared" si="3"/>
        <v>0</v>
      </c>
      <c r="N24" s="212">
        <f t="shared" si="2"/>
        <v>0</v>
      </c>
      <c r="O24" s="15"/>
    </row>
    <row r="25" spans="1:16" x14ac:dyDescent="0.25">
      <c r="C25" s="20"/>
      <c r="D25" s="15"/>
      <c r="E25" s="15"/>
      <c r="F25" s="15"/>
      <c r="G25" s="15"/>
      <c r="H25" s="15"/>
      <c r="I25" s="15"/>
      <c r="J25" s="15"/>
      <c r="K25" s="15"/>
      <c r="L25" s="15"/>
      <c r="M25" s="15"/>
      <c r="N25" s="15"/>
      <c r="O25" s="15"/>
      <c r="P25" s="15"/>
    </row>
    <row r="26" spans="1:16" x14ac:dyDescent="0.25">
      <c r="C26" s="20"/>
      <c r="D26" s="15"/>
      <c r="E26" s="15"/>
      <c r="F26" s="15"/>
      <c r="G26" s="15"/>
      <c r="H26" s="15"/>
      <c r="I26" s="15"/>
      <c r="J26" s="15"/>
      <c r="K26" s="15"/>
      <c r="L26" s="15"/>
      <c r="M26" s="15"/>
      <c r="N26" s="15"/>
      <c r="O26" s="15"/>
      <c r="P26" s="15"/>
    </row>
    <row r="27" spans="1:16" ht="27.75" x14ac:dyDescent="0.45">
      <c r="A27" s="12" t="str">
        <f>A5</f>
        <v>Otros Cobros de la empresa</v>
      </c>
      <c r="B27" s="18"/>
      <c r="C27" s="15"/>
      <c r="D27" s="34">
        <f>D16+1</f>
        <v>2028</v>
      </c>
      <c r="E27" s="24"/>
      <c r="F27" s="24"/>
      <c r="G27" s="24"/>
      <c r="H27" s="24"/>
      <c r="I27" s="24"/>
      <c r="J27" s="24"/>
      <c r="K27" s="24"/>
      <c r="L27" s="24"/>
      <c r="M27" s="24"/>
      <c r="N27" s="15"/>
      <c r="O27" s="15"/>
      <c r="P27" s="15"/>
    </row>
    <row r="28" spans="1:16" ht="15.75" thickBot="1" x14ac:dyDescent="0.3">
      <c r="C28" s="20"/>
      <c r="D28" s="15"/>
      <c r="E28" s="15"/>
      <c r="F28" s="15"/>
      <c r="G28" s="15"/>
      <c r="H28" s="15"/>
      <c r="I28" s="15"/>
      <c r="J28" s="15"/>
      <c r="K28" s="15"/>
      <c r="L28" s="15"/>
      <c r="M28" s="15"/>
      <c r="N28" s="15"/>
      <c r="O28" s="15"/>
      <c r="P28" s="15"/>
    </row>
    <row r="29" spans="1:16" ht="27" customHeight="1" thickBot="1" x14ac:dyDescent="0.3">
      <c r="A29" s="207" t="str">
        <f>CONCATENATE("Otros cobros  ",D27)</f>
        <v>Otros cobros  2028</v>
      </c>
      <c r="B29" s="208" t="str">
        <f>CONCATENATE(Parametros!D57,"
",
$D$27)</f>
        <v>enero
2028</v>
      </c>
      <c r="C29" s="208" t="str">
        <f>CONCATENATE(Parametros!E57,"
",
$D$27)</f>
        <v>febrero
2028</v>
      </c>
      <c r="D29" s="208" t="str">
        <f>CONCATENATE(Parametros!F57,"
",
$D$27)</f>
        <v>marzo
2028</v>
      </c>
      <c r="E29" s="208" t="str">
        <f>CONCATENATE(Parametros!G57,"
",
$D$27)</f>
        <v>abril
2028</v>
      </c>
      <c r="F29" s="208" t="str">
        <f>CONCATENATE(Parametros!H57,"
",
$D$27)</f>
        <v>mayo
2028</v>
      </c>
      <c r="G29" s="208" t="str">
        <f>CONCATENATE(Parametros!I57,"
",
$D$27)</f>
        <v>junio
2028</v>
      </c>
      <c r="H29" s="208" t="str">
        <f>CONCATENATE(Parametros!J57,"
",
$D$27)</f>
        <v>julio
2028</v>
      </c>
      <c r="I29" s="208" t="str">
        <f>CONCATENATE(Parametros!K57,"
",
$D$27)</f>
        <v>agosto
2028</v>
      </c>
      <c r="J29" s="208" t="str">
        <f>CONCATENATE(Parametros!L57,"
",
$D$27)</f>
        <v>septiembre
2028</v>
      </c>
      <c r="K29" s="208" t="str">
        <f>CONCATENATE(Parametros!M57,"
",
$D$27)</f>
        <v>octubre
2028</v>
      </c>
      <c r="L29" s="208" t="str">
        <f>CONCATENATE(Parametros!N57,"
",
$D$27)</f>
        <v>noviembre
2028</v>
      </c>
      <c r="M29" s="208" t="str">
        <f>CONCATENATE(Parametros!O57,"
",
$D$27)</f>
        <v>diciembre
2028</v>
      </c>
      <c r="N29" s="208" t="str">
        <f>CONCATENATE('Prev.Ventas 2'!N4," ","
",
$D$27)</f>
        <v>Totales 
2028</v>
      </c>
      <c r="O29" s="15"/>
    </row>
    <row r="30" spans="1:16" x14ac:dyDescent="0.25">
      <c r="A30" s="209" t="s">
        <v>1058</v>
      </c>
      <c r="B30" s="42"/>
      <c r="C30" s="42"/>
      <c r="D30" s="42"/>
      <c r="E30" s="42"/>
      <c r="F30" s="42"/>
      <c r="G30" s="42"/>
      <c r="H30" s="42"/>
      <c r="I30" s="42"/>
      <c r="J30" s="42"/>
      <c r="K30" s="42"/>
      <c r="L30" s="42"/>
      <c r="M30" s="42"/>
      <c r="N30" s="42">
        <f t="shared" ref="N30:N35" si="4">SUM(B30:M30)</f>
        <v>0</v>
      </c>
      <c r="O30" s="15"/>
    </row>
    <row r="31" spans="1:16" x14ac:dyDescent="0.25">
      <c r="A31" s="210" t="s">
        <v>1048</v>
      </c>
      <c r="B31" s="42"/>
      <c r="C31" s="42"/>
      <c r="D31" s="42"/>
      <c r="E31" s="42"/>
      <c r="F31" s="42"/>
      <c r="G31" s="42"/>
      <c r="H31" s="42"/>
      <c r="I31" s="42"/>
      <c r="J31" s="42"/>
      <c r="K31" s="42"/>
      <c r="L31" s="42"/>
      <c r="M31" s="42"/>
      <c r="N31" s="42">
        <f t="shared" si="4"/>
        <v>0</v>
      </c>
      <c r="O31" s="15"/>
    </row>
    <row r="32" spans="1:16" x14ac:dyDescent="0.25">
      <c r="A32" s="210" t="s">
        <v>856</v>
      </c>
      <c r="B32" s="42"/>
      <c r="C32" s="42"/>
      <c r="D32" s="42"/>
      <c r="E32" s="42"/>
      <c r="F32" s="42"/>
      <c r="G32" s="42"/>
      <c r="H32" s="42"/>
      <c r="I32" s="42"/>
      <c r="J32" s="42"/>
      <c r="K32" s="42"/>
      <c r="L32" s="42"/>
      <c r="M32" s="42"/>
      <c r="N32" s="42">
        <f t="shared" si="4"/>
        <v>0</v>
      </c>
      <c r="O32" s="15"/>
    </row>
    <row r="33" spans="1:16" x14ac:dyDescent="0.25">
      <c r="A33" s="210" t="s">
        <v>116</v>
      </c>
      <c r="B33" s="42"/>
      <c r="C33" s="42"/>
      <c r="D33" s="42"/>
      <c r="E33" s="42"/>
      <c r="F33" s="42"/>
      <c r="G33" s="42"/>
      <c r="H33" s="42"/>
      <c r="I33" s="42"/>
      <c r="J33" s="42"/>
      <c r="K33" s="42"/>
      <c r="L33" s="42"/>
      <c r="M33" s="42">
        <f>IF(Imp.Sociedades!$D$20&lt;0,-Imp.Sociedades!$D$20,0)</f>
        <v>0</v>
      </c>
      <c r="N33" s="42">
        <f t="shared" si="4"/>
        <v>0</v>
      </c>
      <c r="O33" s="15"/>
    </row>
    <row r="34" spans="1:16" x14ac:dyDescent="0.25">
      <c r="A34" s="210" t="s">
        <v>1053</v>
      </c>
      <c r="B34" s="42"/>
      <c r="C34" s="42"/>
      <c r="D34" s="42"/>
      <c r="E34" s="42"/>
      <c r="F34" s="42"/>
      <c r="G34" s="42"/>
      <c r="H34" s="42"/>
      <c r="I34" s="42"/>
      <c r="J34" s="42"/>
      <c r="K34" s="42"/>
      <c r="L34" s="42"/>
      <c r="M34" s="42"/>
      <c r="N34" s="42">
        <f t="shared" si="4"/>
        <v>0</v>
      </c>
      <c r="O34" s="15"/>
    </row>
    <row r="35" spans="1:16" ht="15.75" thickBot="1" x14ac:dyDescent="0.3">
      <c r="A35" s="211" t="s">
        <v>860</v>
      </c>
      <c r="B35" s="212">
        <f t="shared" ref="B35:M35" si="5">SUM(B30:B34)</f>
        <v>0</v>
      </c>
      <c r="C35" s="212">
        <f t="shared" si="5"/>
        <v>0</v>
      </c>
      <c r="D35" s="212">
        <f t="shared" si="5"/>
        <v>0</v>
      </c>
      <c r="E35" s="212">
        <f t="shared" si="5"/>
        <v>0</v>
      </c>
      <c r="F35" s="212">
        <f t="shared" si="5"/>
        <v>0</v>
      </c>
      <c r="G35" s="212">
        <f t="shared" si="5"/>
        <v>0</v>
      </c>
      <c r="H35" s="212">
        <f t="shared" si="5"/>
        <v>0</v>
      </c>
      <c r="I35" s="212">
        <f t="shared" si="5"/>
        <v>0</v>
      </c>
      <c r="J35" s="212">
        <f t="shared" si="5"/>
        <v>0</v>
      </c>
      <c r="K35" s="212">
        <f t="shared" si="5"/>
        <v>0</v>
      </c>
      <c r="L35" s="212">
        <f t="shared" si="5"/>
        <v>0</v>
      </c>
      <c r="M35" s="212">
        <f t="shared" si="5"/>
        <v>0</v>
      </c>
      <c r="N35" s="212">
        <f t="shared" si="4"/>
        <v>0</v>
      </c>
      <c r="O35" s="15"/>
    </row>
    <row r="36" spans="1:16" x14ac:dyDescent="0.25">
      <c r="C36" s="20"/>
      <c r="D36" s="15"/>
      <c r="E36" s="15"/>
      <c r="F36" s="15"/>
      <c r="G36" s="15"/>
      <c r="H36" s="15"/>
      <c r="I36" s="15"/>
      <c r="J36" s="15"/>
      <c r="K36" s="15"/>
      <c r="L36" s="15"/>
      <c r="M36" s="15"/>
      <c r="N36" s="15"/>
      <c r="O36" s="15"/>
      <c r="P36" s="15"/>
    </row>
    <row r="37" spans="1:16" x14ac:dyDescent="0.25">
      <c r="C37" s="20"/>
      <c r="D37" s="15"/>
      <c r="E37" s="15"/>
      <c r="F37" s="15"/>
      <c r="G37" s="15"/>
      <c r="H37" s="15"/>
      <c r="I37" s="15"/>
      <c r="J37" s="15"/>
      <c r="K37" s="15"/>
      <c r="L37" s="15"/>
      <c r="M37" s="15"/>
      <c r="N37" s="15"/>
      <c r="O37" s="15"/>
      <c r="P37" s="15"/>
    </row>
    <row r="38" spans="1:16" ht="27.75" x14ac:dyDescent="0.45">
      <c r="A38" s="12" t="str">
        <f>A16</f>
        <v>Otros Cobros de la empresa</v>
      </c>
      <c r="B38" s="18"/>
      <c r="C38" s="15"/>
      <c r="D38" s="34">
        <f>D27+1</f>
        <v>2029</v>
      </c>
      <c r="E38" s="24"/>
      <c r="F38" s="24"/>
      <c r="G38" s="24"/>
      <c r="H38" s="24"/>
      <c r="I38" s="24"/>
      <c r="J38" s="24"/>
      <c r="K38" s="24"/>
      <c r="L38" s="24"/>
      <c r="M38" s="24"/>
      <c r="N38" s="15"/>
      <c r="O38" s="15"/>
      <c r="P38" s="15"/>
    </row>
    <row r="39" spans="1:16" ht="15.75" thickBot="1" x14ac:dyDescent="0.3">
      <c r="C39" s="20"/>
      <c r="D39" s="15"/>
      <c r="E39" s="15"/>
      <c r="F39" s="15"/>
      <c r="G39" s="15"/>
      <c r="H39" s="15"/>
      <c r="I39" s="15"/>
      <c r="J39" s="15"/>
      <c r="K39" s="15"/>
      <c r="L39" s="15"/>
      <c r="M39" s="15"/>
      <c r="N39" s="15"/>
      <c r="O39" s="15"/>
      <c r="P39" s="15"/>
    </row>
    <row r="40" spans="1:16" ht="27" customHeight="1" thickBot="1" x14ac:dyDescent="0.3">
      <c r="A40" s="207" t="str">
        <f>CONCATENATE("Otros cobros  ",D38)</f>
        <v>Otros cobros  2029</v>
      </c>
      <c r="B40" s="208" t="str">
        <f>CONCATENATE(Parametros!D57,"
",
$D$38)</f>
        <v>enero
2029</v>
      </c>
      <c r="C40" s="208" t="str">
        <f>CONCATENATE(Parametros!E57,"
",
$D$38)</f>
        <v>febrero
2029</v>
      </c>
      <c r="D40" s="208" t="str">
        <f>CONCATENATE(Parametros!F57,"
",
$D$38)</f>
        <v>marzo
2029</v>
      </c>
      <c r="E40" s="208" t="str">
        <f>CONCATENATE(Parametros!G57,"
",
$D$38)</f>
        <v>abril
2029</v>
      </c>
      <c r="F40" s="208" t="str">
        <f>CONCATENATE(Parametros!H57,"
",
$D$38)</f>
        <v>mayo
2029</v>
      </c>
      <c r="G40" s="208" t="str">
        <f>CONCATENATE(Parametros!I57,"
",
$D$38)</f>
        <v>junio
2029</v>
      </c>
      <c r="H40" s="208" t="str">
        <f>CONCATENATE(Parametros!J57,"
",
$D$38)</f>
        <v>julio
2029</v>
      </c>
      <c r="I40" s="208" t="str">
        <f>CONCATENATE(Parametros!K57,"
",
$D$38)</f>
        <v>agosto
2029</v>
      </c>
      <c r="J40" s="208" t="str">
        <f>CONCATENATE(Parametros!L57,"
",
$D$38)</f>
        <v>septiembre
2029</v>
      </c>
      <c r="K40" s="208" t="str">
        <f>CONCATENATE(Parametros!M57,"
",
$D$38)</f>
        <v>octubre
2029</v>
      </c>
      <c r="L40" s="208" t="str">
        <f>CONCATENATE(Parametros!N57,"
",
$D$38)</f>
        <v>noviembre
2029</v>
      </c>
      <c r="M40" s="208" t="str">
        <f>CONCATENATE(Parametros!O57,"
",
$D$38)</f>
        <v>diciembre
2029</v>
      </c>
      <c r="N40" s="208" t="str">
        <f>CONCATENATE('Prev.Ventas 3'!N4," ","
",
$D$38)</f>
        <v>Totales 
2029</v>
      </c>
      <c r="O40" s="15"/>
    </row>
    <row r="41" spans="1:16" x14ac:dyDescent="0.25">
      <c r="A41" s="209" t="s">
        <v>1058</v>
      </c>
      <c r="B41" s="42"/>
      <c r="C41" s="42"/>
      <c r="D41" s="42"/>
      <c r="E41" s="42"/>
      <c r="F41" s="42"/>
      <c r="G41" s="42"/>
      <c r="H41" s="42"/>
      <c r="I41" s="42"/>
      <c r="J41" s="42"/>
      <c r="K41" s="42"/>
      <c r="L41" s="42"/>
      <c r="M41" s="42"/>
      <c r="N41" s="42">
        <f t="shared" ref="N41:N46" si="6">SUM(B41:M41)</f>
        <v>0</v>
      </c>
      <c r="O41" s="15"/>
    </row>
    <row r="42" spans="1:16" x14ac:dyDescent="0.25">
      <c r="A42" s="210" t="s">
        <v>1048</v>
      </c>
      <c r="B42" s="42"/>
      <c r="C42" s="42"/>
      <c r="D42" s="42"/>
      <c r="E42" s="42"/>
      <c r="F42" s="42"/>
      <c r="G42" s="42"/>
      <c r="H42" s="42"/>
      <c r="I42" s="42"/>
      <c r="J42" s="42"/>
      <c r="K42" s="42"/>
      <c r="L42" s="42"/>
      <c r="M42" s="42"/>
      <c r="N42" s="42">
        <f t="shared" si="6"/>
        <v>0</v>
      </c>
      <c r="O42" s="15"/>
    </row>
    <row r="43" spans="1:16" x14ac:dyDescent="0.25">
      <c r="A43" s="210" t="s">
        <v>856</v>
      </c>
      <c r="B43" s="42"/>
      <c r="C43" s="42"/>
      <c r="D43" s="42"/>
      <c r="E43" s="42"/>
      <c r="F43" s="42"/>
      <c r="G43" s="42"/>
      <c r="H43" s="42"/>
      <c r="I43" s="42"/>
      <c r="J43" s="42"/>
      <c r="K43" s="42"/>
      <c r="L43" s="42"/>
      <c r="M43" s="42"/>
      <c r="N43" s="42">
        <f t="shared" si="6"/>
        <v>0</v>
      </c>
      <c r="O43" s="15"/>
    </row>
    <row r="44" spans="1:16" x14ac:dyDescent="0.25">
      <c r="A44" s="210" t="s">
        <v>116</v>
      </c>
      <c r="B44" s="42"/>
      <c r="C44" s="42"/>
      <c r="D44" s="42"/>
      <c r="E44" s="42"/>
      <c r="F44" s="42"/>
      <c r="G44" s="42"/>
      <c r="H44" s="42"/>
      <c r="I44" s="42"/>
      <c r="J44" s="42"/>
      <c r="K44" s="42"/>
      <c r="L44" s="42"/>
      <c r="M44" s="42">
        <f>IF(Imp.Sociedades!$G$20&lt;0,-Imp.Sociedades!$G$20,0)</f>
        <v>0</v>
      </c>
      <c r="N44" s="42">
        <f t="shared" si="6"/>
        <v>0</v>
      </c>
      <c r="O44" s="15"/>
    </row>
    <row r="45" spans="1:16" x14ac:dyDescent="0.25">
      <c r="A45" s="210" t="s">
        <v>1053</v>
      </c>
      <c r="B45" s="42"/>
      <c r="C45" s="42"/>
      <c r="D45" s="42"/>
      <c r="E45" s="42"/>
      <c r="F45" s="42"/>
      <c r="G45" s="42"/>
      <c r="H45" s="42"/>
      <c r="I45" s="42"/>
      <c r="J45" s="42"/>
      <c r="K45" s="42"/>
      <c r="L45" s="42"/>
      <c r="M45" s="42"/>
      <c r="N45" s="42">
        <f t="shared" si="6"/>
        <v>0</v>
      </c>
      <c r="O45" s="15"/>
    </row>
    <row r="46" spans="1:16" ht="15.75" thickBot="1" x14ac:dyDescent="0.3">
      <c r="A46" s="211" t="s">
        <v>860</v>
      </c>
      <c r="B46" s="212">
        <f t="shared" ref="B46:M46" si="7">SUM(B41:B45)</f>
        <v>0</v>
      </c>
      <c r="C46" s="212">
        <f t="shared" si="7"/>
        <v>0</v>
      </c>
      <c r="D46" s="212">
        <f t="shared" si="7"/>
        <v>0</v>
      </c>
      <c r="E46" s="212">
        <f t="shared" si="7"/>
        <v>0</v>
      </c>
      <c r="F46" s="212">
        <f t="shared" si="7"/>
        <v>0</v>
      </c>
      <c r="G46" s="212">
        <f t="shared" si="7"/>
        <v>0</v>
      </c>
      <c r="H46" s="212">
        <f t="shared" si="7"/>
        <v>0</v>
      </c>
      <c r="I46" s="212">
        <f t="shared" si="7"/>
        <v>0</v>
      </c>
      <c r="J46" s="212">
        <f t="shared" si="7"/>
        <v>0</v>
      </c>
      <c r="K46" s="212">
        <f t="shared" si="7"/>
        <v>0</v>
      </c>
      <c r="L46" s="212">
        <f t="shared" si="7"/>
        <v>0</v>
      </c>
      <c r="M46" s="212">
        <f t="shared" si="7"/>
        <v>0</v>
      </c>
      <c r="N46" s="212">
        <f t="shared" si="6"/>
        <v>0</v>
      </c>
      <c r="O46" s="15"/>
    </row>
    <row r="47" spans="1:16" x14ac:dyDescent="0.25">
      <c r="C47" s="20"/>
      <c r="D47" s="15"/>
      <c r="E47" s="15"/>
      <c r="F47" s="15"/>
      <c r="G47" s="15"/>
      <c r="H47" s="15"/>
      <c r="I47" s="15"/>
      <c r="J47" s="15"/>
      <c r="K47" s="15"/>
      <c r="L47" s="15"/>
      <c r="M47" s="15"/>
      <c r="N47" s="15"/>
      <c r="O47" s="15"/>
      <c r="P47" s="15"/>
    </row>
    <row r="48" spans="1:16" x14ac:dyDescent="0.25">
      <c r="C48" s="20"/>
      <c r="D48" s="15"/>
      <c r="E48" s="15"/>
      <c r="F48" s="15"/>
      <c r="G48" s="15"/>
      <c r="H48" s="15"/>
      <c r="I48" s="15"/>
      <c r="J48" s="15"/>
      <c r="K48" s="15"/>
      <c r="L48" s="15"/>
      <c r="M48" s="15"/>
      <c r="N48" s="15"/>
      <c r="O48" s="15"/>
      <c r="P48" s="15"/>
    </row>
    <row r="49" spans="1:16" ht="27.75" x14ac:dyDescent="0.45">
      <c r="A49" s="12" t="str">
        <f>A27</f>
        <v>Otros Cobros de la empresa</v>
      </c>
      <c r="B49" s="18"/>
      <c r="C49" s="15"/>
      <c r="D49" s="34">
        <f>D38+1</f>
        <v>2030</v>
      </c>
      <c r="E49" s="24"/>
      <c r="F49" s="24"/>
      <c r="G49" s="24"/>
      <c r="H49" s="24"/>
      <c r="I49" s="24"/>
      <c r="J49" s="24"/>
      <c r="K49" s="24"/>
      <c r="L49" s="24"/>
      <c r="M49" s="24"/>
      <c r="N49" s="15"/>
      <c r="O49" s="15"/>
      <c r="P49" s="15"/>
    </row>
    <row r="50" spans="1:16" ht="15.75" thickBot="1" x14ac:dyDescent="0.3">
      <c r="C50" s="20"/>
      <c r="D50" s="15"/>
      <c r="E50" s="15"/>
      <c r="F50" s="15"/>
      <c r="G50" s="15"/>
      <c r="H50" s="15"/>
      <c r="I50" s="15"/>
      <c r="J50" s="15"/>
      <c r="K50" s="15"/>
      <c r="L50" s="15"/>
      <c r="M50" s="15"/>
      <c r="N50" s="15"/>
      <c r="O50" s="15"/>
      <c r="P50" s="15"/>
    </row>
    <row r="51" spans="1:16" ht="27" customHeight="1" thickBot="1" x14ac:dyDescent="0.3">
      <c r="A51" s="207" t="str">
        <f>CONCATENATE("Otros cobros  ",D49)</f>
        <v>Otros cobros  2030</v>
      </c>
      <c r="B51" s="208" t="str">
        <f>CONCATENATE(Parametros!D57,"
",
$D$49)</f>
        <v>enero
2030</v>
      </c>
      <c r="C51" s="208" t="str">
        <f>CONCATENATE(Parametros!E57,"
",
$D$49)</f>
        <v>febrero
2030</v>
      </c>
      <c r="D51" s="208" t="str">
        <f>CONCATENATE(Parametros!F57,"
",
$D$49)</f>
        <v>marzo
2030</v>
      </c>
      <c r="E51" s="208" t="str">
        <f>CONCATENATE(Parametros!G57,"
",
$D$49)</f>
        <v>abril
2030</v>
      </c>
      <c r="F51" s="208" t="str">
        <f>CONCATENATE(Parametros!H57,"
",
$D$49)</f>
        <v>mayo
2030</v>
      </c>
      <c r="G51" s="208" t="str">
        <f>CONCATENATE(Parametros!I57,"
",
$D$49)</f>
        <v>junio
2030</v>
      </c>
      <c r="H51" s="208" t="str">
        <f>CONCATENATE(Parametros!J57,"
",
$D$49)</f>
        <v>julio
2030</v>
      </c>
      <c r="I51" s="208" t="str">
        <f>CONCATENATE(Parametros!K57,"
",
$D$49)</f>
        <v>agosto
2030</v>
      </c>
      <c r="J51" s="208" t="str">
        <f>CONCATENATE(Parametros!L57,"
",
$D$49)</f>
        <v>septiembre
2030</v>
      </c>
      <c r="K51" s="208" t="str">
        <f>CONCATENATE(Parametros!M57,"
",
$D$49)</f>
        <v>octubre
2030</v>
      </c>
      <c r="L51" s="208" t="str">
        <f>CONCATENATE(Parametros!N57,"
",
$D$49)</f>
        <v>noviembre
2030</v>
      </c>
      <c r="M51" s="208" t="str">
        <f>CONCATENATE(Parametros!O57,"
",
$D$49)</f>
        <v>diciembre
2030</v>
      </c>
      <c r="N51" s="208" t="str">
        <f>CONCATENATE('Prev.Ventas 4'!N4," ","
",
$D$49)</f>
        <v>Totales 
2030</v>
      </c>
      <c r="O51" s="15"/>
    </row>
    <row r="52" spans="1:16" x14ac:dyDescent="0.25">
      <c r="A52" s="209" t="s">
        <v>1058</v>
      </c>
      <c r="B52" s="42"/>
      <c r="C52" s="42"/>
      <c r="D52" s="42"/>
      <c r="E52" s="42"/>
      <c r="F52" s="42"/>
      <c r="G52" s="42"/>
      <c r="H52" s="42"/>
      <c r="I52" s="42"/>
      <c r="J52" s="42"/>
      <c r="K52" s="42"/>
      <c r="L52" s="42"/>
      <c r="M52" s="42"/>
      <c r="N52" s="42">
        <f t="shared" ref="N52:N57" si="8">SUM(B52:M52)</f>
        <v>0</v>
      </c>
      <c r="O52" s="15"/>
    </row>
    <row r="53" spans="1:16" x14ac:dyDescent="0.25">
      <c r="A53" s="210" t="s">
        <v>1048</v>
      </c>
      <c r="B53" s="42"/>
      <c r="C53" s="42"/>
      <c r="D53" s="42"/>
      <c r="E53" s="42"/>
      <c r="F53" s="42"/>
      <c r="G53" s="42"/>
      <c r="H53" s="42"/>
      <c r="I53" s="42"/>
      <c r="J53" s="42"/>
      <c r="K53" s="42"/>
      <c r="L53" s="42"/>
      <c r="M53" s="42"/>
      <c r="N53" s="42">
        <f t="shared" si="8"/>
        <v>0</v>
      </c>
      <c r="O53" s="15"/>
    </row>
    <row r="54" spans="1:16" x14ac:dyDescent="0.25">
      <c r="A54" s="210" t="s">
        <v>856</v>
      </c>
      <c r="B54" s="42"/>
      <c r="C54" s="42"/>
      <c r="D54" s="42"/>
      <c r="E54" s="42"/>
      <c r="F54" s="42"/>
      <c r="G54" s="42"/>
      <c r="H54" s="42"/>
      <c r="I54" s="42"/>
      <c r="J54" s="42"/>
      <c r="K54" s="42"/>
      <c r="L54" s="42"/>
      <c r="M54" s="42"/>
      <c r="N54" s="42">
        <f t="shared" si="8"/>
        <v>0</v>
      </c>
      <c r="O54" s="15"/>
    </row>
    <row r="55" spans="1:16" x14ac:dyDescent="0.25">
      <c r="A55" s="210" t="s">
        <v>116</v>
      </c>
      <c r="B55" s="42"/>
      <c r="C55" s="42"/>
      <c r="D55" s="42"/>
      <c r="E55" s="42"/>
      <c r="F55" s="42"/>
      <c r="G55" s="42"/>
      <c r="H55" s="42"/>
      <c r="I55" s="42"/>
      <c r="J55" s="42"/>
      <c r="K55" s="42"/>
      <c r="L55" s="42"/>
      <c r="M55" s="42">
        <f>IF(Imp.Sociedades!$J$20&lt;0,-Imp.Sociedades!$J$20,0)</f>
        <v>0</v>
      </c>
      <c r="N55" s="42">
        <f t="shared" si="8"/>
        <v>0</v>
      </c>
      <c r="O55" s="15"/>
    </row>
    <row r="56" spans="1:16" x14ac:dyDescent="0.25">
      <c r="A56" s="210" t="s">
        <v>1053</v>
      </c>
      <c r="B56" s="42"/>
      <c r="C56" s="42"/>
      <c r="D56" s="42"/>
      <c r="E56" s="42"/>
      <c r="F56" s="42"/>
      <c r="G56" s="42"/>
      <c r="H56" s="42"/>
      <c r="I56" s="42"/>
      <c r="J56" s="42"/>
      <c r="K56" s="42"/>
      <c r="L56" s="42"/>
      <c r="M56" s="42"/>
      <c r="N56" s="42">
        <f t="shared" si="8"/>
        <v>0</v>
      </c>
      <c r="O56" s="15"/>
    </row>
    <row r="57" spans="1:16" ht="15.75" thickBot="1" x14ac:dyDescent="0.3">
      <c r="A57" s="211" t="s">
        <v>860</v>
      </c>
      <c r="B57" s="212">
        <f t="shared" ref="B57:M57" si="9">SUM(B52:B56)</f>
        <v>0</v>
      </c>
      <c r="C57" s="212">
        <f t="shared" si="9"/>
        <v>0</v>
      </c>
      <c r="D57" s="212">
        <f t="shared" si="9"/>
        <v>0</v>
      </c>
      <c r="E57" s="212">
        <f t="shared" si="9"/>
        <v>0</v>
      </c>
      <c r="F57" s="212">
        <f t="shared" si="9"/>
        <v>0</v>
      </c>
      <c r="G57" s="212">
        <f t="shared" si="9"/>
        <v>0</v>
      </c>
      <c r="H57" s="212">
        <f t="shared" si="9"/>
        <v>0</v>
      </c>
      <c r="I57" s="212">
        <f t="shared" si="9"/>
        <v>0</v>
      </c>
      <c r="J57" s="212">
        <f t="shared" si="9"/>
        <v>0</v>
      </c>
      <c r="K57" s="212">
        <f t="shared" si="9"/>
        <v>0</v>
      </c>
      <c r="L57" s="212">
        <f t="shared" si="9"/>
        <v>0</v>
      </c>
      <c r="M57" s="212">
        <f t="shared" si="9"/>
        <v>0</v>
      </c>
      <c r="N57" s="212">
        <f t="shared" si="8"/>
        <v>0</v>
      </c>
      <c r="O57" s="15"/>
    </row>
    <row r="58" spans="1:16" x14ac:dyDescent="0.25">
      <c r="C58" s="20"/>
      <c r="D58" s="15"/>
      <c r="E58" s="15"/>
      <c r="F58" s="15"/>
      <c r="G58" s="15"/>
      <c r="H58" s="15"/>
      <c r="I58" s="15"/>
      <c r="J58" s="15"/>
      <c r="K58" s="15"/>
      <c r="L58" s="15"/>
      <c r="M58" s="15"/>
      <c r="N58" s="15"/>
      <c r="O58" s="15"/>
      <c r="P58" s="15"/>
    </row>
    <row r="59" spans="1:16" x14ac:dyDescent="0.25">
      <c r="C59" s="20"/>
      <c r="D59" s="15"/>
      <c r="E59" s="15"/>
      <c r="F59" s="15"/>
      <c r="G59" s="15"/>
      <c r="H59" s="15"/>
      <c r="I59" s="15"/>
      <c r="J59" s="15"/>
      <c r="K59" s="15"/>
      <c r="L59" s="15"/>
      <c r="M59" s="15"/>
      <c r="N59" s="15"/>
      <c r="O59" s="15"/>
      <c r="P59" s="15"/>
    </row>
    <row r="60" spans="1:16" x14ac:dyDescent="0.25">
      <c r="C60" s="20"/>
      <c r="D60" s="15"/>
      <c r="E60" s="15"/>
      <c r="F60" s="15"/>
      <c r="G60" s="15"/>
      <c r="H60" s="15"/>
      <c r="I60" s="15"/>
      <c r="J60" s="15"/>
      <c r="K60" s="15"/>
      <c r="L60" s="15"/>
      <c r="M60" s="15"/>
      <c r="N60" s="15"/>
      <c r="O60" s="15"/>
      <c r="P60" s="15"/>
    </row>
    <row r="61" spans="1:16" x14ac:dyDescent="0.25">
      <c r="C61" s="20"/>
      <c r="D61" s="15"/>
      <c r="E61" s="15"/>
      <c r="F61" s="15"/>
      <c r="G61" s="15"/>
      <c r="H61" s="15"/>
      <c r="I61" s="15"/>
      <c r="J61" s="15"/>
      <c r="K61" s="15"/>
      <c r="L61" s="15"/>
      <c r="M61" s="15"/>
      <c r="N61" s="15"/>
      <c r="O61" s="15"/>
      <c r="P61" s="15"/>
    </row>
    <row r="62" spans="1:16" ht="27.75" x14ac:dyDescent="0.45">
      <c r="A62" s="12" t="s">
        <v>462</v>
      </c>
      <c r="C62" s="15"/>
      <c r="D62" s="34">
        <f>D5</f>
        <v>2026</v>
      </c>
      <c r="E62" s="15"/>
      <c r="F62" s="15"/>
      <c r="H62" s="15"/>
      <c r="I62" s="15"/>
      <c r="J62" s="15"/>
      <c r="K62" s="15"/>
      <c r="L62" s="15"/>
      <c r="M62" s="15"/>
      <c r="N62" s="15"/>
      <c r="O62" s="15"/>
      <c r="P62" s="15"/>
    </row>
    <row r="63" spans="1:16" ht="15.75" thickBot="1" x14ac:dyDescent="0.3">
      <c r="A63" s="15"/>
      <c r="B63" s="18"/>
      <c r="C63" s="15"/>
      <c r="D63" s="15"/>
      <c r="E63" s="15"/>
      <c r="F63" s="15"/>
      <c r="G63" s="15"/>
      <c r="H63" s="15"/>
      <c r="I63" s="15"/>
      <c r="J63" s="15"/>
      <c r="K63" s="15"/>
      <c r="L63" s="15"/>
      <c r="M63" s="15"/>
      <c r="N63" s="15"/>
      <c r="O63" s="15"/>
      <c r="P63" s="15"/>
    </row>
    <row r="64" spans="1:16" ht="27.75" customHeight="1" thickBot="1" x14ac:dyDescent="0.3">
      <c r="A64" s="207" t="str">
        <f>CONCATENATE("Otros pagos  ",D62)</f>
        <v>Otros pagos  2026</v>
      </c>
      <c r="B64" s="208" t="str">
        <f>B7</f>
        <v>enero
2026</v>
      </c>
      <c r="C64" s="208" t="str">
        <f t="shared" ref="C64:L64" si="10">C7</f>
        <v>febrero
2026</v>
      </c>
      <c r="D64" s="208" t="str">
        <f t="shared" si="10"/>
        <v>marzo
2026</v>
      </c>
      <c r="E64" s="208" t="str">
        <f t="shared" si="10"/>
        <v>abril
2026</v>
      </c>
      <c r="F64" s="208" t="str">
        <f t="shared" si="10"/>
        <v>mayo
2026</v>
      </c>
      <c r="G64" s="208" t="str">
        <f t="shared" si="10"/>
        <v>junio
2026</v>
      </c>
      <c r="H64" s="208" t="str">
        <f t="shared" si="10"/>
        <v>julio
2026</v>
      </c>
      <c r="I64" s="208" t="str">
        <f t="shared" si="10"/>
        <v>agosto
2026</v>
      </c>
      <c r="J64" s="208" t="str">
        <f t="shared" si="10"/>
        <v>septiembre
2026</v>
      </c>
      <c r="K64" s="208" t="str">
        <f t="shared" si="10"/>
        <v>octubre
2026</v>
      </c>
      <c r="L64" s="208" t="str">
        <f t="shared" si="10"/>
        <v>noviembre
2026</v>
      </c>
      <c r="M64" s="208" t="str">
        <f>M7</f>
        <v>diciembre
2026</v>
      </c>
      <c r="N64" s="208" t="str">
        <f>N7</f>
        <v>Total 
2026</v>
      </c>
      <c r="O64" s="7"/>
    </row>
    <row r="65" spans="1:15" x14ac:dyDescent="0.25">
      <c r="A65" s="209" t="s">
        <v>1025</v>
      </c>
      <c r="B65" s="42"/>
      <c r="C65" s="42"/>
      <c r="D65" s="42"/>
      <c r="E65" s="42"/>
      <c r="F65" s="42"/>
      <c r="G65" s="42"/>
      <c r="H65" s="42"/>
      <c r="I65" s="42"/>
      <c r="J65" s="42"/>
      <c r="K65" s="42"/>
      <c r="L65" s="42"/>
      <c r="M65" s="42"/>
      <c r="N65" s="42">
        <f t="shared" ref="N65:N70" si="11">SUM(B65:M65)</f>
        <v>0</v>
      </c>
      <c r="O65" s="7"/>
    </row>
    <row r="66" spans="1:15" x14ac:dyDescent="0.25">
      <c r="A66" s="210" t="s">
        <v>1026</v>
      </c>
      <c r="B66" s="42"/>
      <c r="C66" s="42"/>
      <c r="D66" s="42"/>
      <c r="E66" s="42"/>
      <c r="F66" s="42"/>
      <c r="G66" s="42"/>
      <c r="H66" s="42"/>
      <c r="I66" s="42"/>
      <c r="J66" s="42"/>
      <c r="K66" s="42"/>
      <c r="L66" s="42"/>
      <c r="M66" s="42"/>
      <c r="N66" s="42">
        <f t="shared" si="11"/>
        <v>0</v>
      </c>
      <c r="O66" s="7"/>
    </row>
    <row r="67" spans="1:15" x14ac:dyDescent="0.25">
      <c r="A67" s="210" t="s">
        <v>1057</v>
      </c>
      <c r="B67" s="42">
        <v>0</v>
      </c>
      <c r="C67" s="42">
        <v>0</v>
      </c>
      <c r="D67" s="42">
        <v>0</v>
      </c>
      <c r="E67" s="42">
        <v>0</v>
      </c>
      <c r="F67" s="42">
        <v>0</v>
      </c>
      <c r="G67" s="42">
        <v>0</v>
      </c>
      <c r="H67" s="42">
        <v>0</v>
      </c>
      <c r="I67" s="42">
        <v>0</v>
      </c>
      <c r="J67" s="42">
        <v>0</v>
      </c>
      <c r="K67" s="42">
        <v>0</v>
      </c>
      <c r="L67" s="42">
        <v>0</v>
      </c>
      <c r="M67" s="42">
        <v>0</v>
      </c>
      <c r="N67" s="42">
        <f t="shared" si="11"/>
        <v>0</v>
      </c>
      <c r="O67" s="7"/>
    </row>
    <row r="68" spans="1:15" x14ac:dyDescent="0.25">
      <c r="A68" s="210" t="s">
        <v>169</v>
      </c>
      <c r="B68" s="42">
        <v>0</v>
      </c>
      <c r="C68" s="42"/>
      <c r="D68" s="42"/>
      <c r="E68" s="42"/>
      <c r="F68" s="42"/>
      <c r="G68" s="42"/>
      <c r="H68" s="42"/>
      <c r="I68" s="42"/>
      <c r="J68" s="42"/>
      <c r="K68" s="42"/>
      <c r="L68" s="42"/>
      <c r="M68" s="42"/>
      <c r="N68" s="42">
        <f t="shared" si="11"/>
        <v>0</v>
      </c>
      <c r="O68" s="7"/>
    </row>
    <row r="69" spans="1:15" x14ac:dyDescent="0.25">
      <c r="A69" s="210" t="s">
        <v>1054</v>
      </c>
      <c r="B69" s="42">
        <f>'Financiación Inicial'!$B$26*IF(OR(mes0&gt;COLUMN(B12)-1,COLUMN(B12)-mes0&gt;6),0,INDEX('Politicas Cobros y Pagos'!$C$67:$H$67,1,COLUMN(B12)-mes0))</f>
        <v>0</v>
      </c>
      <c r="C69" s="42">
        <f>'Financiación Inicial'!$B$26*IF(OR(mes0&gt;COLUMN(C12)-1,COLUMN(C12)-mes0&gt;6),0,INDEX('Politicas Cobros y Pagos'!$C$67:$H$67,1,COLUMN(C12)-mes0))</f>
        <v>0</v>
      </c>
      <c r="D69" s="42">
        <f>'Financiación Inicial'!$B$26*IF(OR(mes0&gt;COLUMN(D12)-1,COLUMN(D12)-mes0&gt;6),0,INDEX('Politicas Cobros y Pagos'!$C$67:$H$67,1,COLUMN(D12)-mes0))</f>
        <v>0</v>
      </c>
      <c r="E69" s="42">
        <f>'Financiación Inicial'!$B$26*IF(OR(mes0&gt;COLUMN(E12)-1,COLUMN(E12)-mes0&gt;6),0,INDEX('Politicas Cobros y Pagos'!$C$67:$H$67,1,COLUMN(E12)-mes0))</f>
        <v>0</v>
      </c>
      <c r="F69" s="42">
        <f>'Financiación Inicial'!$B$26*IF(OR(mes0&gt;COLUMN(F12)-1,COLUMN(F12)-mes0&gt;6),0,INDEX('Politicas Cobros y Pagos'!$C$67:$H$67,1,COLUMN(F12)-mes0))</f>
        <v>0</v>
      </c>
      <c r="G69" s="42">
        <f>'Financiación Inicial'!$B$26*IF(OR(mes0&gt;COLUMN(G12)-1,COLUMN(G12)-mes0&gt;6),0,INDEX('Politicas Cobros y Pagos'!$C$67:$H$67,1,COLUMN(G12)-mes0))</f>
        <v>0</v>
      </c>
      <c r="H69" s="42">
        <f>'Financiación Inicial'!$B$26*IF(OR(mes0&gt;COLUMN(H12)-1,COLUMN(H12)-mes0&gt;6),0,INDEX('Politicas Cobros y Pagos'!$C$67:$H$67,1,COLUMN(H12)-mes0))</f>
        <v>0</v>
      </c>
      <c r="I69" s="42">
        <f>'Financiación Inicial'!$B$26*IF(OR(mes0&gt;COLUMN(I12)-1,COLUMN(I12)-mes0&gt;6),0,INDEX('Politicas Cobros y Pagos'!$C$67:$H$67,1,COLUMN(I12)-mes0))</f>
        <v>0</v>
      </c>
      <c r="J69" s="42">
        <f>'Financiación Inicial'!$B$26*IF(OR(mes0&gt;COLUMN(J12)-1,COLUMN(J12)-mes0&gt;6),0,INDEX('Politicas Cobros y Pagos'!$C$67:$H$67,1,COLUMN(J12)-mes0))</f>
        <v>0</v>
      </c>
      <c r="K69" s="42">
        <f>'Financiación Inicial'!$B$26*IF(OR(mes0&gt;COLUMN(K12)-1,COLUMN(K12)-mes0&gt;6),0,INDEX('Politicas Cobros y Pagos'!$C$67:$H$67,1,COLUMN(K12)-mes0))</f>
        <v>0</v>
      </c>
      <c r="L69" s="42">
        <f>'Financiación Inicial'!$B$26*IF(OR(mes0&gt;COLUMN(L12)-1,COLUMN(L12)-mes0&gt;6),0,INDEX('Politicas Cobros y Pagos'!$C$67:$H$67,1,COLUMN(L12)-mes0))</f>
        <v>0</v>
      </c>
      <c r="M69" s="42">
        <f>'Financiación Inicial'!$B$26*IF(OR(mes0&gt;COLUMN(M12)-1,COLUMN(M12)-mes0&gt;6),0,INDEX('Politicas Cobros y Pagos'!$C$67:$H$67,1,COLUMN(M12)-mes0))</f>
        <v>0</v>
      </c>
      <c r="N69" s="42">
        <f t="shared" si="11"/>
        <v>0</v>
      </c>
      <c r="O69" s="7"/>
    </row>
    <row r="70" spans="1:15" ht="15.75" thickBot="1" x14ac:dyDescent="0.3">
      <c r="A70" s="211" t="s">
        <v>860</v>
      </c>
      <c r="B70" s="212">
        <f t="shared" ref="B70:M70" si="12">SUM(B65:B69)</f>
        <v>0</v>
      </c>
      <c r="C70" s="212">
        <f t="shared" si="12"/>
        <v>0</v>
      </c>
      <c r="D70" s="212">
        <f t="shared" si="12"/>
        <v>0</v>
      </c>
      <c r="E70" s="212">
        <f t="shared" si="12"/>
        <v>0</v>
      </c>
      <c r="F70" s="212">
        <f t="shared" si="12"/>
        <v>0</v>
      </c>
      <c r="G70" s="212">
        <f t="shared" si="12"/>
        <v>0</v>
      </c>
      <c r="H70" s="212">
        <f t="shared" si="12"/>
        <v>0</v>
      </c>
      <c r="I70" s="212">
        <f t="shared" si="12"/>
        <v>0</v>
      </c>
      <c r="J70" s="212">
        <f t="shared" si="12"/>
        <v>0</v>
      </c>
      <c r="K70" s="212">
        <f t="shared" si="12"/>
        <v>0</v>
      </c>
      <c r="L70" s="212">
        <f t="shared" si="12"/>
        <v>0</v>
      </c>
      <c r="M70" s="212">
        <f t="shared" si="12"/>
        <v>0</v>
      </c>
      <c r="N70" s="212">
        <f t="shared" si="11"/>
        <v>0</v>
      </c>
      <c r="O70" s="7"/>
    </row>
    <row r="71" spans="1:15" x14ac:dyDescent="0.25">
      <c r="A71" s="15"/>
      <c r="B71" s="18"/>
      <c r="C71" s="13"/>
      <c r="D71" s="13"/>
      <c r="E71" s="13"/>
      <c r="F71" s="13"/>
      <c r="G71" s="13"/>
      <c r="H71" s="13"/>
      <c r="I71" s="13"/>
      <c r="J71" s="13"/>
      <c r="K71" s="13"/>
      <c r="L71" s="13"/>
      <c r="M71" s="13"/>
      <c r="O71" s="7"/>
    </row>
    <row r="72" spans="1:15" x14ac:dyDescent="0.25">
      <c r="O72" s="7"/>
    </row>
    <row r="73" spans="1:15" ht="27.75" x14ac:dyDescent="0.45">
      <c r="A73" s="12" t="str">
        <f>A62</f>
        <v>Otros Pagos de la empresa</v>
      </c>
      <c r="C73" s="15"/>
      <c r="D73" s="34">
        <f>D16</f>
        <v>2027</v>
      </c>
      <c r="E73" s="15"/>
      <c r="F73" s="15"/>
      <c r="H73" s="15"/>
      <c r="I73" s="15"/>
      <c r="J73" s="15"/>
      <c r="K73" s="15"/>
      <c r="L73" s="15"/>
      <c r="M73" s="15"/>
      <c r="N73" s="15"/>
    </row>
    <row r="74" spans="1:15" ht="15.75" thickBot="1" x14ac:dyDescent="0.3">
      <c r="A74" s="15"/>
      <c r="B74" s="18"/>
      <c r="C74" s="15"/>
      <c r="D74" s="15"/>
      <c r="E74" s="15"/>
      <c r="F74" s="15"/>
      <c r="G74" s="15"/>
      <c r="H74" s="15"/>
      <c r="I74" s="15"/>
      <c r="J74" s="15"/>
      <c r="K74" s="15"/>
      <c r="L74" s="15"/>
      <c r="M74" s="15"/>
      <c r="N74" s="15"/>
    </row>
    <row r="75" spans="1:15" ht="27" customHeight="1" thickBot="1" x14ac:dyDescent="0.3">
      <c r="A75" s="207" t="str">
        <f>CONCATENATE("Otros pagos  ",D73)</f>
        <v>Otros pagos  2027</v>
      </c>
      <c r="B75" s="208" t="str">
        <f>B18</f>
        <v>enero
2027</v>
      </c>
      <c r="C75" s="208" t="str">
        <f t="shared" ref="C75:L75" si="13">C18</f>
        <v>febrero
2027</v>
      </c>
      <c r="D75" s="208" t="str">
        <f t="shared" si="13"/>
        <v>marzo
2027</v>
      </c>
      <c r="E75" s="208" t="str">
        <f t="shared" si="13"/>
        <v>abril
2027</v>
      </c>
      <c r="F75" s="208" t="str">
        <f t="shared" si="13"/>
        <v>mayo
2027</v>
      </c>
      <c r="G75" s="208" t="str">
        <f t="shared" si="13"/>
        <v>junio
2027</v>
      </c>
      <c r="H75" s="208" t="str">
        <f t="shared" si="13"/>
        <v>julio
2027</v>
      </c>
      <c r="I75" s="208" t="str">
        <f t="shared" si="13"/>
        <v>agosto
2027</v>
      </c>
      <c r="J75" s="208" t="str">
        <f t="shared" si="13"/>
        <v>septiembre
2027</v>
      </c>
      <c r="K75" s="208" t="str">
        <f t="shared" si="13"/>
        <v>octubre
2027</v>
      </c>
      <c r="L75" s="208" t="str">
        <f t="shared" si="13"/>
        <v>noviembre
2027</v>
      </c>
      <c r="M75" s="208" t="str">
        <f>M18</f>
        <v>diciembre
2027</v>
      </c>
      <c r="N75" s="208" t="str">
        <f>N18</f>
        <v>Total 
2027</v>
      </c>
    </row>
    <row r="76" spans="1:15" x14ac:dyDescent="0.25">
      <c r="A76" s="209" t="s">
        <v>1025</v>
      </c>
      <c r="B76" s="42"/>
      <c r="C76" s="42"/>
      <c r="D76" s="42"/>
      <c r="E76" s="42"/>
      <c r="F76" s="42"/>
      <c r="G76" s="42"/>
      <c r="H76" s="42"/>
      <c r="I76" s="42"/>
      <c r="J76" s="42"/>
      <c r="K76" s="42"/>
      <c r="L76" s="42"/>
      <c r="M76" s="42"/>
      <c r="N76" s="42">
        <f t="shared" ref="N76:N81" si="14">SUM(B76:M76)</f>
        <v>0</v>
      </c>
    </row>
    <row r="77" spans="1:15" x14ac:dyDescent="0.25">
      <c r="A77" s="210" t="s">
        <v>1026</v>
      </c>
      <c r="B77" s="42"/>
      <c r="C77" s="42"/>
      <c r="D77" s="42"/>
      <c r="E77" s="42"/>
      <c r="F77" s="42"/>
      <c r="G77" s="42"/>
      <c r="H77" s="42">
        <f>Imp.Sociedades!$B$31/2</f>
        <v>0</v>
      </c>
      <c r="I77" s="42"/>
      <c r="J77" s="42"/>
      <c r="K77" s="42"/>
      <c r="L77" s="42"/>
      <c r="M77" s="42">
        <f>Imp.Sociedades!$B$31/2</f>
        <v>0</v>
      </c>
      <c r="N77" s="42">
        <f t="shared" si="14"/>
        <v>0</v>
      </c>
    </row>
    <row r="78" spans="1:15" x14ac:dyDescent="0.25">
      <c r="A78" s="210" t="s">
        <v>1057</v>
      </c>
      <c r="B78" s="42">
        <v>0</v>
      </c>
      <c r="C78" s="42">
        <v>0</v>
      </c>
      <c r="D78" s="42">
        <v>0</v>
      </c>
      <c r="E78" s="42">
        <v>0</v>
      </c>
      <c r="F78" s="42">
        <v>0</v>
      </c>
      <c r="G78" s="42">
        <v>0</v>
      </c>
      <c r="H78" s="42">
        <v>0</v>
      </c>
      <c r="I78" s="42">
        <v>0</v>
      </c>
      <c r="J78" s="42">
        <v>0</v>
      </c>
      <c r="K78" s="42">
        <v>0</v>
      </c>
      <c r="L78" s="42">
        <v>0</v>
      </c>
      <c r="M78" s="42">
        <v>0</v>
      </c>
      <c r="N78" s="42">
        <f t="shared" si="14"/>
        <v>0</v>
      </c>
    </row>
    <row r="79" spans="1:15" x14ac:dyDescent="0.25">
      <c r="A79" s="210" t="s">
        <v>169</v>
      </c>
      <c r="B79" s="42"/>
      <c r="C79" s="42"/>
      <c r="D79" s="42"/>
      <c r="E79" s="42"/>
      <c r="F79" s="42"/>
      <c r="G79" s="42"/>
      <c r="H79" s="42"/>
      <c r="I79" s="42"/>
      <c r="J79" s="42"/>
      <c r="K79" s="42"/>
      <c r="L79" s="42"/>
      <c r="M79" s="42"/>
      <c r="N79" s="42">
        <f t="shared" si="14"/>
        <v>0</v>
      </c>
    </row>
    <row r="80" spans="1:15" x14ac:dyDescent="0.25">
      <c r="A80" s="210" t="s">
        <v>1054</v>
      </c>
      <c r="B80" s="42">
        <f>'Financiación Inicial'!$B$26*IF(OR(mes0&lt;=7,COLUMN(B12)&gt;mes0-6),0,INDEX('Politicas Cobros y Pagos'!$C$67:$H$67,1,COLUMN(B12)-mes0+12))</f>
        <v>0</v>
      </c>
      <c r="C80" s="42">
        <f>'Financiación Inicial'!$B$26*IF(OR(mes0&lt;=7,COLUMN(C12)&gt;mes0-6),0,INDEX('Politicas Cobros y Pagos'!$C$67:$H$67,1,COLUMN(C12)-mes0+12))</f>
        <v>0</v>
      </c>
      <c r="D80" s="42">
        <f>'Financiación Inicial'!$B$26*IF(OR(mes0&lt;=7,COLUMN(D12)&gt;mes0-6),0,INDEX('Politicas Cobros y Pagos'!$C$67:$H$67,1,COLUMN(D12)-mes0+12))</f>
        <v>0</v>
      </c>
      <c r="E80" s="42">
        <f>'Financiación Inicial'!$B$26*IF(OR(mes0&lt;=7,COLUMN(E12)&gt;mes0-6),0,INDEX('Politicas Cobros y Pagos'!$C$67:$H$67,1,COLUMN(E12)-mes0+12))</f>
        <v>0</v>
      </c>
      <c r="F80" s="42">
        <f>'Financiación Inicial'!$B$26*IF(OR(mes0&lt;=7,COLUMN(F12)&gt;mes0-6),0,INDEX('Politicas Cobros y Pagos'!$C$67:$H$67,1,COLUMN(F12)-mes0+12))</f>
        <v>0</v>
      </c>
      <c r="G80" s="42">
        <f>'Financiación Inicial'!$B$26*IF(OR(mes0&lt;=7,COLUMN(G12)&gt;mes0-6),0,INDEX('Politicas Cobros y Pagos'!$C$67:$H$67,1,COLUMN(G12)-mes0+12))</f>
        <v>0</v>
      </c>
      <c r="H80" s="42">
        <f>'Financiación Inicial'!$B$26*IF(OR(mes0&lt;=7,COLUMN(H12)&gt;mes0-6),0,INDEX('Politicas Cobros y Pagos'!$C$67:$H$67,1,COLUMN(H12)-mes0+12))</f>
        <v>0</v>
      </c>
      <c r="I80" s="42">
        <f>'Financiación Inicial'!$B$26*IF(OR(mes0&lt;=7,COLUMN(I12)&gt;mes0-6),0,INDEX('Politicas Cobros y Pagos'!$C$67:$H$67,1,COLUMN(I12)-mes0+12))</f>
        <v>0</v>
      </c>
      <c r="J80" s="42">
        <f>'Financiación Inicial'!$B$26*IF(OR(mes0&lt;=7,COLUMN(J12)&gt;mes0-6),0,INDEX('Politicas Cobros y Pagos'!$C$67:$H$67,1,COLUMN(J12)-mes0+12))</f>
        <v>0</v>
      </c>
      <c r="K80" s="42">
        <f>'Financiación Inicial'!$B$26*IF(OR(mes0&lt;=7,COLUMN(K12)&gt;mes0-6),0,INDEX('Politicas Cobros y Pagos'!$C$67:$H$67,1,COLUMN(K12)-mes0+12))</f>
        <v>0</v>
      </c>
      <c r="L80" s="42">
        <f>'Financiación Inicial'!$B$26*IF(OR(mes0&lt;=7,COLUMN(L12)&gt;mes0-6),0,INDEX('Politicas Cobros y Pagos'!$C$67:$H$67,1,COLUMN(L12)-mes0+12))</f>
        <v>0</v>
      </c>
      <c r="M80" s="42">
        <f>'Financiación Inicial'!$B$26*IF(OR(mes0&lt;=7,COLUMN(M12)&gt;mes0-6),0,INDEX('Politicas Cobros y Pagos'!$C$67:$H$67,1,COLUMN(M12)-mes0+12))</f>
        <v>0</v>
      </c>
      <c r="N80" s="42">
        <f t="shared" si="14"/>
        <v>0</v>
      </c>
    </row>
    <row r="81" spans="1:14" ht="15.75" thickBot="1" x14ac:dyDescent="0.3">
      <c r="A81" s="211" t="s">
        <v>860</v>
      </c>
      <c r="B81" s="212">
        <f t="shared" ref="B81:M81" si="15">SUM(B76:B80)</f>
        <v>0</v>
      </c>
      <c r="C81" s="212">
        <f t="shared" si="15"/>
        <v>0</v>
      </c>
      <c r="D81" s="212">
        <f t="shared" si="15"/>
        <v>0</v>
      </c>
      <c r="E81" s="212">
        <f t="shared" si="15"/>
        <v>0</v>
      </c>
      <c r="F81" s="212">
        <f t="shared" si="15"/>
        <v>0</v>
      </c>
      <c r="G81" s="212">
        <f t="shared" si="15"/>
        <v>0</v>
      </c>
      <c r="H81" s="212">
        <f t="shared" si="15"/>
        <v>0</v>
      </c>
      <c r="I81" s="212">
        <f t="shared" si="15"/>
        <v>0</v>
      </c>
      <c r="J81" s="212">
        <f t="shared" si="15"/>
        <v>0</v>
      </c>
      <c r="K81" s="212">
        <f t="shared" si="15"/>
        <v>0</v>
      </c>
      <c r="L81" s="212">
        <f t="shared" si="15"/>
        <v>0</v>
      </c>
      <c r="M81" s="212">
        <f t="shared" si="15"/>
        <v>0</v>
      </c>
      <c r="N81" s="212">
        <f t="shared" si="14"/>
        <v>0</v>
      </c>
    </row>
    <row r="84" spans="1:14" ht="27.75" x14ac:dyDescent="0.45">
      <c r="A84" s="12" t="str">
        <f>A62</f>
        <v>Otros Pagos de la empresa</v>
      </c>
      <c r="C84" s="15"/>
      <c r="D84" s="34">
        <f>D27</f>
        <v>2028</v>
      </c>
      <c r="E84" s="15"/>
      <c r="F84" s="15"/>
      <c r="H84" s="15"/>
      <c r="I84" s="15"/>
      <c r="J84" s="15"/>
      <c r="K84" s="15"/>
      <c r="L84" s="15"/>
      <c r="M84" s="15"/>
      <c r="N84" s="15"/>
    </row>
    <row r="85" spans="1:14" ht="15.75" thickBot="1" x14ac:dyDescent="0.3">
      <c r="A85" s="15"/>
      <c r="B85" s="18"/>
      <c r="C85" s="15"/>
      <c r="D85" s="15"/>
      <c r="E85" s="15"/>
      <c r="F85" s="15"/>
      <c r="G85" s="15"/>
      <c r="H85" s="15"/>
      <c r="I85" s="15"/>
      <c r="J85" s="15"/>
      <c r="K85" s="15"/>
      <c r="L85" s="15"/>
      <c r="M85" s="15"/>
      <c r="N85" s="15"/>
    </row>
    <row r="86" spans="1:14" ht="29.25" customHeight="1" thickBot="1" x14ac:dyDescent="0.3">
      <c r="A86" s="207" t="str">
        <f>CONCATENATE("Otros pagos  ",D84)</f>
        <v>Otros pagos  2028</v>
      </c>
      <c r="B86" s="208" t="str">
        <f>B29</f>
        <v>enero
2028</v>
      </c>
      <c r="C86" s="208" t="str">
        <f t="shared" ref="C86:L86" si="16">C29</f>
        <v>febrero
2028</v>
      </c>
      <c r="D86" s="208" t="str">
        <f t="shared" si="16"/>
        <v>marzo
2028</v>
      </c>
      <c r="E86" s="208" t="str">
        <f t="shared" si="16"/>
        <v>abril
2028</v>
      </c>
      <c r="F86" s="208" t="str">
        <f t="shared" si="16"/>
        <v>mayo
2028</v>
      </c>
      <c r="G86" s="208" t="str">
        <f t="shared" si="16"/>
        <v>junio
2028</v>
      </c>
      <c r="H86" s="208" t="str">
        <f t="shared" si="16"/>
        <v>julio
2028</v>
      </c>
      <c r="I86" s="208" t="str">
        <f t="shared" si="16"/>
        <v>agosto
2028</v>
      </c>
      <c r="J86" s="208" t="str">
        <f t="shared" si="16"/>
        <v>septiembre
2028</v>
      </c>
      <c r="K86" s="208" t="str">
        <f t="shared" si="16"/>
        <v>octubre
2028</v>
      </c>
      <c r="L86" s="208" t="str">
        <f t="shared" si="16"/>
        <v>noviembre
2028</v>
      </c>
      <c r="M86" s="208" t="str">
        <f>M29</f>
        <v>diciembre
2028</v>
      </c>
      <c r="N86" s="208" t="str">
        <f>N29</f>
        <v>Totales 
2028</v>
      </c>
    </row>
    <row r="87" spans="1:14" x14ac:dyDescent="0.25">
      <c r="A87" s="209" t="s">
        <v>1025</v>
      </c>
      <c r="B87" s="42"/>
      <c r="C87" s="42"/>
      <c r="D87" s="42"/>
      <c r="E87" s="42"/>
      <c r="F87" s="42"/>
      <c r="G87" s="42"/>
      <c r="H87" s="42"/>
      <c r="I87" s="42"/>
      <c r="J87" s="42"/>
      <c r="K87" s="42"/>
      <c r="L87" s="42"/>
      <c r="M87" s="42"/>
      <c r="N87" s="42">
        <f t="shared" ref="N87:N92" si="17">SUM(B87:M87)</f>
        <v>0</v>
      </c>
    </row>
    <row r="88" spans="1:14" x14ac:dyDescent="0.25">
      <c r="A88" s="210" t="s">
        <v>1026</v>
      </c>
      <c r="B88" s="42"/>
      <c r="C88" s="42"/>
      <c r="D88" s="42"/>
      <c r="E88" s="42"/>
      <c r="F88" s="42"/>
      <c r="G88" s="42"/>
      <c r="H88" s="42">
        <f>Imp.Sociedades!$D$31/2</f>
        <v>0</v>
      </c>
      <c r="I88" s="42"/>
      <c r="J88" s="42"/>
      <c r="K88" s="42"/>
      <c r="L88" s="42"/>
      <c r="M88" s="42">
        <f>Imp.Sociedades!$D$31/2</f>
        <v>0</v>
      </c>
      <c r="N88" s="42">
        <f t="shared" si="17"/>
        <v>0</v>
      </c>
    </row>
    <row r="89" spans="1:14" x14ac:dyDescent="0.25">
      <c r="A89" s="210" t="s">
        <v>1057</v>
      </c>
      <c r="B89" s="42"/>
      <c r="C89" s="42"/>
      <c r="D89" s="42"/>
      <c r="E89" s="42"/>
      <c r="F89" s="42"/>
      <c r="G89" s="42"/>
      <c r="H89" s="42"/>
      <c r="I89" s="42"/>
      <c r="J89" s="42"/>
      <c r="K89" s="42"/>
      <c r="L89" s="42"/>
      <c r="M89" s="42"/>
      <c r="N89" s="42">
        <f t="shared" si="17"/>
        <v>0</v>
      </c>
    </row>
    <row r="90" spans="1:14" x14ac:dyDescent="0.25">
      <c r="A90" s="210" t="s">
        <v>169</v>
      </c>
      <c r="B90" s="42"/>
      <c r="C90" s="42"/>
      <c r="D90" s="42"/>
      <c r="E90" s="42"/>
      <c r="F90" s="42"/>
      <c r="G90" s="42"/>
      <c r="H90" s="42"/>
      <c r="I90" s="42"/>
      <c r="J90" s="42"/>
      <c r="K90" s="42"/>
      <c r="L90" s="42"/>
      <c r="M90" s="42"/>
      <c r="N90" s="42">
        <f t="shared" si="17"/>
        <v>0</v>
      </c>
    </row>
    <row r="91" spans="1:14" x14ac:dyDescent="0.25">
      <c r="A91" s="210" t="s">
        <v>1054</v>
      </c>
      <c r="B91" s="42"/>
      <c r="C91" s="42"/>
      <c r="D91" s="42"/>
      <c r="E91" s="42"/>
      <c r="F91" s="42"/>
      <c r="G91" s="42"/>
      <c r="H91" s="42"/>
      <c r="I91" s="42"/>
      <c r="J91" s="42"/>
      <c r="K91" s="42"/>
      <c r="L91" s="42"/>
      <c r="M91" s="42"/>
      <c r="N91" s="42">
        <f t="shared" si="17"/>
        <v>0</v>
      </c>
    </row>
    <row r="92" spans="1:14" ht="15.75" thickBot="1" x14ac:dyDescent="0.3">
      <c r="A92" s="211" t="s">
        <v>860</v>
      </c>
      <c r="B92" s="212">
        <f t="shared" ref="B92:M92" si="18">SUM(B87:B91)</f>
        <v>0</v>
      </c>
      <c r="C92" s="212">
        <f t="shared" si="18"/>
        <v>0</v>
      </c>
      <c r="D92" s="212">
        <f t="shared" si="18"/>
        <v>0</v>
      </c>
      <c r="E92" s="212">
        <f t="shared" si="18"/>
        <v>0</v>
      </c>
      <c r="F92" s="212">
        <f t="shared" si="18"/>
        <v>0</v>
      </c>
      <c r="G92" s="212">
        <f t="shared" si="18"/>
        <v>0</v>
      </c>
      <c r="H92" s="212">
        <f t="shared" si="18"/>
        <v>0</v>
      </c>
      <c r="I92" s="212">
        <f t="shared" si="18"/>
        <v>0</v>
      </c>
      <c r="J92" s="212">
        <f t="shared" si="18"/>
        <v>0</v>
      </c>
      <c r="K92" s="212">
        <f t="shared" si="18"/>
        <v>0</v>
      </c>
      <c r="L92" s="212">
        <f t="shared" si="18"/>
        <v>0</v>
      </c>
      <c r="M92" s="212">
        <f t="shared" si="18"/>
        <v>0</v>
      </c>
      <c r="N92" s="212">
        <f t="shared" si="17"/>
        <v>0</v>
      </c>
    </row>
    <row r="95" spans="1:14" ht="27.75" x14ac:dyDescent="0.45">
      <c r="A95" s="12" t="str">
        <f>A73</f>
        <v>Otros Pagos de la empresa</v>
      </c>
      <c r="C95" s="15"/>
      <c r="D95" s="34">
        <f>D84+1</f>
        <v>2029</v>
      </c>
      <c r="E95" s="15"/>
      <c r="F95" s="15"/>
      <c r="H95" s="15"/>
      <c r="I95" s="15"/>
      <c r="J95" s="15"/>
      <c r="K95" s="15"/>
      <c r="L95" s="15"/>
      <c r="M95" s="15"/>
      <c r="N95" s="15"/>
    </row>
    <row r="96" spans="1:14" ht="15.75" thickBot="1" x14ac:dyDescent="0.3">
      <c r="A96" s="15"/>
      <c r="B96" s="18"/>
      <c r="C96" s="15"/>
      <c r="D96" s="15"/>
      <c r="E96" s="15"/>
      <c r="F96" s="15"/>
      <c r="G96" s="15"/>
      <c r="H96" s="15"/>
      <c r="I96" s="15"/>
      <c r="J96" s="15"/>
      <c r="K96" s="15"/>
      <c r="L96" s="15"/>
      <c r="M96" s="15"/>
      <c r="N96" s="15"/>
    </row>
    <row r="97" spans="1:14" ht="29.25" customHeight="1" thickBot="1" x14ac:dyDescent="0.3">
      <c r="A97" s="207" t="str">
        <f>CONCATENATE("Otros pagos  ",D95)</f>
        <v>Otros pagos  2029</v>
      </c>
      <c r="B97" s="208" t="str">
        <f>CONCATENATE('Prev.Ventas 0'!B4," ","
",
$D$95)</f>
        <v>enero 
2029</v>
      </c>
      <c r="C97" s="208" t="str">
        <f>CONCATENATE('Prev.Ventas 0'!C4," ","
",
$D$95)</f>
        <v>febrero 
2029</v>
      </c>
      <c r="D97" s="208" t="str">
        <f>CONCATENATE('Prev.Ventas 0'!D4," ","
",
$D$95)</f>
        <v>marzo 
2029</v>
      </c>
      <c r="E97" s="208" t="str">
        <f>CONCATENATE('Prev.Ventas 0'!E4," ","
",
$D$95)</f>
        <v>abril 
2029</v>
      </c>
      <c r="F97" s="208" t="str">
        <f>CONCATENATE('Prev.Ventas 0'!F4," ","
",
$D$95)</f>
        <v>mayo 
2029</v>
      </c>
      <c r="G97" s="208" t="str">
        <f>CONCATENATE('Prev.Ventas 0'!G4," ","
",
$D$95)</f>
        <v>junio 
2029</v>
      </c>
      <c r="H97" s="208" t="str">
        <f>CONCATENATE('Prev.Ventas 0'!H4," ","
",
$D$95)</f>
        <v>julio 
2029</v>
      </c>
      <c r="I97" s="208" t="str">
        <f>CONCATENATE('Prev.Ventas 0'!I4," ","
",
$D$95)</f>
        <v>agosto 
2029</v>
      </c>
      <c r="J97" s="208" t="str">
        <f>CONCATENATE('Prev.Ventas 0'!J4," ","
",
$D$95)</f>
        <v>septiembre 
2029</v>
      </c>
      <c r="K97" s="208" t="str">
        <f>CONCATENATE('Prev.Ventas 0'!K4," ","
",
$D$95)</f>
        <v>octubre 
2029</v>
      </c>
      <c r="L97" s="208" t="str">
        <f>CONCATENATE('Prev.Ventas 0'!L4," ","
",
$D$95)</f>
        <v>noviembre 
2029</v>
      </c>
      <c r="M97" s="208" t="str">
        <f>CONCATENATE('Prev.Ventas 0'!M4," ","
",
$D$95)</f>
        <v>diciembre 
2029</v>
      </c>
      <c r="N97" s="208" t="str">
        <f>CONCATENATE('Prev.Ventas 0'!N4," ","
",
$D$95)</f>
        <v>Totales 
2029</v>
      </c>
    </row>
    <row r="98" spans="1:14" x14ac:dyDescent="0.25">
      <c r="A98" s="209" t="s">
        <v>1025</v>
      </c>
      <c r="B98" s="42"/>
      <c r="C98" s="42"/>
      <c r="D98" s="42"/>
      <c r="E98" s="42"/>
      <c r="F98" s="42"/>
      <c r="G98" s="42"/>
      <c r="H98" s="42"/>
      <c r="I98" s="42"/>
      <c r="J98" s="42"/>
      <c r="K98" s="42"/>
      <c r="L98" s="42"/>
      <c r="M98" s="42"/>
      <c r="N98" s="42">
        <f t="shared" ref="N98:N103" si="19">SUM(B98:M98)</f>
        <v>0</v>
      </c>
    </row>
    <row r="99" spans="1:14" x14ac:dyDescent="0.25">
      <c r="A99" s="210" t="s">
        <v>1026</v>
      </c>
      <c r="B99" s="42"/>
      <c r="C99" s="42"/>
      <c r="D99" s="42"/>
      <c r="E99" s="42"/>
      <c r="F99" s="42"/>
      <c r="G99" s="42"/>
      <c r="H99" s="42">
        <f>Imp.Sociedades!$G$31/2</f>
        <v>0</v>
      </c>
      <c r="I99" s="42"/>
      <c r="J99" s="42"/>
      <c r="K99" s="42"/>
      <c r="L99" s="42"/>
      <c r="M99" s="42">
        <f>Imp.Sociedades!$G$31/2</f>
        <v>0</v>
      </c>
      <c r="N99" s="42">
        <f t="shared" si="19"/>
        <v>0</v>
      </c>
    </row>
    <row r="100" spans="1:14" x14ac:dyDescent="0.25">
      <c r="A100" s="210" t="s">
        <v>1057</v>
      </c>
      <c r="B100" s="42"/>
      <c r="C100" s="42"/>
      <c r="D100" s="42"/>
      <c r="E100" s="42"/>
      <c r="F100" s="42"/>
      <c r="G100" s="42"/>
      <c r="H100" s="42"/>
      <c r="I100" s="42"/>
      <c r="J100" s="42"/>
      <c r="K100" s="42"/>
      <c r="L100" s="42"/>
      <c r="M100" s="42"/>
      <c r="N100" s="42">
        <f t="shared" si="19"/>
        <v>0</v>
      </c>
    </row>
    <row r="101" spans="1:14" x14ac:dyDescent="0.25">
      <c r="A101" s="210" t="s">
        <v>169</v>
      </c>
      <c r="B101" s="42"/>
      <c r="C101" s="42"/>
      <c r="D101" s="42"/>
      <c r="E101" s="42"/>
      <c r="F101" s="42"/>
      <c r="G101" s="42"/>
      <c r="H101" s="42"/>
      <c r="I101" s="42"/>
      <c r="J101" s="42"/>
      <c r="K101" s="42"/>
      <c r="L101" s="42"/>
      <c r="M101" s="42"/>
      <c r="N101" s="42">
        <f t="shared" si="19"/>
        <v>0</v>
      </c>
    </row>
    <row r="102" spans="1:14" x14ac:dyDescent="0.25">
      <c r="A102" s="210" t="s">
        <v>1054</v>
      </c>
      <c r="B102" s="42"/>
      <c r="C102" s="42"/>
      <c r="D102" s="42"/>
      <c r="E102" s="42"/>
      <c r="F102" s="42"/>
      <c r="G102" s="42"/>
      <c r="H102" s="42"/>
      <c r="I102" s="42"/>
      <c r="J102" s="42"/>
      <c r="K102" s="42"/>
      <c r="L102" s="42"/>
      <c r="M102" s="42"/>
      <c r="N102" s="42">
        <f t="shared" si="19"/>
        <v>0</v>
      </c>
    </row>
    <row r="103" spans="1:14" ht="15.75" thickBot="1" x14ac:dyDescent="0.3">
      <c r="A103" s="211" t="s">
        <v>860</v>
      </c>
      <c r="B103" s="212">
        <f t="shared" ref="B103:M103" si="20">SUM(B98:B102)</f>
        <v>0</v>
      </c>
      <c r="C103" s="212">
        <f t="shared" si="20"/>
        <v>0</v>
      </c>
      <c r="D103" s="212">
        <f t="shared" si="20"/>
        <v>0</v>
      </c>
      <c r="E103" s="212">
        <f t="shared" si="20"/>
        <v>0</v>
      </c>
      <c r="F103" s="212">
        <f t="shared" si="20"/>
        <v>0</v>
      </c>
      <c r="G103" s="212">
        <f t="shared" si="20"/>
        <v>0</v>
      </c>
      <c r="H103" s="212">
        <f t="shared" si="20"/>
        <v>0</v>
      </c>
      <c r="I103" s="212">
        <f t="shared" si="20"/>
        <v>0</v>
      </c>
      <c r="J103" s="212">
        <f t="shared" si="20"/>
        <v>0</v>
      </c>
      <c r="K103" s="212">
        <f t="shared" si="20"/>
        <v>0</v>
      </c>
      <c r="L103" s="212">
        <f t="shared" si="20"/>
        <v>0</v>
      </c>
      <c r="M103" s="212">
        <f t="shared" si="20"/>
        <v>0</v>
      </c>
      <c r="N103" s="212">
        <f t="shared" si="19"/>
        <v>0</v>
      </c>
    </row>
    <row r="106" spans="1:14" ht="27.75" x14ac:dyDescent="0.45">
      <c r="A106" s="12" t="str">
        <f>A84</f>
        <v>Otros Pagos de la empresa</v>
      </c>
      <c r="C106" s="15"/>
      <c r="D106" s="34">
        <f>D95+1</f>
        <v>2030</v>
      </c>
      <c r="E106" s="15"/>
      <c r="F106" s="15"/>
      <c r="H106" s="15"/>
      <c r="I106" s="15"/>
      <c r="J106" s="15"/>
      <c r="K106" s="15"/>
      <c r="L106" s="15"/>
      <c r="M106" s="15"/>
      <c r="N106" s="15"/>
    </row>
    <row r="107" spans="1:14" ht="15.75" thickBot="1" x14ac:dyDescent="0.3">
      <c r="A107" s="15"/>
      <c r="B107" s="18"/>
      <c r="C107" s="15"/>
      <c r="D107" s="15"/>
      <c r="E107" s="15"/>
      <c r="F107" s="15"/>
      <c r="G107" s="15"/>
      <c r="H107" s="15"/>
      <c r="I107" s="15"/>
      <c r="J107" s="15"/>
      <c r="K107" s="15"/>
      <c r="L107" s="15"/>
      <c r="M107" s="15"/>
      <c r="N107" s="15"/>
    </row>
    <row r="108" spans="1:14" ht="29.25" customHeight="1" thickBot="1" x14ac:dyDescent="0.3">
      <c r="A108" s="207" t="str">
        <f>CONCATENATE("Otros pagos  ",D106)</f>
        <v>Otros pagos  2030</v>
      </c>
      <c r="B108" s="208" t="str">
        <f>CONCATENATE('Prev.Ventas 0'!B4," ","
",
$D$106)</f>
        <v>enero 
2030</v>
      </c>
      <c r="C108" s="208" t="str">
        <f>CONCATENATE('Prev.Ventas 0'!C4," ","
",
$D$106)</f>
        <v>febrero 
2030</v>
      </c>
      <c r="D108" s="208" t="str">
        <f>CONCATENATE('Prev.Ventas 0'!D4," ","
",
$D$106)</f>
        <v>marzo 
2030</v>
      </c>
      <c r="E108" s="208" t="str">
        <f>CONCATENATE('Prev.Ventas 0'!E4," ","
",
$D$106)</f>
        <v>abril 
2030</v>
      </c>
      <c r="F108" s="208" t="str">
        <f>CONCATENATE('Prev.Ventas 0'!F4," ","
",
$D$106)</f>
        <v>mayo 
2030</v>
      </c>
      <c r="G108" s="208" t="str">
        <f>CONCATENATE('Prev.Ventas 0'!G4," ","
",
$D$106)</f>
        <v>junio 
2030</v>
      </c>
      <c r="H108" s="208" t="str">
        <f>CONCATENATE('Prev.Ventas 0'!H4," ","
",
$D$106)</f>
        <v>julio 
2030</v>
      </c>
      <c r="I108" s="208" t="str">
        <f>CONCATENATE('Prev.Ventas 0'!I4," ","
",
$D$106)</f>
        <v>agosto 
2030</v>
      </c>
      <c r="J108" s="208" t="str">
        <f>CONCATENATE('Prev.Ventas 0'!J4," ","
",
$D$106)</f>
        <v>septiembre 
2030</v>
      </c>
      <c r="K108" s="208" t="str">
        <f>CONCATENATE('Prev.Ventas 0'!K4," ","
",
$D$106)</f>
        <v>octubre 
2030</v>
      </c>
      <c r="L108" s="208" t="str">
        <f>CONCATENATE('Prev.Ventas 0'!L4," ","
",
$D$106)</f>
        <v>noviembre 
2030</v>
      </c>
      <c r="M108" s="208" t="str">
        <f>CONCATENATE('Prev.Ventas 0'!M4," ","
",
$D$106)</f>
        <v>diciembre 
2030</v>
      </c>
      <c r="N108" s="208" t="str">
        <f>CONCATENATE('Prev.Ventas 0'!N4," ","
",
$D$106)</f>
        <v>Totales 
2030</v>
      </c>
    </row>
    <row r="109" spans="1:14" x14ac:dyDescent="0.25">
      <c r="A109" s="209" t="s">
        <v>1025</v>
      </c>
      <c r="B109" s="42"/>
      <c r="C109" s="42"/>
      <c r="D109" s="42"/>
      <c r="E109" s="42"/>
      <c r="F109" s="42"/>
      <c r="G109" s="42"/>
      <c r="H109" s="42"/>
      <c r="I109" s="42"/>
      <c r="J109" s="42"/>
      <c r="K109" s="42"/>
      <c r="L109" s="42"/>
      <c r="M109" s="42"/>
      <c r="N109" s="42">
        <f t="shared" ref="N109:N114" si="21">SUM(B109:M109)</f>
        <v>0</v>
      </c>
    </row>
    <row r="110" spans="1:14" x14ac:dyDescent="0.25">
      <c r="A110" s="210" t="s">
        <v>1026</v>
      </c>
      <c r="B110" s="42"/>
      <c r="C110" s="42"/>
      <c r="D110" s="42"/>
      <c r="E110" s="42"/>
      <c r="F110" s="42"/>
      <c r="G110" s="42"/>
      <c r="H110" s="42">
        <f>Imp.Sociedades!$J$31/2</f>
        <v>0</v>
      </c>
      <c r="I110" s="42"/>
      <c r="J110" s="42"/>
      <c r="K110" s="42"/>
      <c r="L110" s="42"/>
      <c r="M110" s="42">
        <f>Imp.Sociedades!$J$31/2</f>
        <v>0</v>
      </c>
      <c r="N110" s="42">
        <f t="shared" si="21"/>
        <v>0</v>
      </c>
    </row>
    <row r="111" spans="1:14" x14ac:dyDescent="0.25">
      <c r="A111" s="210" t="s">
        <v>1057</v>
      </c>
      <c r="B111" s="42"/>
      <c r="C111" s="42"/>
      <c r="D111" s="42"/>
      <c r="E111" s="42"/>
      <c r="F111" s="42"/>
      <c r="G111" s="42"/>
      <c r="H111" s="42"/>
      <c r="I111" s="42"/>
      <c r="J111" s="42"/>
      <c r="K111" s="42"/>
      <c r="L111" s="42"/>
      <c r="M111" s="42"/>
      <c r="N111" s="42">
        <f t="shared" si="21"/>
        <v>0</v>
      </c>
    </row>
    <row r="112" spans="1:14" x14ac:dyDescent="0.25">
      <c r="A112" s="210" t="s">
        <v>169</v>
      </c>
      <c r="B112" s="42"/>
      <c r="C112" s="42"/>
      <c r="D112" s="42"/>
      <c r="E112" s="42"/>
      <c r="F112" s="42"/>
      <c r="G112" s="42"/>
      <c r="H112" s="42"/>
      <c r="I112" s="42"/>
      <c r="J112" s="42"/>
      <c r="K112" s="42"/>
      <c r="L112" s="42"/>
      <c r="M112" s="42"/>
      <c r="N112" s="42">
        <f t="shared" si="21"/>
        <v>0</v>
      </c>
    </row>
    <row r="113" spans="1:14" x14ac:dyDescent="0.25">
      <c r="A113" s="210" t="s">
        <v>1054</v>
      </c>
      <c r="B113" s="42"/>
      <c r="C113" s="42"/>
      <c r="D113" s="42"/>
      <c r="E113" s="42"/>
      <c r="F113" s="42"/>
      <c r="G113" s="42"/>
      <c r="H113" s="42"/>
      <c r="I113" s="42"/>
      <c r="J113" s="42"/>
      <c r="K113" s="42"/>
      <c r="L113" s="42"/>
      <c r="M113" s="42"/>
      <c r="N113" s="42">
        <f t="shared" si="21"/>
        <v>0</v>
      </c>
    </row>
    <row r="114" spans="1:14" ht="15.75" thickBot="1" x14ac:dyDescent="0.3">
      <c r="A114" s="211" t="s">
        <v>860</v>
      </c>
      <c r="B114" s="212">
        <f t="shared" ref="B114:M114" si="22">SUM(B109:B113)</f>
        <v>0</v>
      </c>
      <c r="C114" s="212">
        <f t="shared" si="22"/>
        <v>0</v>
      </c>
      <c r="D114" s="212">
        <f t="shared" si="22"/>
        <v>0</v>
      </c>
      <c r="E114" s="212">
        <f t="shared" si="22"/>
        <v>0</v>
      </c>
      <c r="F114" s="212">
        <f t="shared" si="22"/>
        <v>0</v>
      </c>
      <c r="G114" s="212">
        <f t="shared" si="22"/>
        <v>0</v>
      </c>
      <c r="H114" s="212">
        <f t="shared" si="22"/>
        <v>0</v>
      </c>
      <c r="I114" s="212">
        <f t="shared" si="22"/>
        <v>0</v>
      </c>
      <c r="J114" s="212">
        <f t="shared" si="22"/>
        <v>0</v>
      </c>
      <c r="K114" s="212">
        <f t="shared" si="22"/>
        <v>0</v>
      </c>
      <c r="L114" s="212">
        <f t="shared" si="22"/>
        <v>0</v>
      </c>
      <c r="M114" s="212">
        <f t="shared" si="22"/>
        <v>0</v>
      </c>
      <c r="N114" s="212">
        <f t="shared" si="21"/>
        <v>0</v>
      </c>
    </row>
  </sheetData>
  <sheetProtection formatCells="0" formatColumns="0"/>
  <phoneticPr fontId="13" type="noConversion"/>
  <printOptions horizontalCentered="1" verticalCentered="1"/>
  <pageMargins left="0.39370078740157483" right="0.39370078740157483" top="0.59055118110236227" bottom="0.59055118110236227" header="0.31496062992125984" footer="0.31496062992125984"/>
  <pageSetup paperSize="9" scale="54" fitToHeight="2" orientation="landscape" horizontalDpi="300" verticalDpi="300" r:id="rId1"/>
  <headerFooter alignWithMargins="0">
    <oddFooter>&amp;A</oddFooter>
  </headerFooter>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7">
    <tabColor rgb="FF2C3138"/>
    <pageSetUpPr fitToPage="1"/>
  </sheetPr>
  <dimension ref="A1:H31"/>
  <sheetViews>
    <sheetView showGridLines="0" workbookViewId="0"/>
  </sheetViews>
  <sheetFormatPr baseColWidth="10" defaultRowHeight="17.25" x14ac:dyDescent="0.3"/>
  <cols>
    <col min="1" max="1" width="5.875" style="307" customWidth="1"/>
    <col min="2" max="2" width="32.125" style="307" customWidth="1"/>
    <col min="3" max="3" width="22.625" style="307" customWidth="1"/>
    <col min="4" max="4" width="6.625" style="307" customWidth="1"/>
    <col min="5" max="5" width="5.75" style="307" customWidth="1"/>
    <col min="6" max="6" width="38.5" style="307" customWidth="1"/>
    <col min="7" max="7" width="19.125" style="307" customWidth="1"/>
    <col min="8" max="16384" width="11" style="307"/>
  </cols>
  <sheetData>
    <row r="1" spans="1:7" ht="27.75" x14ac:dyDescent="0.45">
      <c r="A1" s="315" t="str">
        <f>CONCATENATE("Empresa: ",'Datos Básicos'!$B$8)</f>
        <v xml:space="preserve">Empresa: </v>
      </c>
      <c r="B1" s="316"/>
      <c r="C1" s="316"/>
      <c r="D1" s="316"/>
      <c r="E1" s="316"/>
      <c r="F1" s="316"/>
      <c r="G1" s="315"/>
    </row>
    <row r="2" spans="1:7" ht="25.5" customHeight="1" x14ac:dyDescent="0.3"/>
    <row r="3" spans="1:7" ht="35.25" x14ac:dyDescent="0.55000000000000004">
      <c r="A3" s="918" t="str">
        <f>CONCATENATE("BALANCE INICIAL DEL EJERCICIO ",'Datos Básicos'!B17)</f>
        <v>BALANCE INICIAL DEL EJERCICIO 2026</v>
      </c>
      <c r="B3" s="316"/>
      <c r="C3" s="316"/>
      <c r="D3" s="316"/>
      <c r="E3" s="316"/>
      <c r="F3" s="316"/>
      <c r="G3" s="316"/>
    </row>
    <row r="4" spans="1:7" ht="27.75" x14ac:dyDescent="0.45">
      <c r="A4" s="365"/>
      <c r="D4" s="919" t="str">
        <f>CONCATENATE("a fecha 1 de ",'Datos Básicos'!G19)</f>
        <v>a fecha 1 de enero de 2026</v>
      </c>
    </row>
    <row r="6" spans="1:7" ht="18" thickBot="1" x14ac:dyDescent="0.35"/>
    <row r="7" spans="1:7" ht="24.75" x14ac:dyDescent="0.4">
      <c r="A7" s="537"/>
      <c r="B7" s="920" t="s">
        <v>756</v>
      </c>
      <c r="C7" s="663"/>
      <c r="E7" s="537"/>
      <c r="F7" s="1013" t="s">
        <v>785</v>
      </c>
      <c r="G7" s="663"/>
    </row>
    <row r="8" spans="1:7" x14ac:dyDescent="0.3">
      <c r="A8" s="545"/>
      <c r="C8" s="664"/>
      <c r="E8" s="545"/>
      <c r="G8" s="664"/>
    </row>
    <row r="9" spans="1:7" ht="19.5" x14ac:dyDescent="0.3">
      <c r="A9" s="921" t="s">
        <v>840</v>
      </c>
      <c r="C9" s="922">
        <f>SUM(C11:C16)</f>
        <v>0</v>
      </c>
      <c r="E9" s="921" t="s">
        <v>843</v>
      </c>
      <c r="F9" s="301"/>
      <c r="G9" s="923">
        <f>SUM(G10:G13)</f>
        <v>0</v>
      </c>
    </row>
    <row r="10" spans="1:7" x14ac:dyDescent="0.3">
      <c r="A10" s="950"/>
      <c r="C10" s="925"/>
      <c r="E10" s="545"/>
      <c r="F10" s="307" t="str">
        <f>IF(irpf=0,"Fondo Social","Capital Social")</f>
        <v>Capital Social</v>
      </c>
      <c r="G10" s="926">
        <f>'Financiación Inicial'!B8+'Financiación Inicial'!B9</f>
        <v>0</v>
      </c>
    </row>
    <row r="11" spans="1:7" x14ac:dyDescent="0.3">
      <c r="A11" s="950" t="s">
        <v>848</v>
      </c>
      <c r="C11" s="925">
        <f>Amortizaciones!B8</f>
        <v>0</v>
      </c>
      <c r="E11" s="545"/>
      <c r="F11" s="307" t="s">
        <v>986</v>
      </c>
      <c r="G11" s="928">
        <f>SUM(resprevio)-'Inv. Iniciales ANC'!B69</f>
        <v>0</v>
      </c>
    </row>
    <row r="12" spans="1:7" x14ac:dyDescent="0.3">
      <c r="A12" s="950" t="s">
        <v>776</v>
      </c>
      <c r="C12" s="927">
        <f>-Amortizaciones!C8</f>
        <v>0</v>
      </c>
      <c r="E12" s="545"/>
      <c r="F12" s="307" t="s">
        <v>855</v>
      </c>
      <c r="G12" s="928">
        <f>'Financiación Inicial'!B13</f>
        <v>0</v>
      </c>
    </row>
    <row r="13" spans="1:7" x14ac:dyDescent="0.3">
      <c r="A13" s="950" t="s">
        <v>861</v>
      </c>
      <c r="C13" s="929">
        <f>Amortizaciones!B19</f>
        <v>0</v>
      </c>
      <c r="E13" s="545"/>
      <c r="F13" s="307" t="s">
        <v>856</v>
      </c>
      <c r="G13" s="929">
        <f>'Financiación Inicial'!B14</f>
        <v>0</v>
      </c>
    </row>
    <row r="14" spans="1:7" x14ac:dyDescent="0.3">
      <c r="A14" s="950" t="s">
        <v>777</v>
      </c>
      <c r="C14" s="927">
        <f>-Amortizaciones!C19</f>
        <v>0</v>
      </c>
      <c r="E14" s="545"/>
      <c r="F14" s="307" t="s">
        <v>1030</v>
      </c>
      <c r="G14" s="928">
        <v>0</v>
      </c>
    </row>
    <row r="15" spans="1:7" x14ac:dyDescent="0.3">
      <c r="A15" s="924"/>
      <c r="C15" s="925"/>
      <c r="E15" s="545"/>
      <c r="G15" s="664"/>
    </row>
    <row r="16" spans="1:7" ht="19.5" x14ac:dyDescent="0.3">
      <c r="A16" s="950" t="s">
        <v>778</v>
      </c>
      <c r="C16" s="925">
        <f>'Inv. Iniciales ANC'!B81</f>
        <v>0</v>
      </c>
      <c r="E16" s="921" t="s">
        <v>842</v>
      </c>
      <c r="F16" s="301"/>
      <c r="G16" s="922">
        <f>G17+G21</f>
        <v>0</v>
      </c>
    </row>
    <row r="17" spans="1:8" x14ac:dyDescent="0.3">
      <c r="C17" s="925"/>
      <c r="E17" s="930" t="s">
        <v>885</v>
      </c>
      <c r="F17" s="303"/>
      <c r="G17" s="931">
        <f>SUM(G18:G19)</f>
        <v>0</v>
      </c>
      <c r="H17" s="932"/>
    </row>
    <row r="18" spans="1:8" x14ac:dyDescent="0.3">
      <c r="A18" s="545"/>
      <c r="C18" s="664"/>
      <c r="E18" s="545"/>
      <c r="F18" s="307" t="s">
        <v>138</v>
      </c>
      <c r="G18" s="926">
        <f>'Financiación Inicial'!B18+'Financiación Inicial'!B19</f>
        <v>0</v>
      </c>
      <c r="H18" s="932"/>
    </row>
    <row r="19" spans="1:8" ht="19.5" x14ac:dyDescent="0.3">
      <c r="A19" s="921" t="s">
        <v>841</v>
      </c>
      <c r="C19" s="922">
        <f>SUM(C20:C26)</f>
        <v>0</v>
      </c>
      <c r="E19" s="545"/>
      <c r="F19" s="307" t="s">
        <v>139</v>
      </c>
      <c r="G19" s="926">
        <f>'Financiación Inicial'!B20</f>
        <v>0</v>
      </c>
    </row>
    <row r="20" spans="1:8" x14ac:dyDescent="0.3">
      <c r="A20" s="950" t="s">
        <v>779</v>
      </c>
      <c r="C20" s="925">
        <f>'Inversiones AC'!B7</f>
        <v>0</v>
      </c>
      <c r="E20" s="545"/>
      <c r="G20" s="664"/>
    </row>
    <row r="21" spans="1:8" x14ac:dyDescent="0.3">
      <c r="A21" s="950" t="s">
        <v>780</v>
      </c>
      <c r="C21" s="925">
        <f>'Inversiones AC'!B10</f>
        <v>0</v>
      </c>
      <c r="E21" s="930" t="s">
        <v>858</v>
      </c>
      <c r="F21" s="303"/>
      <c r="G21" s="931">
        <f>SUM(G22:G27)</f>
        <v>0</v>
      </c>
    </row>
    <row r="22" spans="1:8" x14ac:dyDescent="0.3">
      <c r="A22" s="950" t="s">
        <v>781</v>
      </c>
      <c r="C22" s="925">
        <f>'Inversiones AC'!$B$19</f>
        <v>0</v>
      </c>
      <c r="E22" s="545"/>
      <c r="F22" s="307" t="s">
        <v>140</v>
      </c>
      <c r="G22" s="926">
        <f>'Financiación Inicial'!B23+'Financiación Inicial'!B24</f>
        <v>0</v>
      </c>
    </row>
    <row r="23" spans="1:8" x14ac:dyDescent="0.3">
      <c r="A23" s="950" t="s">
        <v>782</v>
      </c>
      <c r="C23" s="925">
        <v>0</v>
      </c>
      <c r="E23" s="545"/>
      <c r="F23" s="307" t="s">
        <v>141</v>
      </c>
      <c r="G23" s="926">
        <f>'Financiación Inicial'!$B$25</f>
        <v>0</v>
      </c>
    </row>
    <row r="24" spans="1:8" x14ac:dyDescent="0.3">
      <c r="A24" s="950" t="s">
        <v>783</v>
      </c>
      <c r="C24" s="925">
        <v>0</v>
      </c>
      <c r="E24" s="545"/>
      <c r="F24" s="307" t="s">
        <v>142</v>
      </c>
      <c r="G24" s="926">
        <f>'Financiación Inicial'!$B$26</f>
        <v>0</v>
      </c>
    </row>
    <row r="25" spans="1:8" x14ac:dyDescent="0.3">
      <c r="A25" s="950" t="s">
        <v>784</v>
      </c>
      <c r="C25" s="925">
        <f>'Inversiones AC'!B17+'Inversiones AC'!B18</f>
        <v>0</v>
      </c>
      <c r="E25" s="545"/>
      <c r="F25" s="307" t="s">
        <v>143</v>
      </c>
      <c r="G25" s="926">
        <f>'Financiación Inicial'!B27</f>
        <v>0</v>
      </c>
    </row>
    <row r="26" spans="1:8" x14ac:dyDescent="0.3">
      <c r="A26" s="950" t="s">
        <v>558</v>
      </c>
      <c r="C26" s="925">
        <f>'Inversiones AC'!B21</f>
        <v>0</v>
      </c>
      <c r="E26" s="545"/>
      <c r="F26" s="307" t="s">
        <v>144</v>
      </c>
      <c r="G26" s="925">
        <v>0</v>
      </c>
    </row>
    <row r="27" spans="1:8" x14ac:dyDescent="0.3">
      <c r="A27" s="545"/>
      <c r="C27" s="664"/>
      <c r="E27" s="545"/>
      <c r="F27" s="307" t="s">
        <v>145</v>
      </c>
      <c r="G27" s="926">
        <f>'Financiación Inicial'!B28</f>
        <v>0</v>
      </c>
    </row>
    <row r="28" spans="1:8" x14ac:dyDescent="0.3">
      <c r="A28" s="545"/>
      <c r="C28" s="664"/>
      <c r="E28" s="545"/>
      <c r="G28" s="664"/>
    </row>
    <row r="29" spans="1:8" ht="20.25" thickBot="1" x14ac:dyDescent="0.35">
      <c r="A29" s="667"/>
      <c r="B29" s="933" t="s">
        <v>854</v>
      </c>
      <c r="C29" s="934">
        <f>C19+C9</f>
        <v>0</v>
      </c>
      <c r="E29" s="667"/>
      <c r="F29" s="933" t="s">
        <v>859</v>
      </c>
      <c r="G29" s="934">
        <f>G16+G9</f>
        <v>0</v>
      </c>
    </row>
    <row r="31" spans="1:8" x14ac:dyDescent="0.3">
      <c r="G31" s="935" t="str">
        <f>IF(ABS(G29-C29)&gt;0.0001,G29-C29,"")</f>
        <v/>
      </c>
    </row>
  </sheetData>
  <sheetProtection sheet="1" objects="1" scenarios="1" formatCells="0" formatColumns="0"/>
  <phoneticPr fontId="13" type="noConversion"/>
  <printOptions horizontalCentered="1"/>
  <pageMargins left="0.75" right="0.75" top="0.42" bottom="1" header="0" footer="0"/>
  <pageSetup paperSize="9" scale="93" orientation="landscape" horizont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65"/>
  <dimension ref="A1:H16"/>
  <sheetViews>
    <sheetView showGridLines="0" workbookViewId="0"/>
  </sheetViews>
  <sheetFormatPr baseColWidth="10" defaultRowHeight="15.75" x14ac:dyDescent="0.25"/>
  <cols>
    <col min="1" max="1" width="22.125" customWidth="1"/>
    <col min="2" max="2" width="15" customWidth="1"/>
    <col min="4" max="4" width="26.25" customWidth="1"/>
    <col min="7" max="7" width="26.625" customWidth="1"/>
  </cols>
  <sheetData>
    <row r="1" spans="1:8" ht="17.25" x14ac:dyDescent="0.3">
      <c r="A1" s="1154" t="s">
        <v>541</v>
      </c>
      <c r="B1" s="1155"/>
      <c r="D1" s="1154" t="s">
        <v>542</v>
      </c>
      <c r="E1" s="1155"/>
      <c r="G1" s="1154" t="s">
        <v>543</v>
      </c>
      <c r="H1" s="1155"/>
    </row>
    <row r="2" spans="1:8" x14ac:dyDescent="0.25">
      <c r="A2" s="1156" t="str">
        <f>'COMP. Balances Anuales'!B5</f>
        <v>enero de 2026</v>
      </c>
      <c r="B2" s="1161">
        <f>'COMP. Balances Anuales'!B7</f>
        <v>0</v>
      </c>
      <c r="D2" s="1156" t="str">
        <f>'COMP. Balances Anuales'!B5</f>
        <v>enero de 2026</v>
      </c>
      <c r="E2" s="1160">
        <f>'COMP. Balances Anuales'!B14</f>
        <v>0</v>
      </c>
      <c r="G2" s="1156" t="str">
        <f>'COMP. Balances Anuales'!B5</f>
        <v>enero de 2026</v>
      </c>
      <c r="H2" s="1157">
        <f>'COMP. Balances Anuales'!B25</f>
        <v>0</v>
      </c>
    </row>
    <row r="3" spans="1:8" x14ac:dyDescent="0.25">
      <c r="A3" s="1156" t="str">
        <f>'COMP. Balances Anuales'!C5</f>
        <v>diciembre 2026</v>
      </c>
      <c r="B3" s="1161">
        <f>'COMP. Balances Anuales'!C7</f>
        <v>0</v>
      </c>
      <c r="D3" s="1156" t="str">
        <f>'COMP. Balances Anuales'!C5</f>
        <v>diciembre 2026</v>
      </c>
      <c r="E3" s="1161">
        <f>'COMP. Balances Anuales'!C14</f>
        <v>2000</v>
      </c>
      <c r="G3" s="1156" t="str">
        <f>'COMP. Balances Anuales'!C5</f>
        <v>diciembre 2026</v>
      </c>
      <c r="H3" s="1157">
        <f>'COMP. Balances Anuales'!C25</f>
        <v>-16362.959468393694</v>
      </c>
    </row>
    <row r="4" spans="1:8" x14ac:dyDescent="0.25">
      <c r="A4" s="1156" t="str">
        <f>'COMP. Balances Anuales'!D5</f>
        <v>diciembre 2027</v>
      </c>
      <c r="B4" s="1161">
        <f>'COMP. Balances Anuales'!D7</f>
        <v>0</v>
      </c>
      <c r="D4" s="1156" t="str">
        <f>'COMP. Balances Anuales'!D5</f>
        <v>diciembre 2027</v>
      </c>
      <c r="E4" s="1161">
        <f>'COMP. Balances Anuales'!D14</f>
        <v>2000</v>
      </c>
      <c r="G4" s="1156" t="str">
        <f>'COMP. Balances Anuales'!D5</f>
        <v>diciembre 2027</v>
      </c>
      <c r="H4" s="1157">
        <f>'COMP. Balances Anuales'!D25</f>
        <v>-34526.489964217515</v>
      </c>
    </row>
    <row r="5" spans="1:8" x14ac:dyDescent="0.25">
      <c r="A5" s="1156" t="str">
        <f>'COMP. Balances Anuales'!E5</f>
        <v>diciembre 2028</v>
      </c>
      <c r="B5" s="1161">
        <f>'COMP. Balances Anuales'!E7</f>
        <v>0</v>
      </c>
      <c r="D5" s="1156" t="str">
        <f>'COMP. Balances Anuales'!E5</f>
        <v>diciembre 2028</v>
      </c>
      <c r="E5" s="1161">
        <f>'COMP. Balances Anuales'!E14</f>
        <v>2000</v>
      </c>
      <c r="G5" s="1156" t="str">
        <f>'COMP. Balances Anuales'!E5</f>
        <v>diciembre 2028</v>
      </c>
      <c r="H5" s="1157">
        <f>'COMP. Balances Anuales'!E25</f>
        <v>-56084.442860921292</v>
      </c>
    </row>
    <row r="6" spans="1:8" x14ac:dyDescent="0.25">
      <c r="A6" s="1156" t="str">
        <f>'COMP. Balances Anuales'!F5</f>
        <v>diciembre 2029</v>
      </c>
      <c r="B6" s="1161">
        <f>'COMP. Balances Anuales'!F7</f>
        <v>0</v>
      </c>
      <c r="D6" s="1156" t="str">
        <f>'COMP. Balances Anuales'!F5</f>
        <v>diciembre 2029</v>
      </c>
      <c r="E6" s="1161">
        <f>'COMP. Balances Anuales'!F14</f>
        <v>2000</v>
      </c>
      <c r="G6" s="1156" t="str">
        <f>'COMP. Balances Anuales'!F5</f>
        <v>diciembre 2029</v>
      </c>
      <c r="H6" s="1157">
        <f>'COMP. Balances Anuales'!F25</f>
        <v>-79855.464496597298</v>
      </c>
    </row>
    <row r="7" spans="1:8" ht="16.5" thickBot="1" x14ac:dyDescent="0.3">
      <c r="A7" s="1158" t="str">
        <f>CONCATENATE(Parametros!$O$57," ",'Datos Básicos'!D17+2)</f>
        <v>diciembre 2030</v>
      </c>
      <c r="B7" s="1162">
        <f>'COMP. Balances Anuales'!G7</f>
        <v>0</v>
      </c>
      <c r="D7" s="1158" t="str">
        <f>CONCATENATE(Parametros!$O$57," ",'Datos Básicos'!D17+2)</f>
        <v>diciembre 2030</v>
      </c>
      <c r="E7" s="1162">
        <f>'COMP. Balances Anuales'!G14</f>
        <v>2000</v>
      </c>
      <c r="G7" s="1158" t="str">
        <f>CONCATENATE(Parametros!$O$57," ",'Datos Básicos'!D17+2)</f>
        <v>diciembre 2030</v>
      </c>
      <c r="H7" s="1159">
        <f>'COMP. Balances Anuales'!G25</f>
        <v>-106025.72349256523</v>
      </c>
    </row>
    <row r="8" spans="1:8" x14ac:dyDescent="0.25">
      <c r="A8" s="1153"/>
    </row>
    <row r="9" spans="1:8" ht="16.5" thickBot="1" x14ac:dyDescent="0.3">
      <c r="A9" s="1153"/>
    </row>
    <row r="10" spans="1:8" ht="17.25" x14ac:dyDescent="0.3">
      <c r="A10" s="1154" t="s">
        <v>544</v>
      </c>
      <c r="B10" s="1155"/>
      <c r="D10" s="1154" t="s">
        <v>545</v>
      </c>
      <c r="E10" s="1155"/>
    </row>
    <row r="11" spans="1:8" x14ac:dyDescent="0.25">
      <c r="A11" s="1156" t="str">
        <f>'COMP. Balances Anuales'!B5</f>
        <v>enero de 2026</v>
      </c>
      <c r="B11" s="1157">
        <f>'COMP. Balances Anuales'!B32</f>
        <v>0</v>
      </c>
      <c r="D11" s="1156" t="str">
        <f>'COMP. Balances Anuales'!B5</f>
        <v>enero de 2026</v>
      </c>
      <c r="E11" s="1157">
        <f>'COMP. Balances Anuales'!B36</f>
        <v>0</v>
      </c>
    </row>
    <row r="12" spans="1:8" x14ac:dyDescent="0.25">
      <c r="A12" s="1156" t="str">
        <f>'COMP. Balances Anuales'!C5</f>
        <v>diciembre 2026</v>
      </c>
      <c r="B12" s="1157">
        <f>'COMP. Balances Anuales'!C32</f>
        <v>0</v>
      </c>
      <c r="D12" s="1156" t="str">
        <f>'COMP. Balances Anuales'!C5</f>
        <v>diciembre 2026</v>
      </c>
      <c r="E12" s="1157">
        <f>'COMP. Balances Anuales'!C36</f>
        <v>18362.959468393696</v>
      </c>
    </row>
    <row r="13" spans="1:8" x14ac:dyDescent="0.25">
      <c r="A13" s="1156" t="str">
        <f>'COMP. Balances Anuales'!D5</f>
        <v>diciembre 2027</v>
      </c>
      <c r="B13" s="1157">
        <f>'COMP. Balances Anuales'!D32</f>
        <v>0</v>
      </c>
      <c r="D13" s="1156" t="str">
        <f>'COMP. Balances Anuales'!D5</f>
        <v>diciembre 2027</v>
      </c>
      <c r="E13" s="1157">
        <f>'COMP. Balances Anuales'!D36</f>
        <v>36526.489964217515</v>
      </c>
    </row>
    <row r="14" spans="1:8" x14ac:dyDescent="0.25">
      <c r="A14" s="1156" t="str">
        <f>'COMP. Balances Anuales'!E5</f>
        <v>diciembre 2028</v>
      </c>
      <c r="B14" s="1157">
        <f>'COMP. Balances Anuales'!E32</f>
        <v>0</v>
      </c>
      <c r="D14" s="1156" t="str">
        <f>'COMP. Balances Anuales'!E5</f>
        <v>diciembre 2028</v>
      </c>
      <c r="E14" s="1157">
        <f>'COMP. Balances Anuales'!E36</f>
        <v>58084.442860921285</v>
      </c>
    </row>
    <row r="15" spans="1:8" x14ac:dyDescent="0.25">
      <c r="A15" s="1156" t="str">
        <f>'COMP. Balances Anuales'!F5</f>
        <v>diciembre 2029</v>
      </c>
      <c r="B15" s="1157">
        <f>'COMP. Balances Anuales'!F32</f>
        <v>0</v>
      </c>
      <c r="D15" s="1156" t="str">
        <f>'COMP. Balances Anuales'!F5</f>
        <v>diciembre 2029</v>
      </c>
      <c r="E15" s="1157">
        <f>'COMP. Balances Anuales'!F36</f>
        <v>81855.464496597284</v>
      </c>
    </row>
    <row r="16" spans="1:8" ht="16.5" thickBot="1" x14ac:dyDescent="0.3">
      <c r="A16" s="1158" t="str">
        <f>CONCATENATE(Parametros!$O$57," ",'Datos Básicos'!D17+2)</f>
        <v>diciembre 2030</v>
      </c>
      <c r="B16" s="1159">
        <f>'COMP. Balances Anuales'!G32</f>
        <v>0</v>
      </c>
      <c r="D16" s="1158" t="str">
        <f>CONCATENATE(Parametros!$O$57," ",'Datos Básicos'!D17+2)</f>
        <v>diciembre 2030</v>
      </c>
      <c r="E16" s="1159">
        <f>'COMP. Balances Anuales'!G36</f>
        <v>108025.72349256522</v>
      </c>
    </row>
  </sheetData>
  <phoneticPr fontId="13" type="noConversion"/>
  <pageMargins left="0.75" right="0.75" top="1" bottom="1" header="0" footer="0"/>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66"/>
  <dimension ref="A1:FX1728"/>
  <sheetViews>
    <sheetView showGridLines="0" workbookViewId="0"/>
  </sheetViews>
  <sheetFormatPr baseColWidth="10" defaultRowHeight="17.25" x14ac:dyDescent="0.3"/>
  <cols>
    <col min="1" max="1" width="38.875" style="303" customWidth="1"/>
    <col min="2" max="2" width="14.625" style="307" bestFit="1" customWidth="1"/>
    <col min="3" max="7" width="16.25" style="307" bestFit="1" customWidth="1"/>
    <col min="8" max="8" width="14.125" style="1559" customWidth="1"/>
    <col min="9" max="9" width="21.625" style="1559" bestFit="1" customWidth="1"/>
    <col min="10" max="180" width="11" style="1559"/>
    <col min="181" max="16384" width="11" style="307"/>
  </cols>
  <sheetData>
    <row r="1" spans="1:10" ht="30" customHeight="1" x14ac:dyDescent="0.45">
      <c r="A1" s="1205" t="s">
        <v>1078</v>
      </c>
      <c r="B1" s="1551"/>
      <c r="C1" s="1551"/>
      <c r="D1" s="1551"/>
      <c r="E1" s="1434"/>
      <c r="F1" s="1434"/>
      <c r="G1" s="1434"/>
      <c r="H1" s="1567"/>
    </row>
    <row r="2" spans="1:10" s="1559" customFormat="1" ht="27.75" x14ac:dyDescent="0.45">
      <c r="A2" s="1560">
        <f>'Datos Básicos'!B8</f>
        <v>0</v>
      </c>
      <c r="B2" s="1562"/>
      <c r="C2" s="1563"/>
      <c r="D2" s="1563"/>
      <c r="E2" s="1563"/>
      <c r="F2" s="1563"/>
      <c r="G2" s="1563"/>
      <c r="H2" s="1564"/>
      <c r="I2" s="1565"/>
      <c r="J2" s="1566"/>
    </row>
    <row r="3" spans="1:10" s="1559" customFormat="1" ht="27.75" x14ac:dyDescent="0.45">
      <c r="A3" s="1560"/>
      <c r="B3" s="1562"/>
      <c r="C3" s="1563"/>
      <c r="D3" s="1563"/>
      <c r="E3" s="1563"/>
      <c r="F3" s="1563"/>
      <c r="G3" s="1563"/>
      <c r="H3" s="1564"/>
    </row>
    <row r="4" spans="1:10" s="1559" customFormat="1" ht="28.5" thickBot="1" x14ac:dyDescent="0.5">
      <c r="A4" s="1560"/>
      <c r="B4" s="1562"/>
      <c r="C4" s="1563"/>
      <c r="D4" s="1563"/>
      <c r="E4" s="1563"/>
      <c r="F4" s="1563"/>
      <c r="G4" s="1563"/>
      <c r="H4" s="1564"/>
    </row>
    <row r="5" spans="1:10" x14ac:dyDescent="0.3">
      <c r="B5" s="1627" t="str">
        <f>'Datos Básicos'!G19</f>
        <v>enero de 2026</v>
      </c>
      <c r="C5" s="1627" t="str">
        <f>CONCATENATE(Parametros!$O$57," ",'Datos Básicos'!B17)</f>
        <v>diciembre 2026</v>
      </c>
      <c r="D5" s="1627" t="str">
        <f>CONCATENATE(Parametros!$O$57," ",'Datos Básicos'!C17)</f>
        <v>diciembre 2027</v>
      </c>
      <c r="E5" s="1627" t="str">
        <f>CONCATENATE(Parametros!$O$57," ",'Datos Básicos'!D17)</f>
        <v>diciembre 2028</v>
      </c>
      <c r="F5" s="1627" t="str">
        <f>CONCATENATE(Parametros!$O$57," ",'Datos Básicos'!D17+1)</f>
        <v>diciembre 2029</v>
      </c>
      <c r="G5" s="2106" t="str">
        <f>CONCATENATE(Parametros!$O$57," ",'Datos Básicos'!D17+2)</f>
        <v>diciembre 2030</v>
      </c>
      <c r="H5" s="1568"/>
    </row>
    <row r="6" spans="1:10" ht="18" thickBot="1" x14ac:dyDescent="0.35">
      <c r="A6" s="1556"/>
      <c r="B6" s="1624" t="s">
        <v>152</v>
      </c>
      <c r="C6" s="1625" t="str">
        <f>$B$6</f>
        <v>Importe</v>
      </c>
      <c r="D6" s="1625" t="str">
        <f>$B$6</f>
        <v>Importe</v>
      </c>
      <c r="E6" s="1625" t="str">
        <f>$B$6</f>
        <v>Importe</v>
      </c>
      <c r="F6" s="1625" t="str">
        <f>$B$6</f>
        <v>Importe</v>
      </c>
      <c r="G6" s="1626" t="str">
        <f>$B$6</f>
        <v>Importe</v>
      </c>
      <c r="H6" s="1569"/>
    </row>
    <row r="7" spans="1:10" x14ac:dyDescent="0.3">
      <c r="A7" s="2110" t="s">
        <v>1116</v>
      </c>
      <c r="B7" s="1598">
        <f t="shared" ref="B7:G7" si="0">SUM(B8:B13)</f>
        <v>0</v>
      </c>
      <c r="C7" s="1598">
        <f t="shared" si="0"/>
        <v>0</v>
      </c>
      <c r="D7" s="1598">
        <f t="shared" si="0"/>
        <v>0</v>
      </c>
      <c r="E7" s="1598">
        <f t="shared" si="0"/>
        <v>0</v>
      </c>
      <c r="F7" s="1598">
        <f t="shared" si="0"/>
        <v>0</v>
      </c>
      <c r="G7" s="2107">
        <f t="shared" si="0"/>
        <v>0</v>
      </c>
      <c r="H7" s="1570"/>
    </row>
    <row r="8" spans="1:10" x14ac:dyDescent="0.3">
      <c r="A8" s="1583" t="s">
        <v>828</v>
      </c>
      <c r="B8" s="1601">
        <f>'Balances anuales'!B8-'REAL Balances Anuales'!B8</f>
        <v>0</v>
      </c>
      <c r="C8" s="1601">
        <f>'Balances anuales'!D8-'REAL Balances Anuales'!D8</f>
        <v>0</v>
      </c>
      <c r="D8" s="1601">
        <f>'Balances anuales'!F8-'REAL Balances Anuales'!F8</f>
        <v>0</v>
      </c>
      <c r="E8" s="1601">
        <f>'Balances anuales'!H8-'REAL Balances Anuales'!H8</f>
        <v>0</v>
      </c>
      <c r="F8" s="1601">
        <f>'Balances anuales'!J8-'REAL Balances Anuales'!J8</f>
        <v>0</v>
      </c>
      <c r="G8" s="2099">
        <f>'Balances anuales'!L8-'REAL Balances Anuales'!L8</f>
        <v>0</v>
      </c>
      <c r="H8" s="1558"/>
    </row>
    <row r="9" spans="1:10" x14ac:dyDescent="0.3">
      <c r="A9" s="1587" t="s">
        <v>822</v>
      </c>
      <c r="B9" s="1601">
        <f>'Balances anuales'!B9-'REAL Balances Anuales'!B9</f>
        <v>0</v>
      </c>
      <c r="C9" s="1601">
        <f>'Balances anuales'!D9-'REAL Balances Anuales'!D9</f>
        <v>0</v>
      </c>
      <c r="D9" s="1601">
        <f>'Balances anuales'!F9-'REAL Balances Anuales'!F9</f>
        <v>0</v>
      </c>
      <c r="E9" s="1601">
        <f>'Balances anuales'!H9-'REAL Balances Anuales'!H9</f>
        <v>0</v>
      </c>
      <c r="F9" s="1601">
        <f>'Balances anuales'!J9-'REAL Balances Anuales'!J9</f>
        <v>0</v>
      </c>
      <c r="G9" s="2099">
        <f>'Balances anuales'!L9-'REAL Balances Anuales'!L9</f>
        <v>0</v>
      </c>
      <c r="H9" s="1558"/>
    </row>
    <row r="10" spans="1:10" x14ac:dyDescent="0.3">
      <c r="A10" s="1583" t="s">
        <v>827</v>
      </c>
      <c r="B10" s="1601">
        <f>'Balances anuales'!B10-'REAL Balances Anuales'!B10</f>
        <v>0</v>
      </c>
      <c r="C10" s="1601">
        <f>'Balances anuales'!D10-'REAL Balances Anuales'!D10</f>
        <v>0</v>
      </c>
      <c r="D10" s="1601">
        <f>'Balances anuales'!F10-'REAL Balances Anuales'!F10</f>
        <v>0</v>
      </c>
      <c r="E10" s="1601">
        <f>'Balances anuales'!H10-'REAL Balances Anuales'!H10</f>
        <v>0</v>
      </c>
      <c r="F10" s="1601">
        <f>'Balances anuales'!J10-'REAL Balances Anuales'!J10</f>
        <v>0</v>
      </c>
      <c r="G10" s="2099">
        <f>'Balances anuales'!L10-'REAL Balances Anuales'!L10</f>
        <v>0</v>
      </c>
      <c r="H10" s="1558"/>
    </row>
    <row r="11" spans="1:10" x14ac:dyDescent="0.3">
      <c r="A11" s="1587" t="s">
        <v>826</v>
      </c>
      <c r="B11" s="1601">
        <f>'Balances anuales'!B11-'REAL Balances Anuales'!B11</f>
        <v>0</v>
      </c>
      <c r="C11" s="1601">
        <f>'Balances anuales'!D11-'REAL Balances Anuales'!D11</f>
        <v>0</v>
      </c>
      <c r="D11" s="1601">
        <f>'Balances anuales'!F11-'REAL Balances Anuales'!F11</f>
        <v>0</v>
      </c>
      <c r="E11" s="1601">
        <f>'Balances anuales'!H11-'REAL Balances Anuales'!H11</f>
        <v>0</v>
      </c>
      <c r="F11" s="1601">
        <f>'Balances anuales'!J11-'REAL Balances Anuales'!J11</f>
        <v>0</v>
      </c>
      <c r="G11" s="2099">
        <f>'Balances anuales'!L11-'REAL Balances Anuales'!L11</f>
        <v>0</v>
      </c>
      <c r="H11" s="1558"/>
    </row>
    <row r="12" spans="1:10" x14ac:dyDescent="0.3">
      <c r="A12" s="1583" t="s">
        <v>271</v>
      </c>
      <c r="B12" s="1601">
        <f>'Balances anuales'!B12-'REAL Balances Anuales'!B12</f>
        <v>0</v>
      </c>
      <c r="C12" s="1601">
        <f>'Balances anuales'!D12-'REAL Balances Anuales'!D12</f>
        <v>0</v>
      </c>
      <c r="D12" s="1601">
        <f>'Balances anuales'!F12-'REAL Balances Anuales'!F12</f>
        <v>0</v>
      </c>
      <c r="E12" s="1601">
        <f>'Balances anuales'!H12-'REAL Balances Anuales'!H12</f>
        <v>0</v>
      </c>
      <c r="F12" s="1601">
        <f>'Balances anuales'!J12-'REAL Balances Anuales'!J12</f>
        <v>0</v>
      </c>
      <c r="G12" s="2099">
        <f>'Balances anuales'!L12-'REAL Balances Anuales'!L12</f>
        <v>0</v>
      </c>
      <c r="H12" s="1558"/>
    </row>
    <row r="13" spans="1:10" x14ac:dyDescent="0.3">
      <c r="A13" s="1579"/>
      <c r="B13" s="1557"/>
      <c r="C13" s="1557"/>
      <c r="D13" s="1557"/>
      <c r="E13" s="1557"/>
      <c r="F13" s="1557"/>
      <c r="G13" s="2108"/>
      <c r="H13" s="1558"/>
    </row>
    <row r="14" spans="1:10" x14ac:dyDescent="0.3">
      <c r="A14" s="1588" t="s">
        <v>844</v>
      </c>
      <c r="B14" s="1601">
        <f t="shared" ref="B14:G14" si="1">SUM(B15:B22)</f>
        <v>0</v>
      </c>
      <c r="C14" s="1604">
        <f t="shared" si="1"/>
        <v>2000</v>
      </c>
      <c r="D14" s="1604">
        <f t="shared" si="1"/>
        <v>2000</v>
      </c>
      <c r="E14" s="1604">
        <f t="shared" si="1"/>
        <v>2000</v>
      </c>
      <c r="F14" s="1604">
        <f t="shared" si="1"/>
        <v>2000</v>
      </c>
      <c r="G14" s="2109">
        <f t="shared" si="1"/>
        <v>2000</v>
      </c>
      <c r="H14" s="1570"/>
    </row>
    <row r="15" spans="1:10" x14ac:dyDescent="0.3">
      <c r="A15" s="1583" t="s">
        <v>272</v>
      </c>
      <c r="B15" s="1601">
        <f>'Balances anuales'!B15-'REAL Balances Anuales'!B15</f>
        <v>0</v>
      </c>
      <c r="C15" s="1601">
        <f>'Balances anuales'!D15-'REAL Balances Anuales'!D15</f>
        <v>0</v>
      </c>
      <c r="D15" s="1601">
        <f>'Balances anuales'!F15-'REAL Balances Anuales'!F15</f>
        <v>0</v>
      </c>
      <c r="E15" s="1601">
        <f>'Balances anuales'!H15-'REAL Balances Anuales'!H15</f>
        <v>0</v>
      </c>
      <c r="F15" s="1601">
        <f>'Balances anuales'!J15-'REAL Balances Anuales'!J15</f>
        <v>0</v>
      </c>
      <c r="G15" s="2099">
        <f>'Balances anuales'!L15-'REAL Balances Anuales'!L15</f>
        <v>0</v>
      </c>
      <c r="H15" s="1558"/>
    </row>
    <row r="16" spans="1:10" x14ac:dyDescent="0.3">
      <c r="A16" s="1583" t="s">
        <v>894</v>
      </c>
      <c r="B16" s="1601">
        <f>'Balances anuales'!B16-'REAL Balances Anuales'!B16</f>
        <v>0</v>
      </c>
      <c r="C16" s="1601">
        <f>'Balances anuales'!D16-'REAL Balances Anuales'!D16</f>
        <v>0</v>
      </c>
      <c r="D16" s="1601">
        <f>'Balances anuales'!F16-'REAL Balances Anuales'!F16</f>
        <v>0</v>
      </c>
      <c r="E16" s="1601">
        <f>'Balances anuales'!H16-'REAL Balances Anuales'!H16</f>
        <v>0</v>
      </c>
      <c r="F16" s="1601">
        <f>'Balances anuales'!J16-'REAL Balances Anuales'!J16</f>
        <v>0</v>
      </c>
      <c r="G16" s="2099">
        <f>'Balances anuales'!L16-'REAL Balances Anuales'!L16</f>
        <v>0</v>
      </c>
      <c r="H16" s="1558"/>
    </row>
    <row r="17" spans="1:8" x14ac:dyDescent="0.3">
      <c r="A17" s="1583" t="s">
        <v>1002</v>
      </c>
      <c r="B17" s="1601">
        <f>'Balances anuales'!B17-'REAL Balances Anuales'!B17</f>
        <v>0</v>
      </c>
      <c r="C17" s="1601">
        <f>'Balances anuales'!D17-'REAL Balances Anuales'!D17</f>
        <v>0</v>
      </c>
      <c r="D17" s="1601">
        <f>'Balances anuales'!F17-'REAL Balances Anuales'!F17</f>
        <v>0</v>
      </c>
      <c r="E17" s="1601">
        <f>'Balances anuales'!H17-'REAL Balances Anuales'!H17</f>
        <v>0</v>
      </c>
      <c r="F17" s="1601">
        <f>'Balances anuales'!J17-'REAL Balances Anuales'!J17</f>
        <v>0</v>
      </c>
      <c r="G17" s="2099">
        <f>'Balances anuales'!L17-'REAL Balances Anuales'!L17</f>
        <v>0</v>
      </c>
      <c r="H17" s="1558"/>
    </row>
    <row r="18" spans="1:8" x14ac:dyDescent="0.3">
      <c r="A18" s="1583" t="s">
        <v>114</v>
      </c>
      <c r="B18" s="1601">
        <f>'Balances anuales'!B18-'REAL Balances Anuales'!B18</f>
        <v>0</v>
      </c>
      <c r="C18" s="1601">
        <f>'Balances anuales'!D18-'REAL Balances Anuales'!D18</f>
        <v>0</v>
      </c>
      <c r="D18" s="1601">
        <f>'Balances anuales'!F18-'REAL Balances Anuales'!F18</f>
        <v>0</v>
      </c>
      <c r="E18" s="1601">
        <f>'Balances anuales'!H18-'REAL Balances Anuales'!H18</f>
        <v>0</v>
      </c>
      <c r="F18" s="1601">
        <f>'Balances anuales'!J18-'REAL Balances Anuales'!J18</f>
        <v>0</v>
      </c>
      <c r="G18" s="2099">
        <f>'Balances anuales'!L18-'REAL Balances Anuales'!L18</f>
        <v>0</v>
      </c>
      <c r="H18" s="1558"/>
    </row>
    <row r="19" spans="1:8" x14ac:dyDescent="0.3">
      <c r="A19" s="1583" t="s">
        <v>1046</v>
      </c>
      <c r="B19" s="1601">
        <f>'Balances anuales'!B19-'REAL Balances Anuales'!B19</f>
        <v>0</v>
      </c>
      <c r="C19" s="1601">
        <f>'Balances anuales'!D19-'REAL Balances Anuales'!D19</f>
        <v>0</v>
      </c>
      <c r="D19" s="1601">
        <f>'Balances anuales'!F19-'REAL Balances Anuales'!F19</f>
        <v>0</v>
      </c>
      <c r="E19" s="1601">
        <f>'Balances anuales'!H19-'REAL Balances Anuales'!H19</f>
        <v>0</v>
      </c>
      <c r="F19" s="1601">
        <f>'Balances anuales'!J19-'REAL Balances Anuales'!J19</f>
        <v>0</v>
      </c>
      <c r="G19" s="2099">
        <f>'Balances anuales'!L19-'REAL Balances Anuales'!L19</f>
        <v>0</v>
      </c>
      <c r="H19" s="1558"/>
    </row>
    <row r="20" spans="1:8" x14ac:dyDescent="0.3">
      <c r="A20" s="1583" t="s">
        <v>1001</v>
      </c>
      <c r="B20" s="1601">
        <f>'Balances anuales'!B20-'REAL Balances Anuales'!B20</f>
        <v>0</v>
      </c>
      <c r="C20" s="1601">
        <f>'Balances anuales'!D20-'REAL Balances Anuales'!D20</f>
        <v>0</v>
      </c>
      <c r="D20" s="1601">
        <f>'Balances anuales'!F20-'REAL Balances Anuales'!F20</f>
        <v>0</v>
      </c>
      <c r="E20" s="1601">
        <f>'Balances anuales'!H20-'REAL Balances Anuales'!H20</f>
        <v>0</v>
      </c>
      <c r="F20" s="1601">
        <f>'Balances anuales'!J20-'REAL Balances Anuales'!J20</f>
        <v>0</v>
      </c>
      <c r="G20" s="2099">
        <f>'Balances anuales'!L20-'REAL Balances Anuales'!L20</f>
        <v>0</v>
      </c>
      <c r="H20" s="1558"/>
    </row>
    <row r="21" spans="1:8" x14ac:dyDescent="0.3">
      <c r="A21" s="1583" t="s">
        <v>895</v>
      </c>
      <c r="B21" s="1601">
        <f>'Balances anuales'!B21-'REAL Balances Anuales'!B21</f>
        <v>0</v>
      </c>
      <c r="C21" s="1601">
        <f>'Balances anuales'!D21-'REAL Balances Anuales'!D21</f>
        <v>2000</v>
      </c>
      <c r="D21" s="1601">
        <f>'Balances anuales'!F21-'REAL Balances Anuales'!F21</f>
        <v>2000</v>
      </c>
      <c r="E21" s="1601">
        <f>'Balances anuales'!H21-'REAL Balances Anuales'!H21</f>
        <v>2000</v>
      </c>
      <c r="F21" s="1601">
        <f>'Balances anuales'!J21-'REAL Balances Anuales'!J21</f>
        <v>2000</v>
      </c>
      <c r="G21" s="2099">
        <f>'Balances anuales'!L21-'REAL Balances Anuales'!L21</f>
        <v>2000</v>
      </c>
      <c r="H21" s="1558"/>
    </row>
    <row r="22" spans="1:8" x14ac:dyDescent="0.3">
      <c r="A22" s="1579"/>
      <c r="B22" s="1557"/>
      <c r="C22" s="1557"/>
      <c r="D22" s="1557"/>
      <c r="E22" s="1557"/>
      <c r="F22" s="1557"/>
      <c r="G22" s="2108"/>
      <c r="H22" s="1558"/>
    </row>
    <row r="23" spans="1:8" ht="20.25" thickBot="1" x14ac:dyDescent="0.35">
      <c r="A23" s="2111" t="s">
        <v>854</v>
      </c>
      <c r="B23" s="2112">
        <f t="shared" ref="B23:G23" si="2">B7+B14</f>
        <v>0</v>
      </c>
      <c r="C23" s="2112">
        <f t="shared" si="2"/>
        <v>2000</v>
      </c>
      <c r="D23" s="2112">
        <f t="shared" si="2"/>
        <v>2000</v>
      </c>
      <c r="E23" s="2112">
        <f t="shared" si="2"/>
        <v>2000</v>
      </c>
      <c r="F23" s="2112">
        <f t="shared" si="2"/>
        <v>2000</v>
      </c>
      <c r="G23" s="2113">
        <f t="shared" si="2"/>
        <v>2000</v>
      </c>
      <c r="H23" s="1571"/>
    </row>
    <row r="24" spans="1:8" s="1559" customFormat="1" ht="33" customHeight="1" thickBot="1" x14ac:dyDescent="0.35">
      <c r="A24" s="1556"/>
      <c r="B24" s="1557"/>
      <c r="C24" s="1557"/>
      <c r="D24" s="1557"/>
      <c r="E24" s="1557"/>
      <c r="F24" s="1557"/>
      <c r="G24" s="1557"/>
      <c r="H24" s="1558"/>
    </row>
    <row r="25" spans="1:8" x14ac:dyDescent="0.3">
      <c r="A25" s="1608" t="s">
        <v>1117</v>
      </c>
      <c r="B25" s="1609">
        <f t="shared" ref="B25:G25" si="3">SUM(B26:B31)</f>
        <v>0</v>
      </c>
      <c r="C25" s="1609">
        <f t="shared" si="3"/>
        <v>-16362.959468393694</v>
      </c>
      <c r="D25" s="1609">
        <f t="shared" si="3"/>
        <v>-34526.489964217515</v>
      </c>
      <c r="E25" s="1609">
        <f t="shared" si="3"/>
        <v>-56084.442860921292</v>
      </c>
      <c r="F25" s="1609">
        <f t="shared" si="3"/>
        <v>-79855.464496597298</v>
      </c>
      <c r="G25" s="2098">
        <f t="shared" si="3"/>
        <v>-106025.72349256523</v>
      </c>
      <c r="H25" s="1572"/>
    </row>
    <row r="26" spans="1:8" x14ac:dyDescent="0.3">
      <c r="A26" s="1612" t="str">
        <f>IF(irpf=0,"Capital Social","Fondo Social")</f>
        <v>Fondo Social</v>
      </c>
      <c r="B26" s="1601">
        <f>'Balances anuales'!B26-'REAL Balances Anuales'!B26</f>
        <v>0</v>
      </c>
      <c r="C26" s="1601">
        <f>'Balances anuales'!D26-'REAL Balances Anuales'!D26</f>
        <v>0</v>
      </c>
      <c r="D26" s="1601">
        <f>'Balances anuales'!F26-'REAL Balances Anuales'!F26</f>
        <v>0</v>
      </c>
      <c r="E26" s="1601">
        <f>'Balances anuales'!H26-'REAL Balances Anuales'!H26</f>
        <v>0</v>
      </c>
      <c r="F26" s="1601">
        <f>'Balances anuales'!J26-'REAL Balances Anuales'!J26</f>
        <v>0</v>
      </c>
      <c r="G26" s="2099">
        <f>'Balances anuales'!L26-'REAL Balances Anuales'!L26</f>
        <v>0</v>
      </c>
      <c r="H26" s="1558"/>
    </row>
    <row r="27" spans="1:8" x14ac:dyDescent="0.3">
      <c r="A27" s="1613" t="s">
        <v>941</v>
      </c>
      <c r="B27" s="1601">
        <f>'Balances anuales'!B27-'REAL Balances Anuales'!B27</f>
        <v>0</v>
      </c>
      <c r="C27" s="1601">
        <f>'Balances anuales'!D27-'REAL Balances Anuales'!D27</f>
        <v>0</v>
      </c>
      <c r="D27" s="1601">
        <f>'Balances anuales'!F27-'REAL Balances Anuales'!F27</f>
        <v>-16362.959468393694</v>
      </c>
      <c r="E27" s="1601">
        <f>'Balances anuales'!H27-'REAL Balances Anuales'!H27</f>
        <v>-34526.489964217515</v>
      </c>
      <c r="F27" s="1601">
        <f>'Balances anuales'!J27-'REAL Balances Anuales'!J27</f>
        <v>-56084.442860921292</v>
      </c>
      <c r="G27" s="2099">
        <f>'Balances anuales'!L27-'REAL Balances Anuales'!L27</f>
        <v>-79855.464496597298</v>
      </c>
      <c r="H27" s="1558"/>
    </row>
    <row r="28" spans="1:8" x14ac:dyDescent="0.3">
      <c r="A28" s="1613" t="s">
        <v>1003</v>
      </c>
      <c r="B28" s="1601">
        <f>'Balances anuales'!B28-'REAL Balances Anuales'!B28</f>
        <v>0</v>
      </c>
      <c r="C28" s="1601">
        <f>'Balances anuales'!D28-'REAL Balances Anuales'!D28</f>
        <v>0</v>
      </c>
      <c r="D28" s="1601">
        <f>'Balances anuales'!F28-'REAL Balances Anuales'!F28</f>
        <v>0</v>
      </c>
      <c r="E28" s="1601">
        <f>'Balances anuales'!H28-'REAL Balances Anuales'!H28</f>
        <v>0</v>
      </c>
      <c r="F28" s="1601">
        <f>'Balances anuales'!J28-'REAL Balances Anuales'!J28</f>
        <v>0</v>
      </c>
      <c r="G28" s="2099">
        <f>'Balances anuales'!L28-'REAL Balances Anuales'!L28</f>
        <v>0</v>
      </c>
      <c r="H28" s="1558"/>
    </row>
    <row r="29" spans="1:8" x14ac:dyDescent="0.3">
      <c r="A29" s="1613" t="s">
        <v>1004</v>
      </c>
      <c r="B29" s="1601">
        <f>'Balances anuales'!B29-'REAL Balances Anuales'!B29</f>
        <v>0</v>
      </c>
      <c r="C29" s="1601">
        <f>'Balances anuales'!D29-'REAL Balances Anuales'!D29</f>
        <v>0</v>
      </c>
      <c r="D29" s="1601">
        <f>'Balances anuales'!F29-'REAL Balances Anuales'!F29</f>
        <v>0</v>
      </c>
      <c r="E29" s="1601">
        <f>'Balances anuales'!H29-'REAL Balances Anuales'!H29</f>
        <v>0</v>
      </c>
      <c r="F29" s="1601">
        <f>'Balances anuales'!J29-'REAL Balances Anuales'!J29</f>
        <v>0</v>
      </c>
      <c r="G29" s="2099">
        <f>'Balances anuales'!L29-'REAL Balances Anuales'!L29</f>
        <v>0</v>
      </c>
      <c r="H29" s="1558"/>
    </row>
    <row r="30" spans="1:8" x14ac:dyDescent="0.3">
      <c r="A30" s="1613" t="s">
        <v>1034</v>
      </c>
      <c r="B30" s="1601">
        <f>'Balances anuales'!B30-'REAL Balances Anuales'!B30</f>
        <v>0</v>
      </c>
      <c r="C30" s="1601">
        <f>'Balances anuales'!D30-'REAL Balances Anuales'!D30</f>
        <v>-16362.959468393694</v>
      </c>
      <c r="D30" s="1601">
        <f>'Balances anuales'!F30-'REAL Balances Anuales'!F30</f>
        <v>-18163.530495823823</v>
      </c>
      <c r="E30" s="1601">
        <f>'Balances anuales'!H30-'REAL Balances Anuales'!H30</f>
        <v>-21557.95289670378</v>
      </c>
      <c r="F30" s="1601">
        <f>'Balances anuales'!J30-'REAL Balances Anuales'!J30</f>
        <v>-23771.021635676007</v>
      </c>
      <c r="G30" s="2099">
        <f>'Balances anuales'!L30-'REAL Balances Anuales'!L30</f>
        <v>-26170.258995967932</v>
      </c>
      <c r="H30" s="1558"/>
    </row>
    <row r="31" spans="1:8" ht="16.5" customHeight="1" x14ac:dyDescent="0.3">
      <c r="A31" s="1614"/>
      <c r="B31" s="1868"/>
      <c r="C31" s="1868"/>
      <c r="D31" s="1868"/>
      <c r="E31" s="1868"/>
      <c r="F31" s="1868"/>
      <c r="G31" s="2100"/>
      <c r="H31" s="1558"/>
    </row>
    <row r="32" spans="1:8" x14ac:dyDescent="0.3">
      <c r="A32" s="1615" t="s">
        <v>1118</v>
      </c>
      <c r="B32" s="1870">
        <f t="shared" ref="B32:G32" si="4">SUM(B33:B34)</f>
        <v>0</v>
      </c>
      <c r="C32" s="1870">
        <f t="shared" si="4"/>
        <v>0</v>
      </c>
      <c r="D32" s="1870">
        <f t="shared" si="4"/>
        <v>0</v>
      </c>
      <c r="E32" s="1870">
        <f t="shared" si="4"/>
        <v>0</v>
      </c>
      <c r="F32" s="1870">
        <f t="shared" si="4"/>
        <v>0</v>
      </c>
      <c r="G32" s="2101">
        <f t="shared" si="4"/>
        <v>0</v>
      </c>
      <c r="H32" s="1573"/>
    </row>
    <row r="33" spans="1:180" x14ac:dyDescent="0.3">
      <c r="A33" s="1613" t="s">
        <v>945</v>
      </c>
      <c r="B33" s="1869">
        <f>'Balances anuales'!B33-'REAL Balances Anuales'!B33</f>
        <v>0</v>
      </c>
      <c r="C33" s="1869">
        <f>'Balances anuales'!D33-'REAL Balances Anuales'!D33</f>
        <v>0</v>
      </c>
      <c r="D33" s="1869">
        <f>'Balances anuales'!F33-'REAL Balances Anuales'!F33</f>
        <v>0</v>
      </c>
      <c r="E33" s="1869">
        <f>'Balances anuales'!H33-'REAL Balances Anuales'!H33</f>
        <v>0</v>
      </c>
      <c r="F33" s="1869">
        <f>'Balances anuales'!J33-'REAL Balances Anuales'!J33</f>
        <v>0</v>
      </c>
      <c r="G33" s="2102">
        <f>'Balances anuales'!L33-'REAL Balances Anuales'!L33</f>
        <v>0</v>
      </c>
      <c r="H33" s="1558"/>
    </row>
    <row r="34" spans="1:180" x14ac:dyDescent="0.3">
      <c r="A34" s="1613" t="s">
        <v>883</v>
      </c>
      <c r="B34" s="1601">
        <f>'Balances anuales'!B34-'REAL Balances Anuales'!B34</f>
        <v>0</v>
      </c>
      <c r="C34" s="1601">
        <f>'Balances anuales'!D34-'REAL Balances Anuales'!D34</f>
        <v>0</v>
      </c>
      <c r="D34" s="1601">
        <f>'Balances anuales'!F34-'REAL Balances Anuales'!F34</f>
        <v>0</v>
      </c>
      <c r="E34" s="1601">
        <f>'Balances anuales'!H34-'REAL Balances Anuales'!H34</f>
        <v>0</v>
      </c>
      <c r="F34" s="1601">
        <f>'Balances anuales'!J34-'REAL Balances Anuales'!J34</f>
        <v>0</v>
      </c>
      <c r="G34" s="2099">
        <f>'Balances anuales'!L34-'REAL Balances Anuales'!L34</f>
        <v>0</v>
      </c>
      <c r="H34" s="1558"/>
    </row>
    <row r="35" spans="1:180" x14ac:dyDescent="0.3">
      <c r="A35" s="1614"/>
      <c r="B35" s="1601"/>
      <c r="C35" s="1601"/>
      <c r="D35" s="1601"/>
      <c r="E35" s="1601"/>
      <c r="F35" s="1601"/>
      <c r="G35" s="2099"/>
      <c r="H35" s="1558"/>
    </row>
    <row r="36" spans="1:180" x14ac:dyDescent="0.3">
      <c r="A36" s="1615" t="s">
        <v>1119</v>
      </c>
      <c r="B36" s="1870">
        <f t="shared" ref="B36:G36" si="5">SUM(B37:B42)</f>
        <v>0</v>
      </c>
      <c r="C36" s="1870">
        <f t="shared" si="5"/>
        <v>18362.959468393696</v>
      </c>
      <c r="D36" s="1870">
        <f t="shared" si="5"/>
        <v>36526.489964217515</v>
      </c>
      <c r="E36" s="1870">
        <f t="shared" si="5"/>
        <v>58084.442860921285</v>
      </c>
      <c r="F36" s="1870">
        <f t="shared" si="5"/>
        <v>81855.464496597284</v>
      </c>
      <c r="G36" s="2101">
        <f t="shared" si="5"/>
        <v>108025.72349256522</v>
      </c>
      <c r="H36" s="1573"/>
    </row>
    <row r="37" spans="1:180" x14ac:dyDescent="0.3">
      <c r="A37" s="1613" t="s">
        <v>946</v>
      </c>
      <c r="B37" s="1601">
        <f>'Balances anuales'!B37-'REAL Balances Anuales'!B37</f>
        <v>0</v>
      </c>
      <c r="C37" s="1601">
        <f>'Balances anuales'!D37-'REAL Balances Anuales'!D37</f>
        <v>0</v>
      </c>
      <c r="D37" s="1601">
        <f>'Balances anuales'!F37-'REAL Balances Anuales'!F37</f>
        <v>0</v>
      </c>
      <c r="E37" s="1601">
        <f>'Balances anuales'!H37-'REAL Balances Anuales'!H37</f>
        <v>0</v>
      </c>
      <c r="F37" s="1601">
        <f>'Balances anuales'!J37-'REAL Balances Anuales'!J37</f>
        <v>0</v>
      </c>
      <c r="G37" s="2099">
        <f>'Balances anuales'!L37-'REAL Balances Anuales'!L37</f>
        <v>0</v>
      </c>
      <c r="H37" s="1558"/>
    </row>
    <row r="38" spans="1:180" x14ac:dyDescent="0.3">
      <c r="A38" s="1613" t="s">
        <v>1009</v>
      </c>
      <c r="B38" s="1601">
        <f>'Balances anuales'!B38-'REAL Balances Anuales'!B38</f>
        <v>0</v>
      </c>
      <c r="C38" s="1601">
        <f>'Balances anuales'!D38-'REAL Balances Anuales'!D38</f>
        <v>18362.959468393696</v>
      </c>
      <c r="D38" s="1601">
        <f>'Balances anuales'!F38-'REAL Balances Anuales'!F38</f>
        <v>36526.489964217515</v>
      </c>
      <c r="E38" s="1601">
        <f>'Balances anuales'!H38-'REAL Balances Anuales'!H38</f>
        <v>58084.442860921285</v>
      </c>
      <c r="F38" s="1601">
        <f>'Balances anuales'!J38-'REAL Balances Anuales'!J38</f>
        <v>81855.464496597284</v>
      </c>
      <c r="G38" s="2099">
        <f>'Balances anuales'!L38-'REAL Balances Anuales'!L38</f>
        <v>108025.72349256522</v>
      </c>
      <c r="H38" s="1558"/>
    </row>
    <row r="39" spans="1:180" x14ac:dyDescent="0.3">
      <c r="A39" s="1613" t="s">
        <v>979</v>
      </c>
      <c r="B39" s="1601">
        <f>'Balances anuales'!B39-'REAL Balances Anuales'!B39</f>
        <v>0</v>
      </c>
      <c r="C39" s="1601">
        <f>'Balances anuales'!D39-'REAL Balances Anuales'!D39</f>
        <v>0</v>
      </c>
      <c r="D39" s="1601">
        <f>'Balances anuales'!F39-'REAL Balances Anuales'!F39</f>
        <v>0</v>
      </c>
      <c r="E39" s="1601">
        <f>'Balances anuales'!H39-'REAL Balances Anuales'!H39</f>
        <v>0</v>
      </c>
      <c r="F39" s="1601">
        <f>'Balances anuales'!J39-'REAL Balances Anuales'!J39</f>
        <v>0</v>
      </c>
      <c r="G39" s="2099">
        <f>'Balances anuales'!L39-'REAL Balances Anuales'!L39</f>
        <v>0</v>
      </c>
      <c r="H39" s="1558"/>
    </row>
    <row r="40" spans="1:180" x14ac:dyDescent="0.3">
      <c r="A40" s="1613" t="s">
        <v>994</v>
      </c>
      <c r="B40" s="1601">
        <f>'Balances anuales'!B40-'REAL Balances Anuales'!B40</f>
        <v>0</v>
      </c>
      <c r="C40" s="1601">
        <f>'Balances anuales'!D40-'REAL Balances Anuales'!D40</f>
        <v>0</v>
      </c>
      <c r="D40" s="1601">
        <f>'Balances anuales'!F40-'REAL Balances Anuales'!F40</f>
        <v>0</v>
      </c>
      <c r="E40" s="1601">
        <f>'Balances anuales'!H40-'REAL Balances Anuales'!H40</f>
        <v>0</v>
      </c>
      <c r="F40" s="1601">
        <f>'Balances anuales'!J40-'REAL Balances Anuales'!J40</f>
        <v>0</v>
      </c>
      <c r="G40" s="2099">
        <f>'Balances anuales'!L40-'REAL Balances Anuales'!L40</f>
        <v>0</v>
      </c>
      <c r="H40" s="1558"/>
    </row>
    <row r="41" spans="1:180" x14ac:dyDescent="0.3">
      <c r="A41" s="1613" t="s">
        <v>115</v>
      </c>
      <c r="B41" s="1601">
        <f>'Balances anuales'!B41-'REAL Balances Anuales'!B41</f>
        <v>0</v>
      </c>
      <c r="C41" s="1601">
        <f>'Balances anuales'!D41-'REAL Balances Anuales'!D41</f>
        <v>0</v>
      </c>
      <c r="D41" s="1601">
        <f>'Balances anuales'!F41-'REAL Balances Anuales'!F41</f>
        <v>0</v>
      </c>
      <c r="E41" s="1601">
        <f>'Balances anuales'!H41-'REAL Balances Anuales'!H41</f>
        <v>0</v>
      </c>
      <c r="F41" s="1601">
        <f>'Balances anuales'!J41-'REAL Balances Anuales'!J41</f>
        <v>0</v>
      </c>
      <c r="G41" s="2099">
        <f>'Balances anuales'!L41-'REAL Balances Anuales'!L41</f>
        <v>0</v>
      </c>
      <c r="H41" s="1558"/>
    </row>
    <row r="42" spans="1:180" x14ac:dyDescent="0.3">
      <c r="A42" s="1613" t="s">
        <v>884</v>
      </c>
      <c r="B42" s="1601">
        <f>'Balances anuales'!B42-'REAL Balances Anuales'!B42</f>
        <v>0</v>
      </c>
      <c r="C42" s="1601">
        <f>'Balances anuales'!D42-'REAL Balances Anuales'!D42</f>
        <v>0</v>
      </c>
      <c r="D42" s="1601">
        <f>'Balances anuales'!F42-'REAL Balances Anuales'!F42</f>
        <v>0</v>
      </c>
      <c r="E42" s="1601">
        <f>'Balances anuales'!H42-'REAL Balances Anuales'!H42</f>
        <v>0</v>
      </c>
      <c r="F42" s="1601">
        <f>'Balances anuales'!J42-'REAL Balances Anuales'!J42</f>
        <v>0</v>
      </c>
      <c r="G42" s="2099">
        <f>'Balances anuales'!L42-'REAL Balances Anuales'!L42</f>
        <v>0</v>
      </c>
      <c r="H42" s="1558"/>
    </row>
    <row r="43" spans="1:180" s="303" customFormat="1" x14ac:dyDescent="0.3">
      <c r="A43" s="1616" t="s">
        <v>896</v>
      </c>
      <c r="B43" s="1617">
        <f t="shared" ref="B43:G43" si="6">B25+B32</f>
        <v>0</v>
      </c>
      <c r="C43" s="1617">
        <f t="shared" si="6"/>
        <v>-16362.959468393694</v>
      </c>
      <c r="D43" s="1617">
        <f t="shared" si="6"/>
        <v>-34526.489964217515</v>
      </c>
      <c r="E43" s="1617">
        <f t="shared" si="6"/>
        <v>-56084.442860921292</v>
      </c>
      <c r="F43" s="1617">
        <f t="shared" si="6"/>
        <v>-79855.464496597298</v>
      </c>
      <c r="G43" s="2103">
        <f t="shared" si="6"/>
        <v>-106025.72349256523</v>
      </c>
      <c r="H43" s="1572"/>
      <c r="I43" s="1561"/>
      <c r="J43" s="1561"/>
      <c r="K43" s="1561"/>
      <c r="L43" s="1561"/>
      <c r="M43" s="1561"/>
      <c r="N43" s="1561"/>
      <c r="O43" s="1561"/>
      <c r="P43" s="1561"/>
      <c r="Q43" s="1561"/>
      <c r="R43" s="1561"/>
      <c r="S43" s="1561"/>
      <c r="T43" s="1561"/>
      <c r="U43" s="1561"/>
      <c r="V43" s="1561"/>
      <c r="W43" s="1561"/>
      <c r="X43" s="1561"/>
      <c r="Y43" s="1561"/>
      <c r="Z43" s="1561"/>
      <c r="AA43" s="1561"/>
      <c r="AB43" s="1561"/>
      <c r="AC43" s="1561"/>
      <c r="AD43" s="1561"/>
      <c r="AE43" s="1561"/>
      <c r="AF43" s="1561"/>
      <c r="AG43" s="1561"/>
      <c r="AH43" s="1561"/>
      <c r="AI43" s="1561"/>
      <c r="AJ43" s="1561"/>
      <c r="AK43" s="1561"/>
      <c r="AL43" s="1561"/>
      <c r="AM43" s="1561"/>
      <c r="AN43" s="1561"/>
      <c r="AO43" s="1561"/>
      <c r="AP43" s="1561"/>
      <c r="AQ43" s="1561"/>
      <c r="AR43" s="1561"/>
      <c r="AS43" s="1561"/>
      <c r="AT43" s="1561"/>
      <c r="AU43" s="1561"/>
      <c r="AV43" s="1561"/>
      <c r="AW43" s="1561"/>
      <c r="AX43" s="1561"/>
      <c r="AY43" s="1561"/>
      <c r="AZ43" s="1561"/>
      <c r="BA43" s="1561"/>
      <c r="BB43" s="1561"/>
      <c r="BC43" s="1561"/>
      <c r="BD43" s="1561"/>
      <c r="BE43" s="1561"/>
      <c r="BF43" s="1561"/>
      <c r="BG43" s="1561"/>
      <c r="BH43" s="1561"/>
      <c r="BI43" s="1561"/>
      <c r="BJ43" s="1561"/>
      <c r="BK43" s="1561"/>
      <c r="BL43" s="1561"/>
      <c r="BM43" s="1561"/>
      <c r="BN43" s="1561"/>
      <c r="BO43" s="1561"/>
      <c r="BP43" s="1561"/>
      <c r="BQ43" s="1561"/>
      <c r="BR43" s="1561"/>
      <c r="BS43" s="1561"/>
      <c r="BT43" s="1561"/>
      <c r="BU43" s="1561"/>
      <c r="BV43" s="1561"/>
      <c r="BW43" s="1561"/>
      <c r="BX43" s="1561"/>
      <c r="BY43" s="1561"/>
      <c r="BZ43" s="1561"/>
      <c r="CA43" s="1561"/>
      <c r="CB43" s="1561"/>
      <c r="CC43" s="1561"/>
      <c r="CD43" s="1561"/>
      <c r="CE43" s="1561"/>
      <c r="CF43" s="1561"/>
      <c r="CG43" s="1561"/>
      <c r="CH43" s="1561"/>
      <c r="CI43" s="1561"/>
      <c r="CJ43" s="1561"/>
      <c r="CK43" s="1561"/>
      <c r="CL43" s="1561"/>
      <c r="CM43" s="1561"/>
      <c r="CN43" s="1561"/>
      <c r="CO43" s="1561"/>
      <c r="CP43" s="1561"/>
      <c r="CQ43" s="1561"/>
      <c r="CR43" s="1561"/>
      <c r="CS43" s="1561"/>
      <c r="CT43" s="1561"/>
      <c r="CU43" s="1561"/>
      <c r="CV43" s="1561"/>
      <c r="CW43" s="1561"/>
      <c r="CX43" s="1561"/>
      <c r="CY43" s="1561"/>
      <c r="CZ43" s="1561"/>
      <c r="DA43" s="1561"/>
      <c r="DB43" s="1561"/>
      <c r="DC43" s="1561"/>
      <c r="DD43" s="1561"/>
      <c r="DE43" s="1561"/>
      <c r="DF43" s="1561"/>
      <c r="DG43" s="1561"/>
      <c r="DH43" s="1561"/>
      <c r="DI43" s="1561"/>
      <c r="DJ43" s="1561"/>
      <c r="DK43" s="1561"/>
      <c r="DL43" s="1561"/>
      <c r="DM43" s="1561"/>
      <c r="DN43" s="1561"/>
      <c r="DO43" s="1561"/>
      <c r="DP43" s="1561"/>
      <c r="DQ43" s="1561"/>
      <c r="DR43" s="1561"/>
      <c r="DS43" s="1561"/>
      <c r="DT43" s="1561"/>
      <c r="DU43" s="1561"/>
      <c r="DV43" s="1561"/>
      <c r="DW43" s="1561"/>
      <c r="DX43" s="1561"/>
      <c r="DY43" s="1561"/>
      <c r="DZ43" s="1561"/>
      <c r="EA43" s="1561"/>
      <c r="EB43" s="1561"/>
      <c r="EC43" s="1561"/>
      <c r="ED43" s="1561"/>
      <c r="EE43" s="1561"/>
      <c r="EF43" s="1561"/>
      <c r="EG43" s="1561"/>
      <c r="EH43" s="1561"/>
      <c r="EI43" s="1561"/>
      <c r="EJ43" s="1561"/>
      <c r="EK43" s="1561"/>
      <c r="EL43" s="1561"/>
      <c r="EM43" s="1561"/>
      <c r="EN43" s="1561"/>
      <c r="EO43" s="1561"/>
      <c r="EP43" s="1561"/>
      <c r="EQ43" s="1561"/>
      <c r="ER43" s="1561"/>
      <c r="ES43" s="1561"/>
      <c r="ET43" s="1561"/>
      <c r="EU43" s="1561"/>
      <c r="EV43" s="1561"/>
      <c r="EW43" s="1561"/>
      <c r="EX43" s="1561"/>
      <c r="EY43" s="1561"/>
      <c r="EZ43" s="1561"/>
      <c r="FA43" s="1561"/>
      <c r="FB43" s="1561"/>
      <c r="FC43" s="1561"/>
      <c r="FD43" s="1561"/>
      <c r="FE43" s="1561"/>
      <c r="FF43" s="1561"/>
      <c r="FG43" s="1561"/>
      <c r="FH43" s="1561"/>
      <c r="FI43" s="1561"/>
      <c r="FJ43" s="1561"/>
      <c r="FK43" s="1561"/>
      <c r="FL43" s="1561"/>
      <c r="FM43" s="1561"/>
      <c r="FN43" s="1561"/>
      <c r="FO43" s="1561"/>
      <c r="FP43" s="1561"/>
      <c r="FQ43" s="1561"/>
      <c r="FR43" s="1561"/>
      <c r="FS43" s="1561"/>
      <c r="FT43" s="1561"/>
      <c r="FU43" s="1561"/>
      <c r="FV43" s="1561"/>
      <c r="FW43" s="1561"/>
      <c r="FX43" s="1561"/>
    </row>
    <row r="44" spans="1:180" s="303" customFormat="1" x14ac:dyDescent="0.3">
      <c r="A44" s="1616" t="s">
        <v>897</v>
      </c>
      <c r="B44" s="1617">
        <f t="shared" ref="B44:G44" si="7">B32+B36</f>
        <v>0</v>
      </c>
      <c r="C44" s="1617">
        <f t="shared" si="7"/>
        <v>18362.959468393696</v>
      </c>
      <c r="D44" s="1617">
        <f t="shared" si="7"/>
        <v>36526.489964217515</v>
      </c>
      <c r="E44" s="1617">
        <f t="shared" si="7"/>
        <v>58084.442860921285</v>
      </c>
      <c r="F44" s="1617">
        <f t="shared" si="7"/>
        <v>81855.464496597284</v>
      </c>
      <c r="G44" s="2103">
        <f t="shared" si="7"/>
        <v>108025.72349256522</v>
      </c>
      <c r="H44" s="1572"/>
      <c r="I44" s="1561"/>
      <c r="J44" s="1561"/>
      <c r="K44" s="1561"/>
      <c r="L44" s="1561"/>
      <c r="M44" s="1561"/>
      <c r="N44" s="1561"/>
      <c r="O44" s="1561"/>
      <c r="P44" s="1561"/>
      <c r="Q44" s="1561"/>
      <c r="R44" s="1561"/>
      <c r="S44" s="1561"/>
      <c r="T44" s="1561"/>
      <c r="U44" s="1561"/>
      <c r="V44" s="1561"/>
      <c r="W44" s="1561"/>
      <c r="X44" s="1561"/>
      <c r="Y44" s="1561"/>
      <c r="Z44" s="1561"/>
      <c r="AA44" s="1561"/>
      <c r="AB44" s="1561"/>
      <c r="AC44" s="1561"/>
      <c r="AD44" s="1561"/>
      <c r="AE44" s="1561"/>
      <c r="AF44" s="1561"/>
      <c r="AG44" s="1561"/>
      <c r="AH44" s="1561"/>
      <c r="AI44" s="1561"/>
      <c r="AJ44" s="1561"/>
      <c r="AK44" s="1561"/>
      <c r="AL44" s="1561"/>
      <c r="AM44" s="1561"/>
      <c r="AN44" s="1561"/>
      <c r="AO44" s="1561"/>
      <c r="AP44" s="1561"/>
      <c r="AQ44" s="1561"/>
      <c r="AR44" s="1561"/>
      <c r="AS44" s="1561"/>
      <c r="AT44" s="1561"/>
      <c r="AU44" s="1561"/>
      <c r="AV44" s="1561"/>
      <c r="AW44" s="1561"/>
      <c r="AX44" s="1561"/>
      <c r="AY44" s="1561"/>
      <c r="AZ44" s="1561"/>
      <c r="BA44" s="1561"/>
      <c r="BB44" s="1561"/>
      <c r="BC44" s="1561"/>
      <c r="BD44" s="1561"/>
      <c r="BE44" s="1561"/>
      <c r="BF44" s="1561"/>
      <c r="BG44" s="1561"/>
      <c r="BH44" s="1561"/>
      <c r="BI44" s="1561"/>
      <c r="BJ44" s="1561"/>
      <c r="BK44" s="1561"/>
      <c r="BL44" s="1561"/>
      <c r="BM44" s="1561"/>
      <c r="BN44" s="1561"/>
      <c r="BO44" s="1561"/>
      <c r="BP44" s="1561"/>
      <c r="BQ44" s="1561"/>
      <c r="BR44" s="1561"/>
      <c r="BS44" s="1561"/>
      <c r="BT44" s="1561"/>
      <c r="BU44" s="1561"/>
      <c r="BV44" s="1561"/>
      <c r="BW44" s="1561"/>
      <c r="BX44" s="1561"/>
      <c r="BY44" s="1561"/>
      <c r="BZ44" s="1561"/>
      <c r="CA44" s="1561"/>
      <c r="CB44" s="1561"/>
      <c r="CC44" s="1561"/>
      <c r="CD44" s="1561"/>
      <c r="CE44" s="1561"/>
      <c r="CF44" s="1561"/>
      <c r="CG44" s="1561"/>
      <c r="CH44" s="1561"/>
      <c r="CI44" s="1561"/>
      <c r="CJ44" s="1561"/>
      <c r="CK44" s="1561"/>
      <c r="CL44" s="1561"/>
      <c r="CM44" s="1561"/>
      <c r="CN44" s="1561"/>
      <c r="CO44" s="1561"/>
      <c r="CP44" s="1561"/>
      <c r="CQ44" s="1561"/>
      <c r="CR44" s="1561"/>
      <c r="CS44" s="1561"/>
      <c r="CT44" s="1561"/>
      <c r="CU44" s="1561"/>
      <c r="CV44" s="1561"/>
      <c r="CW44" s="1561"/>
      <c r="CX44" s="1561"/>
      <c r="CY44" s="1561"/>
      <c r="CZ44" s="1561"/>
      <c r="DA44" s="1561"/>
      <c r="DB44" s="1561"/>
      <c r="DC44" s="1561"/>
      <c r="DD44" s="1561"/>
      <c r="DE44" s="1561"/>
      <c r="DF44" s="1561"/>
      <c r="DG44" s="1561"/>
      <c r="DH44" s="1561"/>
      <c r="DI44" s="1561"/>
      <c r="DJ44" s="1561"/>
      <c r="DK44" s="1561"/>
      <c r="DL44" s="1561"/>
      <c r="DM44" s="1561"/>
      <c r="DN44" s="1561"/>
      <c r="DO44" s="1561"/>
      <c r="DP44" s="1561"/>
      <c r="DQ44" s="1561"/>
      <c r="DR44" s="1561"/>
      <c r="DS44" s="1561"/>
      <c r="DT44" s="1561"/>
      <c r="DU44" s="1561"/>
      <c r="DV44" s="1561"/>
      <c r="DW44" s="1561"/>
      <c r="DX44" s="1561"/>
      <c r="DY44" s="1561"/>
      <c r="DZ44" s="1561"/>
      <c r="EA44" s="1561"/>
      <c r="EB44" s="1561"/>
      <c r="EC44" s="1561"/>
      <c r="ED44" s="1561"/>
      <c r="EE44" s="1561"/>
      <c r="EF44" s="1561"/>
      <c r="EG44" s="1561"/>
      <c r="EH44" s="1561"/>
      <c r="EI44" s="1561"/>
      <c r="EJ44" s="1561"/>
      <c r="EK44" s="1561"/>
      <c r="EL44" s="1561"/>
      <c r="EM44" s="1561"/>
      <c r="EN44" s="1561"/>
      <c r="EO44" s="1561"/>
      <c r="EP44" s="1561"/>
      <c r="EQ44" s="1561"/>
      <c r="ER44" s="1561"/>
      <c r="ES44" s="1561"/>
      <c r="ET44" s="1561"/>
      <c r="EU44" s="1561"/>
      <c r="EV44" s="1561"/>
      <c r="EW44" s="1561"/>
      <c r="EX44" s="1561"/>
      <c r="EY44" s="1561"/>
      <c r="EZ44" s="1561"/>
      <c r="FA44" s="1561"/>
      <c r="FB44" s="1561"/>
      <c r="FC44" s="1561"/>
      <c r="FD44" s="1561"/>
      <c r="FE44" s="1561"/>
      <c r="FF44" s="1561"/>
      <c r="FG44" s="1561"/>
      <c r="FH44" s="1561"/>
      <c r="FI44" s="1561"/>
      <c r="FJ44" s="1561"/>
      <c r="FK44" s="1561"/>
      <c r="FL44" s="1561"/>
      <c r="FM44" s="1561"/>
      <c r="FN44" s="1561"/>
      <c r="FO44" s="1561"/>
      <c r="FP44" s="1561"/>
      <c r="FQ44" s="1561"/>
      <c r="FR44" s="1561"/>
      <c r="FS44" s="1561"/>
      <c r="FT44" s="1561"/>
      <c r="FU44" s="1561"/>
      <c r="FV44" s="1561"/>
      <c r="FW44" s="1561"/>
      <c r="FX44" s="1561"/>
    </row>
    <row r="45" spans="1:180" s="303" customFormat="1" x14ac:dyDescent="0.3">
      <c r="A45" s="1620"/>
      <c r="B45" s="1621"/>
      <c r="C45" s="1621"/>
      <c r="D45" s="1621"/>
      <c r="E45" s="1621"/>
      <c r="F45" s="1621"/>
      <c r="G45" s="2104"/>
      <c r="H45" s="1572"/>
      <c r="I45" s="1561"/>
      <c r="J45" s="1561"/>
      <c r="K45" s="1561"/>
      <c r="L45" s="1561"/>
      <c r="M45" s="1561"/>
      <c r="N45" s="1561"/>
      <c r="O45" s="1561"/>
      <c r="P45" s="1561"/>
      <c r="Q45" s="1561"/>
      <c r="R45" s="1561"/>
      <c r="S45" s="1561"/>
      <c r="T45" s="1561"/>
      <c r="U45" s="1561"/>
      <c r="V45" s="1561"/>
      <c r="W45" s="1561"/>
      <c r="X45" s="1561"/>
      <c r="Y45" s="1561"/>
      <c r="Z45" s="1561"/>
      <c r="AA45" s="1561"/>
      <c r="AB45" s="1561"/>
      <c r="AC45" s="1561"/>
      <c r="AD45" s="1561"/>
      <c r="AE45" s="1561"/>
      <c r="AF45" s="1561"/>
      <c r="AG45" s="1561"/>
      <c r="AH45" s="1561"/>
      <c r="AI45" s="1561"/>
      <c r="AJ45" s="1561"/>
      <c r="AK45" s="1561"/>
      <c r="AL45" s="1561"/>
      <c r="AM45" s="1561"/>
      <c r="AN45" s="1561"/>
      <c r="AO45" s="1561"/>
      <c r="AP45" s="1561"/>
      <c r="AQ45" s="1561"/>
      <c r="AR45" s="1561"/>
      <c r="AS45" s="1561"/>
      <c r="AT45" s="1561"/>
      <c r="AU45" s="1561"/>
      <c r="AV45" s="1561"/>
      <c r="AW45" s="1561"/>
      <c r="AX45" s="1561"/>
      <c r="AY45" s="1561"/>
      <c r="AZ45" s="1561"/>
      <c r="BA45" s="1561"/>
      <c r="BB45" s="1561"/>
      <c r="BC45" s="1561"/>
      <c r="BD45" s="1561"/>
      <c r="BE45" s="1561"/>
      <c r="BF45" s="1561"/>
      <c r="BG45" s="1561"/>
      <c r="BH45" s="1561"/>
      <c r="BI45" s="1561"/>
      <c r="BJ45" s="1561"/>
      <c r="BK45" s="1561"/>
      <c r="BL45" s="1561"/>
      <c r="BM45" s="1561"/>
      <c r="BN45" s="1561"/>
      <c r="BO45" s="1561"/>
      <c r="BP45" s="1561"/>
      <c r="BQ45" s="1561"/>
      <c r="BR45" s="1561"/>
      <c r="BS45" s="1561"/>
      <c r="BT45" s="1561"/>
      <c r="BU45" s="1561"/>
      <c r="BV45" s="1561"/>
      <c r="BW45" s="1561"/>
      <c r="BX45" s="1561"/>
      <c r="BY45" s="1561"/>
      <c r="BZ45" s="1561"/>
      <c r="CA45" s="1561"/>
      <c r="CB45" s="1561"/>
      <c r="CC45" s="1561"/>
      <c r="CD45" s="1561"/>
      <c r="CE45" s="1561"/>
      <c r="CF45" s="1561"/>
      <c r="CG45" s="1561"/>
      <c r="CH45" s="1561"/>
      <c r="CI45" s="1561"/>
      <c r="CJ45" s="1561"/>
      <c r="CK45" s="1561"/>
      <c r="CL45" s="1561"/>
      <c r="CM45" s="1561"/>
      <c r="CN45" s="1561"/>
      <c r="CO45" s="1561"/>
      <c r="CP45" s="1561"/>
      <c r="CQ45" s="1561"/>
      <c r="CR45" s="1561"/>
      <c r="CS45" s="1561"/>
      <c r="CT45" s="1561"/>
      <c r="CU45" s="1561"/>
      <c r="CV45" s="1561"/>
      <c r="CW45" s="1561"/>
      <c r="CX45" s="1561"/>
      <c r="CY45" s="1561"/>
      <c r="CZ45" s="1561"/>
      <c r="DA45" s="1561"/>
      <c r="DB45" s="1561"/>
      <c r="DC45" s="1561"/>
      <c r="DD45" s="1561"/>
      <c r="DE45" s="1561"/>
      <c r="DF45" s="1561"/>
      <c r="DG45" s="1561"/>
      <c r="DH45" s="1561"/>
      <c r="DI45" s="1561"/>
      <c r="DJ45" s="1561"/>
      <c r="DK45" s="1561"/>
      <c r="DL45" s="1561"/>
      <c r="DM45" s="1561"/>
      <c r="DN45" s="1561"/>
      <c r="DO45" s="1561"/>
      <c r="DP45" s="1561"/>
      <c r="DQ45" s="1561"/>
      <c r="DR45" s="1561"/>
      <c r="DS45" s="1561"/>
      <c r="DT45" s="1561"/>
      <c r="DU45" s="1561"/>
      <c r="DV45" s="1561"/>
      <c r="DW45" s="1561"/>
      <c r="DX45" s="1561"/>
      <c r="DY45" s="1561"/>
      <c r="DZ45" s="1561"/>
      <c r="EA45" s="1561"/>
      <c r="EB45" s="1561"/>
      <c r="EC45" s="1561"/>
      <c r="ED45" s="1561"/>
      <c r="EE45" s="1561"/>
      <c r="EF45" s="1561"/>
      <c r="EG45" s="1561"/>
      <c r="EH45" s="1561"/>
      <c r="EI45" s="1561"/>
      <c r="EJ45" s="1561"/>
      <c r="EK45" s="1561"/>
      <c r="EL45" s="1561"/>
      <c r="EM45" s="1561"/>
      <c r="EN45" s="1561"/>
      <c r="EO45" s="1561"/>
      <c r="EP45" s="1561"/>
      <c r="EQ45" s="1561"/>
      <c r="ER45" s="1561"/>
      <c r="ES45" s="1561"/>
      <c r="ET45" s="1561"/>
      <c r="EU45" s="1561"/>
      <c r="EV45" s="1561"/>
      <c r="EW45" s="1561"/>
      <c r="EX45" s="1561"/>
      <c r="EY45" s="1561"/>
      <c r="EZ45" s="1561"/>
      <c r="FA45" s="1561"/>
      <c r="FB45" s="1561"/>
      <c r="FC45" s="1561"/>
      <c r="FD45" s="1561"/>
      <c r="FE45" s="1561"/>
      <c r="FF45" s="1561"/>
      <c r="FG45" s="1561"/>
      <c r="FH45" s="1561"/>
      <c r="FI45" s="1561"/>
      <c r="FJ45" s="1561"/>
      <c r="FK45" s="1561"/>
      <c r="FL45" s="1561"/>
      <c r="FM45" s="1561"/>
      <c r="FN45" s="1561"/>
      <c r="FO45" s="1561"/>
      <c r="FP45" s="1561"/>
      <c r="FQ45" s="1561"/>
      <c r="FR45" s="1561"/>
      <c r="FS45" s="1561"/>
      <c r="FT45" s="1561"/>
      <c r="FU45" s="1561"/>
      <c r="FV45" s="1561"/>
      <c r="FW45" s="1561"/>
      <c r="FX45" s="1561"/>
    </row>
    <row r="46" spans="1:180" ht="20.25" thickBot="1" x14ac:dyDescent="0.35">
      <c r="A46" s="2111" t="s">
        <v>845</v>
      </c>
      <c r="B46" s="2112">
        <f t="shared" ref="B46:G46" si="8">B25+B32+B36</f>
        <v>0</v>
      </c>
      <c r="C46" s="2112">
        <f t="shared" si="8"/>
        <v>2000.0000000000018</v>
      </c>
      <c r="D46" s="2112">
        <f t="shared" si="8"/>
        <v>2000</v>
      </c>
      <c r="E46" s="2112">
        <f t="shared" si="8"/>
        <v>1999.9999999999927</v>
      </c>
      <c r="F46" s="2112">
        <f t="shared" si="8"/>
        <v>1999.9999999999854</v>
      </c>
      <c r="G46" s="2113">
        <f t="shared" si="8"/>
        <v>1999.9999999999854</v>
      </c>
      <c r="H46" s="1571"/>
    </row>
    <row r="47" spans="1:180" s="1559" customFormat="1" ht="33" customHeight="1" thickBot="1" x14ac:dyDescent="0.35">
      <c r="A47" s="303"/>
      <c r="B47" s="1557"/>
      <c r="C47" s="1557"/>
      <c r="D47" s="1557"/>
      <c r="E47" s="1557"/>
      <c r="F47" s="1557"/>
      <c r="G47" s="1557"/>
      <c r="H47" s="1558"/>
    </row>
    <row r="48" spans="1:180" ht="20.25" thickBot="1" x14ac:dyDescent="0.35">
      <c r="A48" s="1552" t="s">
        <v>465</v>
      </c>
      <c r="B48" s="1605">
        <f t="shared" ref="B48:G48" si="9">B43-B7</f>
        <v>0</v>
      </c>
      <c r="C48" s="1605">
        <f t="shared" si="9"/>
        <v>-16362.959468393694</v>
      </c>
      <c r="D48" s="1605">
        <f t="shared" si="9"/>
        <v>-34526.489964217515</v>
      </c>
      <c r="E48" s="1605">
        <f t="shared" si="9"/>
        <v>-56084.442860921292</v>
      </c>
      <c r="F48" s="1605">
        <f t="shared" si="9"/>
        <v>-79855.464496597298</v>
      </c>
      <c r="G48" s="2105">
        <f t="shared" si="9"/>
        <v>-106025.72349256523</v>
      </c>
      <c r="H48" s="1572"/>
    </row>
    <row r="49" spans="1:7" s="1559" customFormat="1" x14ac:dyDescent="0.3">
      <c r="A49" s="1561"/>
    </row>
    <row r="50" spans="1:7" s="1559" customFormat="1" x14ac:dyDescent="0.3">
      <c r="A50" s="1575" t="str">
        <f>'PyG anuales'!A34</f>
        <v/>
      </c>
      <c r="B50" s="1576" t="str">
        <f t="shared" ref="B50:G50" si="10">IF(ABS(B46-B23)&gt;0.01,B46-B23,"")</f>
        <v/>
      </c>
      <c r="C50" s="1576" t="str">
        <f t="shared" si="10"/>
        <v/>
      </c>
      <c r="D50" s="1576" t="str">
        <f t="shared" si="10"/>
        <v/>
      </c>
      <c r="E50" s="1576" t="str">
        <f t="shared" si="10"/>
        <v/>
      </c>
      <c r="F50" s="1576" t="str">
        <f t="shared" si="10"/>
        <v/>
      </c>
      <c r="G50" s="1576" t="str">
        <f t="shared" si="10"/>
        <v/>
      </c>
    </row>
    <row r="51" spans="1:7" s="1559" customFormat="1" x14ac:dyDescent="0.3">
      <c r="A51" s="1561"/>
    </row>
    <row r="52" spans="1:7" s="1559" customFormat="1" x14ac:dyDescent="0.3">
      <c r="A52" s="1561"/>
    </row>
    <row r="53" spans="1:7" s="1559" customFormat="1" x14ac:dyDescent="0.3">
      <c r="A53" s="1561"/>
    </row>
    <row r="54" spans="1:7" s="1559" customFormat="1" x14ac:dyDescent="0.3">
      <c r="A54" s="1561"/>
    </row>
    <row r="55" spans="1:7" s="1559" customFormat="1" x14ac:dyDescent="0.3">
      <c r="A55" s="1561"/>
    </row>
    <row r="56" spans="1:7" s="1559" customFormat="1" x14ac:dyDescent="0.3">
      <c r="A56" s="1561"/>
    </row>
    <row r="57" spans="1:7" s="1559" customFormat="1" x14ac:dyDescent="0.3">
      <c r="A57" s="1561"/>
    </row>
    <row r="58" spans="1:7" s="1559" customFormat="1" x14ac:dyDescent="0.3">
      <c r="A58" s="1561"/>
    </row>
    <row r="59" spans="1:7" s="1559" customFormat="1" x14ac:dyDescent="0.3">
      <c r="A59" s="1561"/>
    </row>
    <row r="60" spans="1:7" s="1559" customFormat="1" x14ac:dyDescent="0.3">
      <c r="A60" s="1561"/>
    </row>
    <row r="61" spans="1:7" s="1559" customFormat="1" x14ac:dyDescent="0.3">
      <c r="A61" s="1561"/>
    </row>
    <row r="62" spans="1:7" s="1559" customFormat="1" x14ac:dyDescent="0.3">
      <c r="A62" s="1561"/>
    </row>
    <row r="63" spans="1:7" s="1559" customFormat="1" x14ac:dyDescent="0.3">
      <c r="A63" s="1561"/>
    </row>
    <row r="64" spans="1:7" s="1559" customFormat="1" x14ac:dyDescent="0.3">
      <c r="A64" s="1561"/>
    </row>
    <row r="65" spans="1:1" s="1559" customFormat="1" x14ac:dyDescent="0.3">
      <c r="A65" s="1561"/>
    </row>
    <row r="66" spans="1:1" s="1559" customFormat="1" x14ac:dyDescent="0.3">
      <c r="A66" s="1561"/>
    </row>
    <row r="67" spans="1:1" s="1559" customFormat="1" x14ac:dyDescent="0.3">
      <c r="A67" s="1561"/>
    </row>
    <row r="68" spans="1:1" s="1559" customFormat="1" x14ac:dyDescent="0.3">
      <c r="A68" s="1561"/>
    </row>
    <row r="69" spans="1:1" s="1559" customFormat="1" x14ac:dyDescent="0.3">
      <c r="A69" s="1561"/>
    </row>
    <row r="70" spans="1:1" s="1559" customFormat="1" x14ac:dyDescent="0.3">
      <c r="A70" s="1561"/>
    </row>
    <row r="71" spans="1:1" s="1559" customFormat="1" x14ac:dyDescent="0.3">
      <c r="A71" s="1561"/>
    </row>
    <row r="72" spans="1:1" s="1559" customFormat="1" x14ac:dyDescent="0.3">
      <c r="A72" s="1561"/>
    </row>
    <row r="73" spans="1:1" s="1559" customFormat="1" x14ac:dyDescent="0.3">
      <c r="A73" s="1561"/>
    </row>
    <row r="74" spans="1:1" s="1559" customFormat="1" x14ac:dyDescent="0.3">
      <c r="A74" s="1561"/>
    </row>
    <row r="75" spans="1:1" s="1559" customFormat="1" x14ac:dyDescent="0.3">
      <c r="A75" s="1561"/>
    </row>
    <row r="76" spans="1:1" s="1559" customFormat="1" x14ac:dyDescent="0.3">
      <c r="A76" s="1561"/>
    </row>
    <row r="77" spans="1:1" s="1559" customFormat="1" x14ac:dyDescent="0.3">
      <c r="A77" s="1561"/>
    </row>
    <row r="78" spans="1:1" s="1559" customFormat="1" x14ac:dyDescent="0.3">
      <c r="A78" s="1561"/>
    </row>
    <row r="79" spans="1:1" s="1559" customFormat="1" x14ac:dyDescent="0.3">
      <c r="A79" s="1561"/>
    </row>
    <row r="80" spans="1:1" s="1559" customFormat="1" x14ac:dyDescent="0.3">
      <c r="A80" s="1561"/>
    </row>
    <row r="81" spans="1:1" s="1559" customFormat="1" x14ac:dyDescent="0.3">
      <c r="A81" s="1561"/>
    </row>
    <row r="82" spans="1:1" s="1559" customFormat="1" x14ac:dyDescent="0.3">
      <c r="A82" s="1561"/>
    </row>
    <row r="83" spans="1:1" s="1559" customFormat="1" x14ac:dyDescent="0.3">
      <c r="A83" s="1561"/>
    </row>
    <row r="84" spans="1:1" s="1559" customFormat="1" x14ac:dyDescent="0.3">
      <c r="A84" s="1561"/>
    </row>
    <row r="85" spans="1:1" s="1559" customFormat="1" x14ac:dyDescent="0.3">
      <c r="A85" s="1561"/>
    </row>
    <row r="86" spans="1:1" s="1559" customFormat="1" x14ac:dyDescent="0.3">
      <c r="A86" s="1561"/>
    </row>
    <row r="87" spans="1:1" s="1559" customFormat="1" x14ac:dyDescent="0.3">
      <c r="A87" s="1561"/>
    </row>
    <row r="88" spans="1:1" s="1559" customFormat="1" x14ac:dyDescent="0.3">
      <c r="A88" s="1561"/>
    </row>
    <row r="89" spans="1:1" s="1559" customFormat="1" x14ac:dyDescent="0.3">
      <c r="A89" s="1561"/>
    </row>
    <row r="90" spans="1:1" s="1559" customFormat="1" x14ac:dyDescent="0.3">
      <c r="A90" s="1561"/>
    </row>
    <row r="91" spans="1:1" s="1559" customFormat="1" x14ac:dyDescent="0.3">
      <c r="A91" s="1561"/>
    </row>
    <row r="92" spans="1:1" s="1559" customFormat="1" x14ac:dyDescent="0.3">
      <c r="A92" s="1561"/>
    </row>
    <row r="93" spans="1:1" s="1559" customFormat="1" x14ac:dyDescent="0.3">
      <c r="A93" s="1561"/>
    </row>
    <row r="94" spans="1:1" s="1559" customFormat="1" x14ac:dyDescent="0.3">
      <c r="A94" s="1561"/>
    </row>
    <row r="95" spans="1:1" s="1559" customFormat="1" x14ac:dyDescent="0.3">
      <c r="A95" s="1561"/>
    </row>
    <row r="96" spans="1:1" s="1559" customFormat="1" x14ac:dyDescent="0.3">
      <c r="A96" s="1561"/>
    </row>
    <row r="97" spans="1:1" s="1559" customFormat="1" x14ac:dyDescent="0.3">
      <c r="A97" s="1561"/>
    </row>
    <row r="98" spans="1:1" s="1559" customFormat="1" x14ac:dyDescent="0.3">
      <c r="A98" s="1561"/>
    </row>
    <row r="99" spans="1:1" s="1559" customFormat="1" x14ac:dyDescent="0.3">
      <c r="A99" s="1561"/>
    </row>
    <row r="100" spans="1:1" s="1559" customFormat="1" x14ac:dyDescent="0.3">
      <c r="A100" s="1561"/>
    </row>
    <row r="101" spans="1:1" s="1559" customFormat="1" x14ac:dyDescent="0.3">
      <c r="A101" s="1561"/>
    </row>
    <row r="102" spans="1:1" s="1559" customFormat="1" x14ac:dyDescent="0.3">
      <c r="A102" s="1561"/>
    </row>
    <row r="103" spans="1:1" s="1559" customFormat="1" x14ac:dyDescent="0.3">
      <c r="A103" s="1561"/>
    </row>
    <row r="104" spans="1:1" s="1559" customFormat="1" x14ac:dyDescent="0.3">
      <c r="A104" s="1561"/>
    </row>
    <row r="105" spans="1:1" s="1559" customFormat="1" x14ac:dyDescent="0.3">
      <c r="A105" s="1561"/>
    </row>
    <row r="106" spans="1:1" s="1559" customFormat="1" x14ac:dyDescent="0.3">
      <c r="A106" s="1561"/>
    </row>
    <row r="107" spans="1:1" s="1559" customFormat="1" x14ac:dyDescent="0.3">
      <c r="A107" s="1561"/>
    </row>
    <row r="108" spans="1:1" s="1559" customFormat="1" x14ac:dyDescent="0.3">
      <c r="A108" s="1561"/>
    </row>
    <row r="109" spans="1:1" s="1559" customFormat="1" x14ac:dyDescent="0.3">
      <c r="A109" s="1561"/>
    </row>
    <row r="110" spans="1:1" s="1559" customFormat="1" x14ac:dyDescent="0.3">
      <c r="A110" s="1561"/>
    </row>
    <row r="111" spans="1:1" s="1559" customFormat="1" x14ac:dyDescent="0.3">
      <c r="A111" s="1561"/>
    </row>
    <row r="112" spans="1:1" s="1559" customFormat="1" x14ac:dyDescent="0.3">
      <c r="A112" s="1561"/>
    </row>
    <row r="113" spans="1:1" s="1559" customFormat="1" x14ac:dyDescent="0.3">
      <c r="A113" s="1561"/>
    </row>
    <row r="114" spans="1:1" s="1559" customFormat="1" x14ac:dyDescent="0.3">
      <c r="A114" s="1561"/>
    </row>
    <row r="115" spans="1:1" s="1559" customFormat="1" x14ac:dyDescent="0.3">
      <c r="A115" s="1561"/>
    </row>
    <row r="116" spans="1:1" s="1559" customFormat="1" x14ac:dyDescent="0.3">
      <c r="A116" s="1561"/>
    </row>
    <row r="117" spans="1:1" s="1559" customFormat="1" x14ac:dyDescent="0.3">
      <c r="A117" s="1561"/>
    </row>
    <row r="118" spans="1:1" s="1559" customFormat="1" x14ac:dyDescent="0.3">
      <c r="A118" s="1561"/>
    </row>
    <row r="119" spans="1:1" s="1559" customFormat="1" x14ac:dyDescent="0.3">
      <c r="A119" s="1561"/>
    </row>
    <row r="120" spans="1:1" s="1559" customFormat="1" x14ac:dyDescent="0.3">
      <c r="A120" s="1561"/>
    </row>
    <row r="121" spans="1:1" s="1559" customFormat="1" x14ac:dyDescent="0.3">
      <c r="A121" s="1561"/>
    </row>
    <row r="122" spans="1:1" s="1559" customFormat="1" x14ac:dyDescent="0.3">
      <c r="A122" s="1561"/>
    </row>
    <row r="123" spans="1:1" s="1559" customFormat="1" x14ac:dyDescent="0.3">
      <c r="A123" s="1561"/>
    </row>
    <row r="124" spans="1:1" s="1559" customFormat="1" x14ac:dyDescent="0.3">
      <c r="A124" s="1561"/>
    </row>
    <row r="125" spans="1:1" s="1559" customFormat="1" x14ac:dyDescent="0.3">
      <c r="A125" s="1561"/>
    </row>
    <row r="126" spans="1:1" s="1559" customFormat="1" x14ac:dyDescent="0.3">
      <c r="A126" s="1561"/>
    </row>
    <row r="127" spans="1:1" s="1559" customFormat="1" x14ac:dyDescent="0.3">
      <c r="A127" s="1561"/>
    </row>
    <row r="128" spans="1:1" s="1559" customFormat="1" x14ac:dyDescent="0.3">
      <c r="A128" s="1561"/>
    </row>
    <row r="129" spans="1:1" s="1559" customFormat="1" x14ac:dyDescent="0.3">
      <c r="A129" s="1561"/>
    </row>
    <row r="130" spans="1:1" s="1559" customFormat="1" x14ac:dyDescent="0.3">
      <c r="A130" s="1561"/>
    </row>
    <row r="131" spans="1:1" s="1559" customFormat="1" x14ac:dyDescent="0.3">
      <c r="A131" s="1561"/>
    </row>
    <row r="132" spans="1:1" s="1559" customFormat="1" x14ac:dyDescent="0.3">
      <c r="A132" s="1561"/>
    </row>
    <row r="133" spans="1:1" s="1559" customFormat="1" x14ac:dyDescent="0.3">
      <c r="A133" s="1561"/>
    </row>
    <row r="134" spans="1:1" s="1559" customFormat="1" x14ac:dyDescent="0.3">
      <c r="A134" s="1561"/>
    </row>
    <row r="135" spans="1:1" s="1559" customFormat="1" x14ac:dyDescent="0.3">
      <c r="A135" s="1561"/>
    </row>
    <row r="136" spans="1:1" s="1559" customFormat="1" x14ac:dyDescent="0.3">
      <c r="A136" s="1561"/>
    </row>
    <row r="137" spans="1:1" s="1559" customFormat="1" x14ac:dyDescent="0.3">
      <c r="A137" s="1561"/>
    </row>
    <row r="138" spans="1:1" s="1559" customFormat="1" x14ac:dyDescent="0.3">
      <c r="A138" s="1561"/>
    </row>
    <row r="139" spans="1:1" s="1559" customFormat="1" x14ac:dyDescent="0.3">
      <c r="A139" s="1561"/>
    </row>
    <row r="140" spans="1:1" s="1559" customFormat="1" x14ac:dyDescent="0.3">
      <c r="A140" s="1561"/>
    </row>
    <row r="141" spans="1:1" s="1559" customFormat="1" x14ac:dyDescent="0.3">
      <c r="A141" s="1561"/>
    </row>
    <row r="142" spans="1:1" s="1559" customFormat="1" x14ac:dyDescent="0.3">
      <c r="A142" s="1561"/>
    </row>
    <row r="143" spans="1:1" s="1559" customFormat="1" x14ac:dyDescent="0.3">
      <c r="A143" s="1561"/>
    </row>
    <row r="144" spans="1:1" s="1559" customFormat="1" x14ac:dyDescent="0.3">
      <c r="A144" s="1561"/>
    </row>
    <row r="145" spans="1:1" s="1559" customFormat="1" x14ac:dyDescent="0.3">
      <c r="A145" s="1561"/>
    </row>
    <row r="146" spans="1:1" s="1559" customFormat="1" x14ac:dyDescent="0.3">
      <c r="A146" s="1561"/>
    </row>
    <row r="147" spans="1:1" s="1559" customFormat="1" x14ac:dyDescent="0.3">
      <c r="A147" s="1561"/>
    </row>
    <row r="148" spans="1:1" s="1559" customFormat="1" x14ac:dyDescent="0.3">
      <c r="A148" s="1561"/>
    </row>
    <row r="149" spans="1:1" s="1559" customFormat="1" x14ac:dyDescent="0.3">
      <c r="A149" s="1561"/>
    </row>
    <row r="150" spans="1:1" s="1559" customFormat="1" x14ac:dyDescent="0.3">
      <c r="A150" s="1561"/>
    </row>
    <row r="151" spans="1:1" s="1559" customFormat="1" x14ac:dyDescent="0.3">
      <c r="A151" s="1561"/>
    </row>
    <row r="152" spans="1:1" s="1559" customFormat="1" x14ac:dyDescent="0.3">
      <c r="A152" s="1561"/>
    </row>
    <row r="153" spans="1:1" s="1559" customFormat="1" x14ac:dyDescent="0.3">
      <c r="A153" s="1561"/>
    </row>
    <row r="154" spans="1:1" s="1559" customFormat="1" x14ac:dyDescent="0.3">
      <c r="A154" s="1561"/>
    </row>
    <row r="155" spans="1:1" s="1559" customFormat="1" x14ac:dyDescent="0.3">
      <c r="A155" s="1561"/>
    </row>
    <row r="156" spans="1:1" s="1559" customFormat="1" x14ac:dyDescent="0.3">
      <c r="A156" s="1561"/>
    </row>
    <row r="157" spans="1:1" s="1559" customFormat="1" x14ac:dyDescent="0.3">
      <c r="A157" s="1561"/>
    </row>
    <row r="158" spans="1:1" s="1559" customFormat="1" x14ac:dyDescent="0.3">
      <c r="A158" s="1561"/>
    </row>
    <row r="159" spans="1:1" s="1559" customFormat="1" x14ac:dyDescent="0.3">
      <c r="A159" s="1561"/>
    </row>
    <row r="160" spans="1:1" s="1559" customFormat="1" x14ac:dyDescent="0.3">
      <c r="A160" s="1561"/>
    </row>
    <row r="161" spans="1:1" s="1559" customFormat="1" x14ac:dyDescent="0.3">
      <c r="A161" s="1561"/>
    </row>
    <row r="162" spans="1:1" s="1559" customFormat="1" x14ac:dyDescent="0.3">
      <c r="A162" s="1561"/>
    </row>
    <row r="163" spans="1:1" s="1559" customFormat="1" x14ac:dyDescent="0.3">
      <c r="A163" s="1561"/>
    </row>
    <row r="164" spans="1:1" s="1559" customFormat="1" x14ac:dyDescent="0.3">
      <c r="A164" s="1561"/>
    </row>
    <row r="165" spans="1:1" s="1559" customFormat="1" x14ac:dyDescent="0.3">
      <c r="A165" s="1561"/>
    </row>
    <row r="166" spans="1:1" s="1559" customFormat="1" x14ac:dyDescent="0.3">
      <c r="A166" s="1561"/>
    </row>
    <row r="167" spans="1:1" s="1559" customFormat="1" x14ac:dyDescent="0.3">
      <c r="A167" s="1561"/>
    </row>
    <row r="168" spans="1:1" s="1559" customFormat="1" x14ac:dyDescent="0.3">
      <c r="A168" s="1561"/>
    </row>
    <row r="169" spans="1:1" s="1559" customFormat="1" x14ac:dyDescent="0.3">
      <c r="A169" s="1561"/>
    </row>
    <row r="170" spans="1:1" s="1559" customFormat="1" x14ac:dyDescent="0.3">
      <c r="A170" s="1561"/>
    </row>
    <row r="171" spans="1:1" s="1559" customFormat="1" x14ac:dyDescent="0.3">
      <c r="A171" s="1561"/>
    </row>
    <row r="172" spans="1:1" s="1559" customFormat="1" x14ac:dyDescent="0.3">
      <c r="A172" s="1561"/>
    </row>
    <row r="173" spans="1:1" s="1559" customFormat="1" x14ac:dyDescent="0.3">
      <c r="A173" s="1561"/>
    </row>
    <row r="174" spans="1:1" s="1559" customFormat="1" x14ac:dyDescent="0.3">
      <c r="A174" s="1561"/>
    </row>
    <row r="175" spans="1:1" s="1559" customFormat="1" x14ac:dyDescent="0.3">
      <c r="A175" s="1561"/>
    </row>
    <row r="176" spans="1:1" s="1559" customFormat="1" x14ac:dyDescent="0.3">
      <c r="A176" s="1561"/>
    </row>
    <row r="177" spans="1:1" s="1559" customFormat="1" x14ac:dyDescent="0.3">
      <c r="A177" s="1561"/>
    </row>
    <row r="178" spans="1:1" s="1559" customFormat="1" x14ac:dyDescent="0.3">
      <c r="A178" s="1561"/>
    </row>
    <row r="179" spans="1:1" s="1559" customFormat="1" x14ac:dyDescent="0.3">
      <c r="A179" s="1561"/>
    </row>
    <row r="180" spans="1:1" s="1559" customFormat="1" x14ac:dyDescent="0.3">
      <c r="A180" s="1561"/>
    </row>
    <row r="181" spans="1:1" s="1559" customFormat="1" x14ac:dyDescent="0.3">
      <c r="A181" s="1561"/>
    </row>
    <row r="182" spans="1:1" s="1559" customFormat="1" x14ac:dyDescent="0.3">
      <c r="A182" s="1561"/>
    </row>
    <row r="183" spans="1:1" s="1559" customFormat="1" x14ac:dyDescent="0.3">
      <c r="A183" s="1561"/>
    </row>
    <row r="184" spans="1:1" s="1559" customFormat="1" x14ac:dyDescent="0.3">
      <c r="A184" s="1561"/>
    </row>
    <row r="185" spans="1:1" s="1559" customFormat="1" x14ac:dyDescent="0.3">
      <c r="A185" s="1561"/>
    </row>
    <row r="186" spans="1:1" s="1559" customFormat="1" x14ac:dyDescent="0.3">
      <c r="A186" s="1561"/>
    </row>
    <row r="187" spans="1:1" s="1559" customFormat="1" x14ac:dyDescent="0.3">
      <c r="A187" s="1561"/>
    </row>
    <row r="188" spans="1:1" s="1559" customFormat="1" x14ac:dyDescent="0.3">
      <c r="A188" s="1561"/>
    </row>
    <row r="189" spans="1:1" s="1559" customFormat="1" x14ac:dyDescent="0.3">
      <c r="A189" s="1561"/>
    </row>
    <row r="190" spans="1:1" s="1559" customFormat="1" x14ac:dyDescent="0.3">
      <c r="A190" s="1561"/>
    </row>
    <row r="191" spans="1:1" s="1559" customFormat="1" x14ac:dyDescent="0.3">
      <c r="A191" s="1561"/>
    </row>
    <row r="192" spans="1:1" s="1559" customFormat="1" x14ac:dyDescent="0.3">
      <c r="A192" s="1561"/>
    </row>
    <row r="193" spans="1:1" s="1559" customFormat="1" x14ac:dyDescent="0.3">
      <c r="A193" s="1561"/>
    </row>
    <row r="194" spans="1:1" s="1559" customFormat="1" x14ac:dyDescent="0.3">
      <c r="A194" s="1561"/>
    </row>
    <row r="195" spans="1:1" s="1559" customFormat="1" x14ac:dyDescent="0.3">
      <c r="A195" s="1561"/>
    </row>
    <row r="196" spans="1:1" s="1559" customFormat="1" x14ac:dyDescent="0.3">
      <c r="A196" s="1561"/>
    </row>
    <row r="197" spans="1:1" s="1559" customFormat="1" x14ac:dyDescent="0.3">
      <c r="A197" s="1561"/>
    </row>
    <row r="198" spans="1:1" s="1559" customFormat="1" x14ac:dyDescent="0.3">
      <c r="A198" s="1561"/>
    </row>
    <row r="199" spans="1:1" s="1559" customFormat="1" x14ac:dyDescent="0.3">
      <c r="A199" s="1561"/>
    </row>
    <row r="200" spans="1:1" s="1559" customFormat="1" x14ac:dyDescent="0.3">
      <c r="A200" s="1561"/>
    </row>
    <row r="201" spans="1:1" s="1559" customFormat="1" x14ac:dyDescent="0.3">
      <c r="A201" s="1561"/>
    </row>
    <row r="202" spans="1:1" s="1559" customFormat="1" x14ac:dyDescent="0.3">
      <c r="A202" s="1561"/>
    </row>
    <row r="203" spans="1:1" s="1559" customFormat="1" x14ac:dyDescent="0.3">
      <c r="A203" s="1561"/>
    </row>
    <row r="204" spans="1:1" s="1559" customFormat="1" x14ac:dyDescent="0.3">
      <c r="A204" s="1561"/>
    </row>
    <row r="205" spans="1:1" s="1559" customFormat="1" x14ac:dyDescent="0.3">
      <c r="A205" s="1561"/>
    </row>
    <row r="206" spans="1:1" s="1559" customFormat="1" x14ac:dyDescent="0.3">
      <c r="A206" s="1561"/>
    </row>
    <row r="207" spans="1:1" s="1559" customFormat="1" x14ac:dyDescent="0.3">
      <c r="A207" s="1561"/>
    </row>
    <row r="208" spans="1:1" s="1559" customFormat="1" x14ac:dyDescent="0.3">
      <c r="A208" s="1561"/>
    </row>
    <row r="209" spans="1:1" s="1559" customFormat="1" x14ac:dyDescent="0.3">
      <c r="A209" s="1561"/>
    </row>
    <row r="210" spans="1:1" s="1559" customFormat="1" x14ac:dyDescent="0.3">
      <c r="A210" s="1561"/>
    </row>
    <row r="211" spans="1:1" s="1559" customFormat="1" x14ac:dyDescent="0.3">
      <c r="A211" s="1561"/>
    </row>
    <row r="212" spans="1:1" s="1559" customFormat="1" x14ac:dyDescent="0.3">
      <c r="A212" s="1561"/>
    </row>
    <row r="213" spans="1:1" s="1559" customFormat="1" x14ac:dyDescent="0.3">
      <c r="A213" s="1561"/>
    </row>
    <row r="214" spans="1:1" s="1559" customFormat="1" x14ac:dyDescent="0.3">
      <c r="A214" s="1561"/>
    </row>
    <row r="215" spans="1:1" s="1559" customFormat="1" x14ac:dyDescent="0.3">
      <c r="A215" s="1561"/>
    </row>
    <row r="216" spans="1:1" s="1559" customFormat="1" x14ac:dyDescent="0.3">
      <c r="A216" s="1561"/>
    </row>
    <row r="217" spans="1:1" s="1559" customFormat="1" x14ac:dyDescent="0.3">
      <c r="A217" s="1561"/>
    </row>
    <row r="218" spans="1:1" s="1559" customFormat="1" x14ac:dyDescent="0.3">
      <c r="A218" s="1561"/>
    </row>
    <row r="219" spans="1:1" s="1559" customFormat="1" x14ac:dyDescent="0.3">
      <c r="A219" s="1561"/>
    </row>
    <row r="220" spans="1:1" s="1559" customFormat="1" x14ac:dyDescent="0.3">
      <c r="A220" s="1561"/>
    </row>
    <row r="221" spans="1:1" s="1559" customFormat="1" x14ac:dyDescent="0.3">
      <c r="A221" s="1561"/>
    </row>
    <row r="222" spans="1:1" s="1559" customFormat="1" x14ac:dyDescent="0.3">
      <c r="A222" s="1561"/>
    </row>
    <row r="223" spans="1:1" s="1559" customFormat="1" x14ac:dyDescent="0.3">
      <c r="A223" s="1561"/>
    </row>
    <row r="224" spans="1:1" s="1559" customFormat="1" x14ac:dyDescent="0.3">
      <c r="A224" s="1561"/>
    </row>
    <row r="225" spans="1:1" s="1559" customFormat="1" x14ac:dyDescent="0.3">
      <c r="A225" s="1561"/>
    </row>
    <row r="226" spans="1:1" s="1559" customFormat="1" x14ac:dyDescent="0.3">
      <c r="A226" s="1561"/>
    </row>
    <row r="227" spans="1:1" s="1559" customFormat="1" x14ac:dyDescent="0.3">
      <c r="A227" s="1561"/>
    </row>
    <row r="228" spans="1:1" s="1559" customFormat="1" x14ac:dyDescent="0.3">
      <c r="A228" s="1561"/>
    </row>
    <row r="229" spans="1:1" s="1559" customFormat="1" x14ac:dyDescent="0.3">
      <c r="A229" s="1561"/>
    </row>
    <row r="230" spans="1:1" s="1559" customFormat="1" x14ac:dyDescent="0.3">
      <c r="A230" s="1561"/>
    </row>
    <row r="231" spans="1:1" s="1559" customFormat="1" x14ac:dyDescent="0.3">
      <c r="A231" s="1561"/>
    </row>
    <row r="232" spans="1:1" s="1559" customFormat="1" x14ac:dyDescent="0.3">
      <c r="A232" s="1561"/>
    </row>
    <row r="233" spans="1:1" s="1559" customFormat="1" x14ac:dyDescent="0.3">
      <c r="A233" s="1561"/>
    </row>
    <row r="234" spans="1:1" s="1559" customFormat="1" x14ac:dyDescent="0.3">
      <c r="A234" s="1561"/>
    </row>
    <row r="235" spans="1:1" s="1559" customFormat="1" x14ac:dyDescent="0.3">
      <c r="A235" s="1561"/>
    </row>
    <row r="236" spans="1:1" s="1559" customFormat="1" x14ac:dyDescent="0.3">
      <c r="A236" s="1561"/>
    </row>
    <row r="237" spans="1:1" s="1559" customFormat="1" x14ac:dyDescent="0.3">
      <c r="A237" s="1561"/>
    </row>
    <row r="238" spans="1:1" s="1559" customFormat="1" x14ac:dyDescent="0.3">
      <c r="A238" s="1561"/>
    </row>
    <row r="239" spans="1:1" s="1559" customFormat="1" x14ac:dyDescent="0.3">
      <c r="A239" s="1561"/>
    </row>
    <row r="240" spans="1:1" s="1559" customFormat="1" x14ac:dyDescent="0.3">
      <c r="A240" s="1561"/>
    </row>
    <row r="241" spans="1:1" s="1559" customFormat="1" x14ac:dyDescent="0.3">
      <c r="A241" s="1561"/>
    </row>
    <row r="242" spans="1:1" s="1559" customFormat="1" x14ac:dyDescent="0.3">
      <c r="A242" s="1561"/>
    </row>
    <row r="243" spans="1:1" s="1559" customFormat="1" x14ac:dyDescent="0.3">
      <c r="A243" s="1561"/>
    </row>
    <row r="244" spans="1:1" s="1559" customFormat="1" x14ac:dyDescent="0.3">
      <c r="A244" s="1561"/>
    </row>
    <row r="245" spans="1:1" s="1559" customFormat="1" x14ac:dyDescent="0.3">
      <c r="A245" s="1561"/>
    </row>
    <row r="246" spans="1:1" s="1559" customFormat="1" x14ac:dyDescent="0.3">
      <c r="A246" s="1561"/>
    </row>
    <row r="247" spans="1:1" s="1559" customFormat="1" x14ac:dyDescent="0.3">
      <c r="A247" s="1561"/>
    </row>
    <row r="248" spans="1:1" s="1559" customFormat="1" x14ac:dyDescent="0.3">
      <c r="A248" s="1561"/>
    </row>
    <row r="249" spans="1:1" s="1559" customFormat="1" x14ac:dyDescent="0.3">
      <c r="A249" s="1561"/>
    </row>
    <row r="250" spans="1:1" s="1559" customFormat="1" x14ac:dyDescent="0.3">
      <c r="A250" s="1561"/>
    </row>
    <row r="251" spans="1:1" s="1559" customFormat="1" x14ac:dyDescent="0.3">
      <c r="A251" s="1561"/>
    </row>
    <row r="252" spans="1:1" s="1559" customFormat="1" x14ac:dyDescent="0.3">
      <c r="A252" s="1561"/>
    </row>
    <row r="253" spans="1:1" s="1559" customFormat="1" x14ac:dyDescent="0.3">
      <c r="A253" s="1561"/>
    </row>
    <row r="254" spans="1:1" s="1559" customFormat="1" x14ac:dyDescent="0.3">
      <c r="A254" s="1561"/>
    </row>
    <row r="255" spans="1:1" s="1559" customFormat="1" x14ac:dyDescent="0.3">
      <c r="A255" s="1561"/>
    </row>
    <row r="256" spans="1:1" s="1559" customFormat="1" x14ac:dyDescent="0.3">
      <c r="A256" s="1561"/>
    </row>
    <row r="257" spans="1:1" s="1559" customFormat="1" x14ac:dyDescent="0.3">
      <c r="A257" s="1561"/>
    </row>
    <row r="258" spans="1:1" s="1559" customFormat="1" x14ac:dyDescent="0.3">
      <c r="A258" s="1561"/>
    </row>
    <row r="259" spans="1:1" s="1559" customFormat="1" x14ac:dyDescent="0.3">
      <c r="A259" s="1561"/>
    </row>
    <row r="260" spans="1:1" s="1559" customFormat="1" x14ac:dyDescent="0.3">
      <c r="A260" s="1561"/>
    </row>
    <row r="261" spans="1:1" s="1559" customFormat="1" x14ac:dyDescent="0.3">
      <c r="A261" s="1561"/>
    </row>
    <row r="262" spans="1:1" s="1559" customFormat="1" x14ac:dyDescent="0.3">
      <c r="A262" s="1561"/>
    </row>
    <row r="263" spans="1:1" s="1559" customFormat="1" x14ac:dyDescent="0.3">
      <c r="A263" s="1561"/>
    </row>
    <row r="264" spans="1:1" s="1559" customFormat="1" x14ac:dyDescent="0.3">
      <c r="A264" s="1561"/>
    </row>
    <row r="265" spans="1:1" s="1559" customFormat="1" x14ac:dyDescent="0.3">
      <c r="A265" s="1561"/>
    </row>
    <row r="266" spans="1:1" s="1559" customFormat="1" x14ac:dyDescent="0.3">
      <c r="A266" s="1561"/>
    </row>
    <row r="267" spans="1:1" s="1559" customFormat="1" x14ac:dyDescent="0.3">
      <c r="A267" s="1561"/>
    </row>
    <row r="268" spans="1:1" s="1559" customFormat="1" x14ac:dyDescent="0.3">
      <c r="A268" s="1561"/>
    </row>
    <row r="269" spans="1:1" s="1559" customFormat="1" x14ac:dyDescent="0.3">
      <c r="A269" s="1561"/>
    </row>
    <row r="270" spans="1:1" s="1559" customFormat="1" x14ac:dyDescent="0.3">
      <c r="A270" s="1561"/>
    </row>
    <row r="271" spans="1:1" s="1559" customFormat="1" x14ac:dyDescent="0.3">
      <c r="A271" s="1561"/>
    </row>
    <row r="272" spans="1:1" s="1559" customFormat="1" x14ac:dyDescent="0.3">
      <c r="A272" s="1561"/>
    </row>
    <row r="273" spans="1:1" s="1559" customFormat="1" x14ac:dyDescent="0.3">
      <c r="A273" s="1561"/>
    </row>
    <row r="274" spans="1:1" s="1559" customFormat="1" x14ac:dyDescent="0.3">
      <c r="A274" s="1561"/>
    </row>
    <row r="275" spans="1:1" s="1559" customFormat="1" x14ac:dyDescent="0.3">
      <c r="A275" s="1561"/>
    </row>
    <row r="276" spans="1:1" s="1559" customFormat="1" x14ac:dyDescent="0.3">
      <c r="A276" s="1561"/>
    </row>
    <row r="277" spans="1:1" s="1559" customFormat="1" x14ac:dyDescent="0.3">
      <c r="A277" s="1561"/>
    </row>
    <row r="278" spans="1:1" s="1559" customFormat="1" x14ac:dyDescent="0.3">
      <c r="A278" s="1561"/>
    </row>
    <row r="279" spans="1:1" s="1559" customFormat="1" x14ac:dyDescent="0.3">
      <c r="A279" s="1561"/>
    </row>
    <row r="280" spans="1:1" s="1559" customFormat="1" x14ac:dyDescent="0.3">
      <c r="A280" s="1561"/>
    </row>
    <row r="281" spans="1:1" s="1559" customFormat="1" x14ac:dyDescent="0.3">
      <c r="A281" s="1561"/>
    </row>
    <row r="282" spans="1:1" s="1559" customFormat="1" x14ac:dyDescent="0.3">
      <c r="A282" s="1561"/>
    </row>
    <row r="283" spans="1:1" s="1559" customFormat="1" x14ac:dyDescent="0.3">
      <c r="A283" s="1561"/>
    </row>
    <row r="284" spans="1:1" s="1559" customFormat="1" x14ac:dyDescent="0.3">
      <c r="A284" s="1561"/>
    </row>
    <row r="285" spans="1:1" s="1559" customFormat="1" x14ac:dyDescent="0.3">
      <c r="A285" s="1561"/>
    </row>
    <row r="286" spans="1:1" s="1559" customFormat="1" x14ac:dyDescent="0.3">
      <c r="A286" s="1561"/>
    </row>
    <row r="287" spans="1:1" s="1559" customFormat="1" x14ac:dyDescent="0.3">
      <c r="A287" s="1561"/>
    </row>
    <row r="288" spans="1:1" s="1559" customFormat="1" x14ac:dyDescent="0.3">
      <c r="A288" s="1561"/>
    </row>
    <row r="289" spans="1:1" s="1559" customFormat="1" x14ac:dyDescent="0.3">
      <c r="A289" s="1561"/>
    </row>
    <row r="290" spans="1:1" s="1559" customFormat="1" x14ac:dyDescent="0.3">
      <c r="A290" s="1561"/>
    </row>
    <row r="291" spans="1:1" s="1559" customFormat="1" x14ac:dyDescent="0.3">
      <c r="A291" s="1561"/>
    </row>
    <row r="292" spans="1:1" s="1559" customFormat="1" x14ac:dyDescent="0.3">
      <c r="A292" s="1561"/>
    </row>
    <row r="293" spans="1:1" s="1559" customFormat="1" x14ac:dyDescent="0.3">
      <c r="A293" s="1561"/>
    </row>
    <row r="294" spans="1:1" s="1559" customFormat="1" x14ac:dyDescent="0.3">
      <c r="A294" s="1561"/>
    </row>
    <row r="295" spans="1:1" s="1559" customFormat="1" x14ac:dyDescent="0.3">
      <c r="A295" s="1561"/>
    </row>
    <row r="296" spans="1:1" s="1559" customFormat="1" x14ac:dyDescent="0.3">
      <c r="A296" s="1561"/>
    </row>
    <row r="297" spans="1:1" s="1559" customFormat="1" x14ac:dyDescent="0.3">
      <c r="A297" s="1561"/>
    </row>
    <row r="298" spans="1:1" s="1559" customFormat="1" x14ac:dyDescent="0.3">
      <c r="A298" s="1561"/>
    </row>
    <row r="299" spans="1:1" s="1559" customFormat="1" x14ac:dyDescent="0.3">
      <c r="A299" s="1561"/>
    </row>
    <row r="300" spans="1:1" s="1559" customFormat="1" x14ac:dyDescent="0.3">
      <c r="A300" s="1561"/>
    </row>
    <row r="301" spans="1:1" s="1559" customFormat="1" x14ac:dyDescent="0.3">
      <c r="A301" s="1561"/>
    </row>
    <row r="302" spans="1:1" s="1559" customFormat="1" x14ac:dyDescent="0.3">
      <c r="A302" s="1561"/>
    </row>
    <row r="303" spans="1:1" s="1559" customFormat="1" x14ac:dyDescent="0.3">
      <c r="A303" s="1561"/>
    </row>
    <row r="304" spans="1:1" s="1559" customFormat="1" x14ac:dyDescent="0.3">
      <c r="A304" s="1561"/>
    </row>
    <row r="305" spans="1:1" s="1559" customFormat="1" x14ac:dyDescent="0.3">
      <c r="A305" s="1561"/>
    </row>
    <row r="306" spans="1:1" s="1559" customFormat="1" x14ac:dyDescent="0.3">
      <c r="A306" s="1561"/>
    </row>
    <row r="307" spans="1:1" s="1559" customFormat="1" x14ac:dyDescent="0.3">
      <c r="A307" s="1561"/>
    </row>
    <row r="308" spans="1:1" s="1559" customFormat="1" x14ac:dyDescent="0.3">
      <c r="A308" s="1561"/>
    </row>
    <row r="309" spans="1:1" s="1559" customFormat="1" x14ac:dyDescent="0.3">
      <c r="A309" s="1561"/>
    </row>
    <row r="310" spans="1:1" s="1559" customFormat="1" x14ac:dyDescent="0.3">
      <c r="A310" s="1561"/>
    </row>
    <row r="311" spans="1:1" s="1559" customFormat="1" x14ac:dyDescent="0.3">
      <c r="A311" s="1561"/>
    </row>
    <row r="312" spans="1:1" s="1559" customFormat="1" x14ac:dyDescent="0.3">
      <c r="A312" s="1561"/>
    </row>
    <row r="313" spans="1:1" s="1559" customFormat="1" x14ac:dyDescent="0.3">
      <c r="A313" s="1561"/>
    </row>
    <row r="314" spans="1:1" s="1559" customFormat="1" x14ac:dyDescent="0.3">
      <c r="A314" s="1561"/>
    </row>
    <row r="315" spans="1:1" s="1559" customFormat="1" x14ac:dyDescent="0.3">
      <c r="A315" s="1561"/>
    </row>
    <row r="316" spans="1:1" s="1559" customFormat="1" x14ac:dyDescent="0.3">
      <c r="A316" s="1561"/>
    </row>
    <row r="317" spans="1:1" s="1559" customFormat="1" x14ac:dyDescent="0.3">
      <c r="A317" s="1561"/>
    </row>
    <row r="318" spans="1:1" s="1559" customFormat="1" x14ac:dyDescent="0.3">
      <c r="A318" s="1561"/>
    </row>
    <row r="319" spans="1:1" s="1559" customFormat="1" x14ac:dyDescent="0.3">
      <c r="A319" s="1561"/>
    </row>
    <row r="320" spans="1:1" s="1559" customFormat="1" x14ac:dyDescent="0.3">
      <c r="A320" s="1561"/>
    </row>
    <row r="321" spans="1:1" s="1559" customFormat="1" x14ac:dyDescent="0.3">
      <c r="A321" s="1561"/>
    </row>
    <row r="322" spans="1:1" s="1559" customFormat="1" x14ac:dyDescent="0.3">
      <c r="A322" s="1561"/>
    </row>
    <row r="323" spans="1:1" s="1559" customFormat="1" x14ac:dyDescent="0.3">
      <c r="A323" s="1561"/>
    </row>
    <row r="324" spans="1:1" s="1559" customFormat="1" x14ac:dyDescent="0.3">
      <c r="A324" s="1561"/>
    </row>
    <row r="325" spans="1:1" s="1559" customFormat="1" x14ac:dyDescent="0.3">
      <c r="A325" s="1561"/>
    </row>
    <row r="326" spans="1:1" s="1559" customFormat="1" x14ac:dyDescent="0.3">
      <c r="A326" s="1561"/>
    </row>
    <row r="327" spans="1:1" s="1559" customFormat="1" x14ac:dyDescent="0.3">
      <c r="A327" s="1561"/>
    </row>
    <row r="328" spans="1:1" s="1559" customFormat="1" x14ac:dyDescent="0.3">
      <c r="A328" s="1561"/>
    </row>
    <row r="329" spans="1:1" s="1559" customFormat="1" x14ac:dyDescent="0.3">
      <c r="A329" s="1561"/>
    </row>
    <row r="330" spans="1:1" s="1559" customFormat="1" x14ac:dyDescent="0.3">
      <c r="A330" s="1561"/>
    </row>
    <row r="331" spans="1:1" s="1559" customFormat="1" x14ac:dyDescent="0.3">
      <c r="A331" s="1561"/>
    </row>
    <row r="332" spans="1:1" s="1559" customFormat="1" x14ac:dyDescent="0.3">
      <c r="A332" s="1561"/>
    </row>
    <row r="333" spans="1:1" s="1559" customFormat="1" x14ac:dyDescent="0.3">
      <c r="A333" s="1561"/>
    </row>
    <row r="334" spans="1:1" s="1559" customFormat="1" x14ac:dyDescent="0.3">
      <c r="A334" s="1561"/>
    </row>
    <row r="335" spans="1:1" s="1559" customFormat="1" x14ac:dyDescent="0.3">
      <c r="A335" s="1561"/>
    </row>
    <row r="336" spans="1:1" s="1559" customFormat="1" x14ac:dyDescent="0.3">
      <c r="A336" s="1561"/>
    </row>
    <row r="337" spans="1:1" s="1559" customFormat="1" x14ac:dyDescent="0.3">
      <c r="A337" s="1561"/>
    </row>
    <row r="338" spans="1:1" s="1559" customFormat="1" x14ac:dyDescent="0.3">
      <c r="A338" s="1561"/>
    </row>
    <row r="339" spans="1:1" s="1559" customFormat="1" x14ac:dyDescent="0.3">
      <c r="A339" s="1561"/>
    </row>
    <row r="340" spans="1:1" s="1559" customFormat="1" x14ac:dyDescent="0.3">
      <c r="A340" s="1561"/>
    </row>
    <row r="341" spans="1:1" s="1559" customFormat="1" x14ac:dyDescent="0.3">
      <c r="A341" s="1561"/>
    </row>
    <row r="342" spans="1:1" s="1559" customFormat="1" x14ac:dyDescent="0.3">
      <c r="A342" s="1561"/>
    </row>
    <row r="343" spans="1:1" s="1559" customFormat="1" x14ac:dyDescent="0.3">
      <c r="A343" s="1561"/>
    </row>
    <row r="344" spans="1:1" s="1559" customFormat="1" x14ac:dyDescent="0.3">
      <c r="A344" s="1561"/>
    </row>
    <row r="345" spans="1:1" s="1559" customFormat="1" x14ac:dyDescent="0.3">
      <c r="A345" s="1561"/>
    </row>
    <row r="346" spans="1:1" s="1559" customFormat="1" x14ac:dyDescent="0.3">
      <c r="A346" s="1561"/>
    </row>
    <row r="347" spans="1:1" s="1559" customFormat="1" x14ac:dyDescent="0.3">
      <c r="A347" s="1561"/>
    </row>
    <row r="348" spans="1:1" s="1559" customFormat="1" x14ac:dyDescent="0.3">
      <c r="A348" s="1561"/>
    </row>
    <row r="349" spans="1:1" s="1559" customFormat="1" x14ac:dyDescent="0.3">
      <c r="A349" s="1561"/>
    </row>
    <row r="350" spans="1:1" s="1559" customFormat="1" x14ac:dyDescent="0.3">
      <c r="A350" s="1561"/>
    </row>
    <row r="351" spans="1:1" s="1559" customFormat="1" x14ac:dyDescent="0.3">
      <c r="A351" s="1561"/>
    </row>
    <row r="352" spans="1:1" s="1559" customFormat="1" x14ac:dyDescent="0.3">
      <c r="A352" s="1561"/>
    </row>
    <row r="353" spans="1:1" s="1559" customFormat="1" x14ac:dyDescent="0.3">
      <c r="A353" s="1561"/>
    </row>
    <row r="354" spans="1:1" s="1559" customFormat="1" x14ac:dyDescent="0.3">
      <c r="A354" s="1561"/>
    </row>
    <row r="355" spans="1:1" s="1559" customFormat="1" x14ac:dyDescent="0.3">
      <c r="A355" s="1561"/>
    </row>
    <row r="356" spans="1:1" s="1559" customFormat="1" x14ac:dyDescent="0.3">
      <c r="A356" s="1561"/>
    </row>
    <row r="357" spans="1:1" s="1559" customFormat="1" x14ac:dyDescent="0.3">
      <c r="A357" s="1561"/>
    </row>
    <row r="358" spans="1:1" s="1559" customFormat="1" x14ac:dyDescent="0.3">
      <c r="A358" s="1561"/>
    </row>
    <row r="359" spans="1:1" s="1559" customFormat="1" x14ac:dyDescent="0.3">
      <c r="A359" s="1561"/>
    </row>
    <row r="360" spans="1:1" s="1559" customFormat="1" x14ac:dyDescent="0.3">
      <c r="A360" s="1561"/>
    </row>
    <row r="361" spans="1:1" s="1559" customFormat="1" x14ac:dyDescent="0.3">
      <c r="A361" s="1561"/>
    </row>
    <row r="362" spans="1:1" s="1559" customFormat="1" x14ac:dyDescent="0.3">
      <c r="A362" s="1561"/>
    </row>
    <row r="363" spans="1:1" s="1559" customFormat="1" x14ac:dyDescent="0.3">
      <c r="A363" s="1561"/>
    </row>
    <row r="364" spans="1:1" s="1559" customFormat="1" x14ac:dyDescent="0.3">
      <c r="A364" s="1561"/>
    </row>
    <row r="365" spans="1:1" s="1559" customFormat="1" x14ac:dyDescent="0.3">
      <c r="A365" s="1561"/>
    </row>
    <row r="366" spans="1:1" s="1559" customFormat="1" x14ac:dyDescent="0.3">
      <c r="A366" s="1561"/>
    </row>
    <row r="367" spans="1:1" s="1559" customFormat="1" x14ac:dyDescent="0.3">
      <c r="A367" s="1561"/>
    </row>
    <row r="368" spans="1:1" s="1559" customFormat="1" x14ac:dyDescent="0.3">
      <c r="A368" s="1561"/>
    </row>
    <row r="369" spans="1:1" s="1559" customFormat="1" x14ac:dyDescent="0.3">
      <c r="A369" s="1561"/>
    </row>
    <row r="370" spans="1:1" s="1559" customFormat="1" x14ac:dyDescent="0.3">
      <c r="A370" s="1561"/>
    </row>
    <row r="371" spans="1:1" s="1559" customFormat="1" x14ac:dyDescent="0.3">
      <c r="A371" s="1561"/>
    </row>
    <row r="372" spans="1:1" s="1559" customFormat="1" x14ac:dyDescent="0.3">
      <c r="A372" s="1561"/>
    </row>
    <row r="373" spans="1:1" s="1559" customFormat="1" x14ac:dyDescent="0.3">
      <c r="A373" s="1561"/>
    </row>
    <row r="374" spans="1:1" s="1559" customFormat="1" x14ac:dyDescent="0.3">
      <c r="A374" s="1561"/>
    </row>
    <row r="375" spans="1:1" s="1559" customFormat="1" x14ac:dyDescent="0.3">
      <c r="A375" s="1561"/>
    </row>
    <row r="376" spans="1:1" s="1559" customFormat="1" x14ac:dyDescent="0.3">
      <c r="A376" s="1561"/>
    </row>
    <row r="377" spans="1:1" s="1559" customFormat="1" x14ac:dyDescent="0.3">
      <c r="A377" s="1561"/>
    </row>
    <row r="378" spans="1:1" s="1559" customFormat="1" x14ac:dyDescent="0.3">
      <c r="A378" s="1561"/>
    </row>
    <row r="379" spans="1:1" s="1559" customFormat="1" x14ac:dyDescent="0.3">
      <c r="A379" s="1561"/>
    </row>
    <row r="380" spans="1:1" s="1559" customFormat="1" x14ac:dyDescent="0.3">
      <c r="A380" s="1561"/>
    </row>
    <row r="381" spans="1:1" s="1559" customFormat="1" x14ac:dyDescent="0.3">
      <c r="A381" s="1561"/>
    </row>
    <row r="382" spans="1:1" s="1559" customFormat="1" x14ac:dyDescent="0.3">
      <c r="A382" s="1561"/>
    </row>
    <row r="383" spans="1:1" s="1559" customFormat="1" x14ac:dyDescent="0.3">
      <c r="A383" s="1561"/>
    </row>
    <row r="384" spans="1:1" s="1559" customFormat="1" x14ac:dyDescent="0.3">
      <c r="A384" s="1561"/>
    </row>
    <row r="385" spans="1:1" s="1559" customFormat="1" x14ac:dyDescent="0.3">
      <c r="A385" s="1561"/>
    </row>
    <row r="386" spans="1:1" s="1559" customFormat="1" x14ac:dyDescent="0.3">
      <c r="A386" s="1561"/>
    </row>
    <row r="387" spans="1:1" s="1559" customFormat="1" x14ac:dyDescent="0.3">
      <c r="A387" s="1561"/>
    </row>
    <row r="388" spans="1:1" s="1559" customFormat="1" x14ac:dyDescent="0.3">
      <c r="A388" s="1561"/>
    </row>
    <row r="389" spans="1:1" s="1559" customFormat="1" x14ac:dyDescent="0.3">
      <c r="A389" s="1561"/>
    </row>
    <row r="390" spans="1:1" s="1559" customFormat="1" x14ac:dyDescent="0.3">
      <c r="A390" s="1561"/>
    </row>
    <row r="391" spans="1:1" s="1559" customFormat="1" x14ac:dyDescent="0.3">
      <c r="A391" s="1561"/>
    </row>
    <row r="392" spans="1:1" s="1559" customFormat="1" x14ac:dyDescent="0.3">
      <c r="A392" s="1561"/>
    </row>
    <row r="393" spans="1:1" s="1559" customFormat="1" x14ac:dyDescent="0.3">
      <c r="A393" s="1561"/>
    </row>
    <row r="394" spans="1:1" s="1559" customFormat="1" x14ac:dyDescent="0.3">
      <c r="A394" s="1561"/>
    </row>
    <row r="395" spans="1:1" s="1559" customFormat="1" x14ac:dyDescent="0.3">
      <c r="A395" s="1561"/>
    </row>
    <row r="396" spans="1:1" s="1559" customFormat="1" x14ac:dyDescent="0.3">
      <c r="A396" s="1561"/>
    </row>
    <row r="397" spans="1:1" s="1559" customFormat="1" x14ac:dyDescent="0.3">
      <c r="A397" s="1561"/>
    </row>
    <row r="398" spans="1:1" s="1559" customFormat="1" x14ac:dyDescent="0.3">
      <c r="A398" s="1561"/>
    </row>
    <row r="399" spans="1:1" s="1559" customFormat="1" x14ac:dyDescent="0.3">
      <c r="A399" s="1561"/>
    </row>
    <row r="400" spans="1:1" s="1559" customFormat="1" x14ac:dyDescent="0.3">
      <c r="A400" s="1561"/>
    </row>
    <row r="401" spans="1:1" s="1559" customFormat="1" x14ac:dyDescent="0.3">
      <c r="A401" s="1561"/>
    </row>
    <row r="402" spans="1:1" s="1559" customFormat="1" x14ac:dyDescent="0.3">
      <c r="A402" s="1561"/>
    </row>
    <row r="403" spans="1:1" s="1559" customFormat="1" x14ac:dyDescent="0.3">
      <c r="A403" s="1561"/>
    </row>
    <row r="404" spans="1:1" s="1559" customFormat="1" x14ac:dyDescent="0.3">
      <c r="A404" s="1561"/>
    </row>
    <row r="405" spans="1:1" s="1559" customFormat="1" x14ac:dyDescent="0.3">
      <c r="A405" s="1561"/>
    </row>
    <row r="406" spans="1:1" s="1559" customFormat="1" x14ac:dyDescent="0.3">
      <c r="A406" s="1561"/>
    </row>
    <row r="407" spans="1:1" s="1559" customFormat="1" x14ac:dyDescent="0.3">
      <c r="A407" s="1561"/>
    </row>
    <row r="408" spans="1:1" s="1559" customFormat="1" x14ac:dyDescent="0.3">
      <c r="A408" s="1561"/>
    </row>
    <row r="409" spans="1:1" s="1559" customFormat="1" x14ac:dyDescent="0.3">
      <c r="A409" s="1561"/>
    </row>
    <row r="410" spans="1:1" s="1559" customFormat="1" x14ac:dyDescent="0.3">
      <c r="A410" s="1561"/>
    </row>
    <row r="411" spans="1:1" s="1559" customFormat="1" x14ac:dyDescent="0.3">
      <c r="A411" s="1561"/>
    </row>
    <row r="412" spans="1:1" s="1559" customFormat="1" x14ac:dyDescent="0.3">
      <c r="A412" s="1561"/>
    </row>
    <row r="413" spans="1:1" s="1559" customFormat="1" x14ac:dyDescent="0.3">
      <c r="A413" s="1561"/>
    </row>
    <row r="414" spans="1:1" s="1559" customFormat="1" x14ac:dyDescent="0.3">
      <c r="A414" s="1561"/>
    </row>
    <row r="415" spans="1:1" s="1559" customFormat="1" x14ac:dyDescent="0.3">
      <c r="A415" s="1561"/>
    </row>
    <row r="416" spans="1:1" s="1559" customFormat="1" x14ac:dyDescent="0.3">
      <c r="A416" s="1561"/>
    </row>
    <row r="417" spans="1:1" s="1559" customFormat="1" x14ac:dyDescent="0.3">
      <c r="A417" s="1561"/>
    </row>
    <row r="418" spans="1:1" s="1559" customFormat="1" x14ac:dyDescent="0.3">
      <c r="A418" s="1561"/>
    </row>
    <row r="419" spans="1:1" s="1559" customFormat="1" x14ac:dyDescent="0.3">
      <c r="A419" s="1561"/>
    </row>
    <row r="420" spans="1:1" s="1559" customFormat="1" x14ac:dyDescent="0.3">
      <c r="A420" s="1561"/>
    </row>
    <row r="421" spans="1:1" s="1559" customFormat="1" x14ac:dyDescent="0.3">
      <c r="A421" s="1561"/>
    </row>
    <row r="422" spans="1:1" s="1559" customFormat="1" x14ac:dyDescent="0.3">
      <c r="A422" s="1561"/>
    </row>
    <row r="423" spans="1:1" s="1559" customFormat="1" x14ac:dyDescent="0.3">
      <c r="A423" s="1561"/>
    </row>
    <row r="424" spans="1:1" s="1559" customFormat="1" x14ac:dyDescent="0.3">
      <c r="A424" s="1561"/>
    </row>
    <row r="425" spans="1:1" s="1559" customFormat="1" x14ac:dyDescent="0.3">
      <c r="A425" s="1561"/>
    </row>
    <row r="426" spans="1:1" s="1559" customFormat="1" x14ac:dyDescent="0.3">
      <c r="A426" s="1561"/>
    </row>
    <row r="427" spans="1:1" s="1559" customFormat="1" x14ac:dyDescent="0.3">
      <c r="A427" s="1561"/>
    </row>
    <row r="428" spans="1:1" s="1559" customFormat="1" x14ac:dyDescent="0.3">
      <c r="A428" s="1561"/>
    </row>
    <row r="429" spans="1:1" s="1559" customFormat="1" x14ac:dyDescent="0.3">
      <c r="A429" s="1561"/>
    </row>
    <row r="430" spans="1:1" s="1559" customFormat="1" x14ac:dyDescent="0.3">
      <c r="A430" s="1561"/>
    </row>
    <row r="431" spans="1:1" s="1559" customFormat="1" x14ac:dyDescent="0.3">
      <c r="A431" s="1561"/>
    </row>
    <row r="432" spans="1:1" s="1559" customFormat="1" x14ac:dyDescent="0.3">
      <c r="A432" s="1561"/>
    </row>
    <row r="433" spans="1:1" s="1559" customFormat="1" x14ac:dyDescent="0.3">
      <c r="A433" s="1561"/>
    </row>
    <row r="434" spans="1:1" s="1559" customFormat="1" x14ac:dyDescent="0.3">
      <c r="A434" s="1561"/>
    </row>
    <row r="435" spans="1:1" s="1559" customFormat="1" x14ac:dyDescent="0.3">
      <c r="A435" s="1561"/>
    </row>
    <row r="436" spans="1:1" s="1559" customFormat="1" x14ac:dyDescent="0.3">
      <c r="A436" s="1561"/>
    </row>
    <row r="437" spans="1:1" s="1559" customFormat="1" x14ac:dyDescent="0.3">
      <c r="A437" s="1561"/>
    </row>
    <row r="438" spans="1:1" s="1559" customFormat="1" x14ac:dyDescent="0.3">
      <c r="A438" s="1561"/>
    </row>
    <row r="439" spans="1:1" s="1559" customFormat="1" x14ac:dyDescent="0.3">
      <c r="A439" s="1561"/>
    </row>
    <row r="440" spans="1:1" s="1559" customFormat="1" x14ac:dyDescent="0.3">
      <c r="A440" s="1561"/>
    </row>
    <row r="441" spans="1:1" s="1559" customFormat="1" x14ac:dyDescent="0.3">
      <c r="A441" s="1561"/>
    </row>
    <row r="442" spans="1:1" s="1559" customFormat="1" x14ac:dyDescent="0.3">
      <c r="A442" s="1561"/>
    </row>
    <row r="443" spans="1:1" s="1559" customFormat="1" x14ac:dyDescent="0.3">
      <c r="A443" s="1561"/>
    </row>
    <row r="444" spans="1:1" s="1559" customFormat="1" x14ac:dyDescent="0.3">
      <c r="A444" s="1561"/>
    </row>
    <row r="445" spans="1:1" s="1559" customFormat="1" x14ac:dyDescent="0.3">
      <c r="A445" s="1561"/>
    </row>
    <row r="446" spans="1:1" s="1559" customFormat="1" x14ac:dyDescent="0.3">
      <c r="A446" s="1561"/>
    </row>
    <row r="447" spans="1:1" s="1559" customFormat="1" x14ac:dyDescent="0.3">
      <c r="A447" s="1561"/>
    </row>
    <row r="448" spans="1:1" s="1559" customFormat="1" x14ac:dyDescent="0.3">
      <c r="A448" s="1561"/>
    </row>
    <row r="449" spans="1:1" s="1559" customFormat="1" x14ac:dyDescent="0.3">
      <c r="A449" s="1561"/>
    </row>
    <row r="450" spans="1:1" s="1559" customFormat="1" x14ac:dyDescent="0.3">
      <c r="A450" s="1561"/>
    </row>
    <row r="451" spans="1:1" s="1559" customFormat="1" x14ac:dyDescent="0.3">
      <c r="A451" s="1561"/>
    </row>
    <row r="452" spans="1:1" s="1559" customFormat="1" x14ac:dyDescent="0.3">
      <c r="A452" s="1561"/>
    </row>
    <row r="453" spans="1:1" s="1559" customFormat="1" x14ac:dyDescent="0.3">
      <c r="A453" s="1561"/>
    </row>
    <row r="454" spans="1:1" s="1559" customFormat="1" x14ac:dyDescent="0.3">
      <c r="A454" s="1561"/>
    </row>
    <row r="455" spans="1:1" s="1559" customFormat="1" x14ac:dyDescent="0.3">
      <c r="A455" s="1561"/>
    </row>
    <row r="456" spans="1:1" s="1559" customFormat="1" x14ac:dyDescent="0.3">
      <c r="A456" s="1561"/>
    </row>
    <row r="457" spans="1:1" s="1559" customFormat="1" x14ac:dyDescent="0.3">
      <c r="A457" s="1561"/>
    </row>
    <row r="458" spans="1:1" s="1559" customFormat="1" x14ac:dyDescent="0.3">
      <c r="A458" s="1561"/>
    </row>
    <row r="459" spans="1:1" s="1559" customFormat="1" x14ac:dyDescent="0.3">
      <c r="A459" s="1561"/>
    </row>
    <row r="460" spans="1:1" s="1559" customFormat="1" x14ac:dyDescent="0.3">
      <c r="A460" s="1561"/>
    </row>
    <row r="461" spans="1:1" s="1559" customFormat="1" x14ac:dyDescent="0.3">
      <c r="A461" s="1561"/>
    </row>
    <row r="462" spans="1:1" s="1559" customFormat="1" x14ac:dyDescent="0.3">
      <c r="A462" s="1561"/>
    </row>
    <row r="463" spans="1:1" s="1559" customFormat="1" x14ac:dyDescent="0.3">
      <c r="A463" s="1561"/>
    </row>
    <row r="464" spans="1:1" s="1559" customFormat="1" x14ac:dyDescent="0.3">
      <c r="A464" s="1561"/>
    </row>
    <row r="465" spans="1:1" s="1559" customFormat="1" x14ac:dyDescent="0.3">
      <c r="A465" s="1561"/>
    </row>
    <row r="466" spans="1:1" s="1559" customFormat="1" x14ac:dyDescent="0.3">
      <c r="A466" s="1561"/>
    </row>
    <row r="467" spans="1:1" s="1559" customFormat="1" x14ac:dyDescent="0.3">
      <c r="A467" s="1561"/>
    </row>
    <row r="468" spans="1:1" s="1559" customFormat="1" x14ac:dyDescent="0.3">
      <c r="A468" s="1561"/>
    </row>
    <row r="469" spans="1:1" s="1559" customFormat="1" x14ac:dyDescent="0.3">
      <c r="A469" s="1561"/>
    </row>
    <row r="470" spans="1:1" s="1559" customFormat="1" x14ac:dyDescent="0.3">
      <c r="A470" s="1561"/>
    </row>
    <row r="471" spans="1:1" s="1559" customFormat="1" x14ac:dyDescent="0.3">
      <c r="A471" s="1561"/>
    </row>
    <row r="472" spans="1:1" s="1559" customFormat="1" x14ac:dyDescent="0.3">
      <c r="A472" s="1561"/>
    </row>
    <row r="473" spans="1:1" s="1559" customFormat="1" x14ac:dyDescent="0.3">
      <c r="A473" s="1561"/>
    </row>
    <row r="474" spans="1:1" s="1559" customFormat="1" x14ac:dyDescent="0.3">
      <c r="A474" s="1561"/>
    </row>
    <row r="475" spans="1:1" s="1559" customFormat="1" x14ac:dyDescent="0.3">
      <c r="A475" s="1561"/>
    </row>
    <row r="476" spans="1:1" s="1559" customFormat="1" x14ac:dyDescent="0.3">
      <c r="A476" s="1561"/>
    </row>
    <row r="477" spans="1:1" s="1559" customFormat="1" x14ac:dyDescent="0.3">
      <c r="A477" s="1561"/>
    </row>
    <row r="478" spans="1:1" s="1559" customFormat="1" x14ac:dyDescent="0.3">
      <c r="A478" s="1561"/>
    </row>
    <row r="479" spans="1:1" s="1559" customFormat="1" x14ac:dyDescent="0.3">
      <c r="A479" s="1561"/>
    </row>
    <row r="480" spans="1:1" s="1559" customFormat="1" x14ac:dyDescent="0.3">
      <c r="A480" s="1561"/>
    </row>
    <row r="481" spans="1:1" s="1559" customFormat="1" x14ac:dyDescent="0.3">
      <c r="A481" s="1561"/>
    </row>
    <row r="482" spans="1:1" s="1559" customFormat="1" x14ac:dyDescent="0.3">
      <c r="A482" s="1561"/>
    </row>
    <row r="483" spans="1:1" s="1559" customFormat="1" x14ac:dyDescent="0.3">
      <c r="A483" s="1561"/>
    </row>
    <row r="484" spans="1:1" s="1559" customFormat="1" x14ac:dyDescent="0.3">
      <c r="A484" s="1561"/>
    </row>
    <row r="485" spans="1:1" s="1559" customFormat="1" x14ac:dyDescent="0.3">
      <c r="A485" s="1561"/>
    </row>
    <row r="486" spans="1:1" s="1559" customFormat="1" x14ac:dyDescent="0.3">
      <c r="A486" s="1561"/>
    </row>
    <row r="487" spans="1:1" s="1559" customFormat="1" x14ac:dyDescent="0.3">
      <c r="A487" s="1561"/>
    </row>
    <row r="488" spans="1:1" s="1559" customFormat="1" x14ac:dyDescent="0.3">
      <c r="A488" s="1561"/>
    </row>
    <row r="489" spans="1:1" s="1559" customFormat="1" x14ac:dyDescent="0.3">
      <c r="A489" s="1561"/>
    </row>
    <row r="490" spans="1:1" s="1559" customFormat="1" x14ac:dyDescent="0.3">
      <c r="A490" s="1561"/>
    </row>
    <row r="491" spans="1:1" s="1559" customFormat="1" x14ac:dyDescent="0.3">
      <c r="A491" s="1561"/>
    </row>
    <row r="492" spans="1:1" s="1559" customFormat="1" x14ac:dyDescent="0.3">
      <c r="A492" s="1561"/>
    </row>
    <row r="493" spans="1:1" s="1559" customFormat="1" x14ac:dyDescent="0.3">
      <c r="A493" s="1561"/>
    </row>
    <row r="494" spans="1:1" s="1559" customFormat="1" x14ac:dyDescent="0.3">
      <c r="A494" s="1561"/>
    </row>
    <row r="495" spans="1:1" s="1559" customFormat="1" x14ac:dyDescent="0.3">
      <c r="A495" s="1561"/>
    </row>
    <row r="496" spans="1:1" s="1559" customFormat="1" x14ac:dyDescent="0.3">
      <c r="A496" s="1561"/>
    </row>
    <row r="497" spans="1:1" s="1559" customFormat="1" x14ac:dyDescent="0.3">
      <c r="A497" s="1561"/>
    </row>
    <row r="498" spans="1:1" s="1559" customFormat="1" x14ac:dyDescent="0.3">
      <c r="A498" s="1561"/>
    </row>
    <row r="499" spans="1:1" s="1559" customFormat="1" x14ac:dyDescent="0.3">
      <c r="A499" s="1561"/>
    </row>
    <row r="500" spans="1:1" s="1559" customFormat="1" x14ac:dyDescent="0.3">
      <c r="A500" s="1561"/>
    </row>
    <row r="501" spans="1:1" s="1559" customFormat="1" x14ac:dyDescent="0.3">
      <c r="A501" s="1561"/>
    </row>
    <row r="502" spans="1:1" s="1559" customFormat="1" x14ac:dyDescent="0.3">
      <c r="A502" s="1561"/>
    </row>
    <row r="503" spans="1:1" s="1559" customFormat="1" x14ac:dyDescent="0.3">
      <c r="A503" s="1561"/>
    </row>
    <row r="504" spans="1:1" s="1559" customFormat="1" x14ac:dyDescent="0.3">
      <c r="A504" s="1561"/>
    </row>
    <row r="505" spans="1:1" s="1559" customFormat="1" x14ac:dyDescent="0.3">
      <c r="A505" s="1561"/>
    </row>
    <row r="506" spans="1:1" s="1559" customFormat="1" x14ac:dyDescent="0.3">
      <c r="A506" s="1561"/>
    </row>
    <row r="507" spans="1:1" s="1559" customFormat="1" x14ac:dyDescent="0.3">
      <c r="A507" s="1561"/>
    </row>
    <row r="508" spans="1:1" s="1559" customFormat="1" x14ac:dyDescent="0.3">
      <c r="A508" s="1561"/>
    </row>
    <row r="509" spans="1:1" s="1559" customFormat="1" x14ac:dyDescent="0.3">
      <c r="A509" s="1561"/>
    </row>
    <row r="510" spans="1:1" s="1559" customFormat="1" x14ac:dyDescent="0.3">
      <c r="A510" s="1561"/>
    </row>
    <row r="511" spans="1:1" s="1559" customFormat="1" x14ac:dyDescent="0.3">
      <c r="A511" s="1561"/>
    </row>
    <row r="512" spans="1:1" s="1559" customFormat="1" x14ac:dyDescent="0.3">
      <c r="A512" s="1561"/>
    </row>
    <row r="513" spans="1:1" s="1559" customFormat="1" x14ac:dyDescent="0.3">
      <c r="A513" s="1561"/>
    </row>
    <row r="514" spans="1:1" s="1559" customFormat="1" x14ac:dyDescent="0.3">
      <c r="A514" s="1561"/>
    </row>
    <row r="515" spans="1:1" s="1559" customFormat="1" x14ac:dyDescent="0.3">
      <c r="A515" s="1561"/>
    </row>
    <row r="516" spans="1:1" s="1559" customFormat="1" x14ac:dyDescent="0.3">
      <c r="A516" s="1561"/>
    </row>
    <row r="517" spans="1:1" s="1559" customFormat="1" x14ac:dyDescent="0.3">
      <c r="A517" s="1561"/>
    </row>
    <row r="518" spans="1:1" s="1559" customFormat="1" x14ac:dyDescent="0.3">
      <c r="A518" s="1561"/>
    </row>
    <row r="519" spans="1:1" s="1559" customFormat="1" x14ac:dyDescent="0.3">
      <c r="A519" s="1561"/>
    </row>
    <row r="520" spans="1:1" s="1559" customFormat="1" x14ac:dyDescent="0.3">
      <c r="A520" s="1561"/>
    </row>
    <row r="521" spans="1:1" s="1559" customFormat="1" x14ac:dyDescent="0.3">
      <c r="A521" s="1561"/>
    </row>
    <row r="522" spans="1:1" s="1559" customFormat="1" x14ac:dyDescent="0.3">
      <c r="A522" s="1561"/>
    </row>
    <row r="523" spans="1:1" s="1559" customFormat="1" x14ac:dyDescent="0.3">
      <c r="A523" s="1561"/>
    </row>
    <row r="524" spans="1:1" s="1559" customFormat="1" x14ac:dyDescent="0.3">
      <c r="A524" s="1561"/>
    </row>
    <row r="525" spans="1:1" s="1559" customFormat="1" x14ac:dyDescent="0.3">
      <c r="A525" s="1561"/>
    </row>
    <row r="526" spans="1:1" s="1559" customFormat="1" x14ac:dyDescent="0.3">
      <c r="A526" s="1561"/>
    </row>
    <row r="527" spans="1:1" s="1559" customFormat="1" x14ac:dyDescent="0.3">
      <c r="A527" s="1561"/>
    </row>
    <row r="528" spans="1:1" s="1559" customFormat="1" x14ac:dyDescent="0.3">
      <c r="A528" s="1561"/>
    </row>
    <row r="529" spans="1:1" s="1559" customFormat="1" x14ac:dyDescent="0.3">
      <c r="A529" s="1561"/>
    </row>
    <row r="530" spans="1:1" s="1559" customFormat="1" x14ac:dyDescent="0.3">
      <c r="A530" s="1561"/>
    </row>
    <row r="531" spans="1:1" s="1559" customFormat="1" x14ac:dyDescent="0.3">
      <c r="A531" s="1561"/>
    </row>
    <row r="532" spans="1:1" s="1559" customFormat="1" x14ac:dyDescent="0.3">
      <c r="A532" s="1561"/>
    </row>
    <row r="533" spans="1:1" s="1559" customFormat="1" x14ac:dyDescent="0.3">
      <c r="A533" s="1561"/>
    </row>
    <row r="534" spans="1:1" s="1559" customFormat="1" x14ac:dyDescent="0.3">
      <c r="A534" s="1561"/>
    </row>
    <row r="535" spans="1:1" s="1559" customFormat="1" x14ac:dyDescent="0.3">
      <c r="A535" s="1561"/>
    </row>
    <row r="536" spans="1:1" s="1559" customFormat="1" x14ac:dyDescent="0.3">
      <c r="A536" s="1561"/>
    </row>
    <row r="537" spans="1:1" s="1559" customFormat="1" x14ac:dyDescent="0.3">
      <c r="A537" s="1561"/>
    </row>
    <row r="538" spans="1:1" s="1559" customFormat="1" x14ac:dyDescent="0.3">
      <c r="A538" s="1561"/>
    </row>
    <row r="539" spans="1:1" s="1559" customFormat="1" x14ac:dyDescent="0.3">
      <c r="A539" s="1561"/>
    </row>
    <row r="540" spans="1:1" s="1559" customFormat="1" x14ac:dyDescent="0.3">
      <c r="A540" s="1561"/>
    </row>
    <row r="541" spans="1:1" s="1559" customFormat="1" x14ac:dyDescent="0.3">
      <c r="A541" s="1561"/>
    </row>
    <row r="542" spans="1:1" s="1559" customFormat="1" x14ac:dyDescent="0.3">
      <c r="A542" s="1561"/>
    </row>
    <row r="543" spans="1:1" s="1559" customFormat="1" x14ac:dyDescent="0.3">
      <c r="A543" s="1561"/>
    </row>
    <row r="544" spans="1:1" s="1559" customFormat="1" x14ac:dyDescent="0.3">
      <c r="A544" s="1561"/>
    </row>
    <row r="545" spans="1:1" s="1559" customFormat="1" x14ac:dyDescent="0.3">
      <c r="A545" s="1561"/>
    </row>
    <row r="546" spans="1:1" s="1559" customFormat="1" x14ac:dyDescent="0.3">
      <c r="A546" s="1561"/>
    </row>
    <row r="547" spans="1:1" s="1559" customFormat="1" x14ac:dyDescent="0.3">
      <c r="A547" s="1561"/>
    </row>
    <row r="548" spans="1:1" s="1559" customFormat="1" x14ac:dyDescent="0.3">
      <c r="A548" s="1561"/>
    </row>
    <row r="549" spans="1:1" s="1559" customFormat="1" x14ac:dyDescent="0.3">
      <c r="A549" s="1561"/>
    </row>
    <row r="550" spans="1:1" s="1559" customFormat="1" x14ac:dyDescent="0.3">
      <c r="A550" s="1561"/>
    </row>
    <row r="551" spans="1:1" s="1559" customFormat="1" x14ac:dyDescent="0.3">
      <c r="A551" s="1561"/>
    </row>
    <row r="552" spans="1:1" s="1559" customFormat="1" x14ac:dyDescent="0.3">
      <c r="A552" s="1561"/>
    </row>
    <row r="553" spans="1:1" s="1559" customFormat="1" x14ac:dyDescent="0.3">
      <c r="A553" s="1561"/>
    </row>
    <row r="554" spans="1:1" s="1559" customFormat="1" x14ac:dyDescent="0.3">
      <c r="A554" s="1561"/>
    </row>
    <row r="555" spans="1:1" s="1559" customFormat="1" x14ac:dyDescent="0.3">
      <c r="A555" s="1561"/>
    </row>
    <row r="556" spans="1:1" s="1559" customFormat="1" x14ac:dyDescent="0.3">
      <c r="A556" s="1561"/>
    </row>
    <row r="557" spans="1:1" s="1559" customFormat="1" x14ac:dyDescent="0.3">
      <c r="A557" s="1561"/>
    </row>
    <row r="558" spans="1:1" s="1559" customFormat="1" x14ac:dyDescent="0.3">
      <c r="A558" s="1561"/>
    </row>
    <row r="559" spans="1:1" s="1559" customFormat="1" x14ac:dyDescent="0.3">
      <c r="A559" s="1561"/>
    </row>
    <row r="560" spans="1:1" s="1559" customFormat="1" x14ac:dyDescent="0.3">
      <c r="A560" s="1561"/>
    </row>
    <row r="561" spans="1:1" s="1559" customFormat="1" x14ac:dyDescent="0.3">
      <c r="A561" s="1561"/>
    </row>
    <row r="562" spans="1:1" s="1559" customFormat="1" x14ac:dyDescent="0.3">
      <c r="A562" s="1561"/>
    </row>
    <row r="563" spans="1:1" s="1559" customFormat="1" x14ac:dyDescent="0.3">
      <c r="A563" s="1561"/>
    </row>
    <row r="564" spans="1:1" s="1559" customFormat="1" x14ac:dyDescent="0.3">
      <c r="A564" s="1561"/>
    </row>
    <row r="565" spans="1:1" s="1559" customFormat="1" x14ac:dyDescent="0.3">
      <c r="A565" s="1561"/>
    </row>
    <row r="566" spans="1:1" s="1559" customFormat="1" x14ac:dyDescent="0.3">
      <c r="A566" s="1561"/>
    </row>
    <row r="567" spans="1:1" s="1559" customFormat="1" x14ac:dyDescent="0.3">
      <c r="A567" s="1561"/>
    </row>
    <row r="568" spans="1:1" s="1559" customFormat="1" x14ac:dyDescent="0.3">
      <c r="A568" s="1561"/>
    </row>
    <row r="569" spans="1:1" s="1559" customFormat="1" x14ac:dyDescent="0.3">
      <c r="A569" s="1561"/>
    </row>
    <row r="570" spans="1:1" s="1559" customFormat="1" x14ac:dyDescent="0.3">
      <c r="A570" s="1561"/>
    </row>
    <row r="571" spans="1:1" s="1559" customFormat="1" x14ac:dyDescent="0.3">
      <c r="A571" s="1561"/>
    </row>
    <row r="572" spans="1:1" s="1559" customFormat="1" x14ac:dyDescent="0.3">
      <c r="A572" s="1561"/>
    </row>
    <row r="573" spans="1:1" s="1559" customFormat="1" x14ac:dyDescent="0.3">
      <c r="A573" s="1561"/>
    </row>
    <row r="574" spans="1:1" s="1559" customFormat="1" x14ac:dyDescent="0.3">
      <c r="A574" s="1561"/>
    </row>
    <row r="575" spans="1:1" s="1559" customFormat="1" x14ac:dyDescent="0.3">
      <c r="A575" s="1561"/>
    </row>
    <row r="576" spans="1:1" s="1559" customFormat="1" x14ac:dyDescent="0.3">
      <c r="A576" s="1561"/>
    </row>
    <row r="577" spans="1:1" s="1559" customFormat="1" x14ac:dyDescent="0.3">
      <c r="A577" s="1561"/>
    </row>
    <row r="578" spans="1:1" s="1559" customFormat="1" x14ac:dyDescent="0.3">
      <c r="A578" s="1561"/>
    </row>
    <row r="579" spans="1:1" s="1559" customFormat="1" x14ac:dyDescent="0.3">
      <c r="A579" s="1561"/>
    </row>
    <row r="580" spans="1:1" s="1559" customFormat="1" x14ac:dyDescent="0.3">
      <c r="A580" s="1561"/>
    </row>
    <row r="581" spans="1:1" s="1559" customFormat="1" x14ac:dyDescent="0.3">
      <c r="A581" s="1561"/>
    </row>
    <row r="582" spans="1:1" s="1559" customFormat="1" x14ac:dyDescent="0.3">
      <c r="A582" s="1561"/>
    </row>
    <row r="583" spans="1:1" s="1559" customFormat="1" x14ac:dyDescent="0.3">
      <c r="A583" s="1561"/>
    </row>
    <row r="584" spans="1:1" s="1559" customFormat="1" x14ac:dyDescent="0.3">
      <c r="A584" s="1561"/>
    </row>
    <row r="585" spans="1:1" s="1559" customFormat="1" x14ac:dyDescent="0.3">
      <c r="A585" s="1561"/>
    </row>
    <row r="586" spans="1:1" s="1559" customFormat="1" x14ac:dyDescent="0.3">
      <c r="A586" s="1561"/>
    </row>
    <row r="587" spans="1:1" s="1559" customFormat="1" x14ac:dyDescent="0.3">
      <c r="A587" s="1561"/>
    </row>
    <row r="588" spans="1:1" s="1559" customFormat="1" x14ac:dyDescent="0.3">
      <c r="A588" s="1561"/>
    </row>
    <row r="589" spans="1:1" s="1559" customFormat="1" x14ac:dyDescent="0.3">
      <c r="A589" s="1561"/>
    </row>
    <row r="590" spans="1:1" s="1559" customFormat="1" x14ac:dyDescent="0.3">
      <c r="A590" s="1561"/>
    </row>
    <row r="591" spans="1:1" s="1559" customFormat="1" x14ac:dyDescent="0.3">
      <c r="A591" s="1561"/>
    </row>
    <row r="592" spans="1:1" s="1559" customFormat="1" x14ac:dyDescent="0.3">
      <c r="A592" s="1561"/>
    </row>
    <row r="593" spans="1:1" s="1559" customFormat="1" x14ac:dyDescent="0.3">
      <c r="A593" s="1561"/>
    </row>
    <row r="594" spans="1:1" s="1559" customFormat="1" x14ac:dyDescent="0.3">
      <c r="A594" s="1561"/>
    </row>
    <row r="595" spans="1:1" s="1559" customFormat="1" x14ac:dyDescent="0.3">
      <c r="A595" s="1561"/>
    </row>
    <row r="596" spans="1:1" s="1559" customFormat="1" x14ac:dyDescent="0.3">
      <c r="A596" s="1561"/>
    </row>
    <row r="597" spans="1:1" s="1559" customFormat="1" x14ac:dyDescent="0.3">
      <c r="A597" s="1561"/>
    </row>
    <row r="598" spans="1:1" s="1559" customFormat="1" x14ac:dyDescent="0.3">
      <c r="A598" s="1561"/>
    </row>
    <row r="599" spans="1:1" s="1559" customFormat="1" x14ac:dyDescent="0.3">
      <c r="A599" s="1561"/>
    </row>
    <row r="600" spans="1:1" s="1559" customFormat="1" x14ac:dyDescent="0.3">
      <c r="A600" s="1561"/>
    </row>
    <row r="601" spans="1:1" s="1559" customFormat="1" x14ac:dyDescent="0.3">
      <c r="A601" s="1561"/>
    </row>
    <row r="602" spans="1:1" s="1559" customFormat="1" x14ac:dyDescent="0.3">
      <c r="A602" s="1561"/>
    </row>
    <row r="603" spans="1:1" s="1559" customFormat="1" x14ac:dyDescent="0.3">
      <c r="A603" s="1561"/>
    </row>
    <row r="604" spans="1:1" s="1559" customFormat="1" x14ac:dyDescent="0.3">
      <c r="A604" s="1561"/>
    </row>
    <row r="605" spans="1:1" s="1559" customFormat="1" x14ac:dyDescent="0.3">
      <c r="A605" s="1561"/>
    </row>
    <row r="606" spans="1:1" s="1559" customFormat="1" x14ac:dyDescent="0.3">
      <c r="A606" s="1561"/>
    </row>
    <row r="607" spans="1:1" s="1559" customFormat="1" x14ac:dyDescent="0.3">
      <c r="A607" s="1561"/>
    </row>
    <row r="608" spans="1:1" s="1559" customFormat="1" x14ac:dyDescent="0.3">
      <c r="A608" s="1561"/>
    </row>
    <row r="609" spans="1:1" s="1559" customFormat="1" x14ac:dyDescent="0.3">
      <c r="A609" s="1561"/>
    </row>
    <row r="610" spans="1:1" s="1559" customFormat="1" x14ac:dyDescent="0.3">
      <c r="A610" s="1561"/>
    </row>
    <row r="611" spans="1:1" s="1559" customFormat="1" x14ac:dyDescent="0.3">
      <c r="A611" s="1561"/>
    </row>
    <row r="612" spans="1:1" s="1559" customFormat="1" x14ac:dyDescent="0.3">
      <c r="A612" s="1561"/>
    </row>
    <row r="613" spans="1:1" s="1559" customFormat="1" x14ac:dyDescent="0.3">
      <c r="A613" s="1561"/>
    </row>
    <row r="614" spans="1:1" s="1559" customFormat="1" x14ac:dyDescent="0.3">
      <c r="A614" s="1561"/>
    </row>
    <row r="615" spans="1:1" s="1559" customFormat="1" x14ac:dyDescent="0.3">
      <c r="A615" s="1561"/>
    </row>
    <row r="616" spans="1:1" s="1559" customFormat="1" x14ac:dyDescent="0.3">
      <c r="A616" s="1561"/>
    </row>
    <row r="617" spans="1:1" s="1559" customFormat="1" x14ac:dyDescent="0.3">
      <c r="A617" s="1561"/>
    </row>
    <row r="618" spans="1:1" s="1559" customFormat="1" x14ac:dyDescent="0.3">
      <c r="A618" s="1561"/>
    </row>
    <row r="619" spans="1:1" s="1559" customFormat="1" x14ac:dyDescent="0.3">
      <c r="A619" s="1561"/>
    </row>
    <row r="620" spans="1:1" s="1559" customFormat="1" x14ac:dyDescent="0.3">
      <c r="A620" s="1561"/>
    </row>
    <row r="621" spans="1:1" s="1559" customFormat="1" x14ac:dyDescent="0.3">
      <c r="A621" s="1561"/>
    </row>
    <row r="622" spans="1:1" s="1559" customFormat="1" x14ac:dyDescent="0.3">
      <c r="A622" s="1561"/>
    </row>
    <row r="623" spans="1:1" s="1559" customFormat="1" x14ac:dyDescent="0.3">
      <c r="A623" s="1561"/>
    </row>
    <row r="624" spans="1:1" s="1559" customFormat="1" x14ac:dyDescent="0.3">
      <c r="A624" s="1561"/>
    </row>
    <row r="625" spans="1:1" s="1559" customFormat="1" x14ac:dyDescent="0.3">
      <c r="A625" s="1561"/>
    </row>
    <row r="626" spans="1:1" s="1559" customFormat="1" x14ac:dyDescent="0.3">
      <c r="A626" s="1561"/>
    </row>
    <row r="627" spans="1:1" s="1559" customFormat="1" x14ac:dyDescent="0.3">
      <c r="A627" s="1561"/>
    </row>
    <row r="628" spans="1:1" s="1559" customFormat="1" x14ac:dyDescent="0.3">
      <c r="A628" s="1561"/>
    </row>
    <row r="629" spans="1:1" s="1559" customFormat="1" x14ac:dyDescent="0.3">
      <c r="A629" s="1561"/>
    </row>
    <row r="630" spans="1:1" s="1559" customFormat="1" x14ac:dyDescent="0.3">
      <c r="A630" s="1561"/>
    </row>
    <row r="631" spans="1:1" s="1559" customFormat="1" x14ac:dyDescent="0.3">
      <c r="A631" s="1561"/>
    </row>
    <row r="632" spans="1:1" s="1559" customFormat="1" x14ac:dyDescent="0.3">
      <c r="A632" s="1561"/>
    </row>
    <row r="633" spans="1:1" s="1559" customFormat="1" x14ac:dyDescent="0.3">
      <c r="A633" s="1561"/>
    </row>
    <row r="634" spans="1:1" s="1559" customFormat="1" x14ac:dyDescent="0.3">
      <c r="A634" s="1561"/>
    </row>
    <row r="635" spans="1:1" s="1559" customFormat="1" x14ac:dyDescent="0.3">
      <c r="A635" s="1561"/>
    </row>
    <row r="636" spans="1:1" s="1559" customFormat="1" x14ac:dyDescent="0.3">
      <c r="A636" s="1561"/>
    </row>
    <row r="637" spans="1:1" s="1559" customFormat="1" x14ac:dyDescent="0.3">
      <c r="A637" s="1561"/>
    </row>
    <row r="638" spans="1:1" s="1559" customFormat="1" x14ac:dyDescent="0.3">
      <c r="A638" s="1561"/>
    </row>
    <row r="639" spans="1:1" s="1559" customFormat="1" x14ac:dyDescent="0.3">
      <c r="A639" s="1561"/>
    </row>
    <row r="640" spans="1:1" s="1559" customFormat="1" x14ac:dyDescent="0.3">
      <c r="A640" s="1561"/>
    </row>
    <row r="641" spans="1:1" s="1559" customFormat="1" x14ac:dyDescent="0.3">
      <c r="A641" s="1561"/>
    </row>
    <row r="642" spans="1:1" s="1559" customFormat="1" x14ac:dyDescent="0.3">
      <c r="A642" s="1561"/>
    </row>
    <row r="643" spans="1:1" s="1559" customFormat="1" x14ac:dyDescent="0.3">
      <c r="A643" s="1561"/>
    </row>
    <row r="644" spans="1:1" s="1559" customFormat="1" x14ac:dyDescent="0.3">
      <c r="A644" s="1561"/>
    </row>
    <row r="645" spans="1:1" s="1559" customFormat="1" x14ac:dyDescent="0.3">
      <c r="A645" s="1561"/>
    </row>
    <row r="646" spans="1:1" s="1559" customFormat="1" x14ac:dyDescent="0.3">
      <c r="A646" s="1561"/>
    </row>
    <row r="647" spans="1:1" s="1559" customFormat="1" x14ac:dyDescent="0.3">
      <c r="A647" s="1561"/>
    </row>
    <row r="648" spans="1:1" s="1559" customFormat="1" x14ac:dyDescent="0.3">
      <c r="A648" s="1561"/>
    </row>
    <row r="649" spans="1:1" s="1559" customFormat="1" x14ac:dyDescent="0.3">
      <c r="A649" s="1561"/>
    </row>
    <row r="650" spans="1:1" s="1559" customFormat="1" x14ac:dyDescent="0.3">
      <c r="A650" s="1561"/>
    </row>
    <row r="651" spans="1:1" s="1559" customFormat="1" x14ac:dyDescent="0.3">
      <c r="A651" s="1561"/>
    </row>
    <row r="652" spans="1:1" s="1559" customFormat="1" x14ac:dyDescent="0.3">
      <c r="A652" s="1561"/>
    </row>
    <row r="653" spans="1:1" s="1559" customFormat="1" x14ac:dyDescent="0.3">
      <c r="A653" s="1561"/>
    </row>
    <row r="654" spans="1:1" s="1559" customFormat="1" x14ac:dyDescent="0.3">
      <c r="A654" s="1561"/>
    </row>
    <row r="655" spans="1:1" s="1559" customFormat="1" x14ac:dyDescent="0.3">
      <c r="A655" s="1561"/>
    </row>
    <row r="656" spans="1:1" s="1559" customFormat="1" x14ac:dyDescent="0.3">
      <c r="A656" s="1561"/>
    </row>
    <row r="657" spans="1:1" s="1559" customFormat="1" x14ac:dyDescent="0.3">
      <c r="A657" s="1561"/>
    </row>
    <row r="658" spans="1:1" s="1559" customFormat="1" x14ac:dyDescent="0.3">
      <c r="A658" s="1561"/>
    </row>
    <row r="659" spans="1:1" s="1559" customFormat="1" x14ac:dyDescent="0.3">
      <c r="A659" s="1561"/>
    </row>
    <row r="660" spans="1:1" s="1559" customFormat="1" x14ac:dyDescent="0.3">
      <c r="A660" s="1561"/>
    </row>
    <row r="661" spans="1:1" s="1559" customFormat="1" x14ac:dyDescent="0.3">
      <c r="A661" s="1561"/>
    </row>
    <row r="662" spans="1:1" s="1559" customFormat="1" x14ac:dyDescent="0.3">
      <c r="A662" s="1561"/>
    </row>
    <row r="663" spans="1:1" s="1559" customFormat="1" x14ac:dyDescent="0.3">
      <c r="A663" s="1561"/>
    </row>
    <row r="664" spans="1:1" s="1559" customFormat="1" x14ac:dyDescent="0.3">
      <c r="A664" s="1561"/>
    </row>
    <row r="665" spans="1:1" s="1559" customFormat="1" x14ac:dyDescent="0.3">
      <c r="A665" s="1561"/>
    </row>
    <row r="666" spans="1:1" s="1559" customFormat="1" x14ac:dyDescent="0.3">
      <c r="A666" s="1561"/>
    </row>
    <row r="667" spans="1:1" s="1559" customFormat="1" x14ac:dyDescent="0.3">
      <c r="A667" s="1561"/>
    </row>
    <row r="668" spans="1:1" s="1559" customFormat="1" x14ac:dyDescent="0.3">
      <c r="A668" s="1561"/>
    </row>
    <row r="669" spans="1:1" s="1559" customFormat="1" x14ac:dyDescent="0.3">
      <c r="A669" s="1561"/>
    </row>
    <row r="670" spans="1:1" s="1559" customFormat="1" x14ac:dyDescent="0.3">
      <c r="A670" s="1561"/>
    </row>
    <row r="671" spans="1:1" s="1559" customFormat="1" x14ac:dyDescent="0.3">
      <c r="A671" s="1561"/>
    </row>
    <row r="672" spans="1:1" s="1559" customFormat="1" x14ac:dyDescent="0.3">
      <c r="A672" s="1561"/>
    </row>
    <row r="673" spans="1:1" s="1559" customFormat="1" x14ac:dyDescent="0.3">
      <c r="A673" s="1561"/>
    </row>
    <row r="674" spans="1:1" s="1559" customFormat="1" x14ac:dyDescent="0.3">
      <c r="A674" s="1561"/>
    </row>
    <row r="675" spans="1:1" s="1559" customFormat="1" x14ac:dyDescent="0.3">
      <c r="A675" s="1561"/>
    </row>
    <row r="676" spans="1:1" s="1559" customFormat="1" x14ac:dyDescent="0.3">
      <c r="A676" s="1561"/>
    </row>
    <row r="677" spans="1:1" s="1559" customFormat="1" x14ac:dyDescent="0.3">
      <c r="A677" s="1561"/>
    </row>
    <row r="678" spans="1:1" s="1559" customFormat="1" x14ac:dyDescent="0.3">
      <c r="A678" s="1561"/>
    </row>
    <row r="679" spans="1:1" s="1559" customFormat="1" x14ac:dyDescent="0.3">
      <c r="A679" s="1561"/>
    </row>
    <row r="680" spans="1:1" s="1559" customFormat="1" x14ac:dyDescent="0.3">
      <c r="A680" s="1561"/>
    </row>
    <row r="681" spans="1:1" s="1559" customFormat="1" x14ac:dyDescent="0.3">
      <c r="A681" s="1561"/>
    </row>
    <row r="682" spans="1:1" s="1559" customFormat="1" x14ac:dyDescent="0.3">
      <c r="A682" s="1561"/>
    </row>
    <row r="683" spans="1:1" s="1559" customFormat="1" x14ac:dyDescent="0.3">
      <c r="A683" s="1561"/>
    </row>
    <row r="684" spans="1:1" s="1559" customFormat="1" x14ac:dyDescent="0.3">
      <c r="A684" s="1561"/>
    </row>
    <row r="685" spans="1:1" s="1559" customFormat="1" x14ac:dyDescent="0.3">
      <c r="A685" s="1561"/>
    </row>
    <row r="686" spans="1:1" s="1559" customFormat="1" x14ac:dyDescent="0.3">
      <c r="A686" s="1561"/>
    </row>
    <row r="687" spans="1:1" s="1559" customFormat="1" x14ac:dyDescent="0.3">
      <c r="A687" s="1561"/>
    </row>
    <row r="688" spans="1:1" s="1559" customFormat="1" x14ac:dyDescent="0.3">
      <c r="A688" s="1561"/>
    </row>
    <row r="689" spans="1:1" s="1559" customFormat="1" x14ac:dyDescent="0.3">
      <c r="A689" s="1561"/>
    </row>
    <row r="690" spans="1:1" s="1559" customFormat="1" x14ac:dyDescent="0.3">
      <c r="A690" s="1561"/>
    </row>
    <row r="691" spans="1:1" s="1559" customFormat="1" x14ac:dyDescent="0.3">
      <c r="A691" s="1561"/>
    </row>
    <row r="692" spans="1:1" s="1559" customFormat="1" x14ac:dyDescent="0.3">
      <c r="A692" s="1561"/>
    </row>
    <row r="693" spans="1:1" s="1559" customFormat="1" x14ac:dyDescent="0.3">
      <c r="A693" s="1561"/>
    </row>
    <row r="694" spans="1:1" s="1559" customFormat="1" x14ac:dyDescent="0.3">
      <c r="A694" s="1561"/>
    </row>
    <row r="695" spans="1:1" s="1559" customFormat="1" x14ac:dyDescent="0.3">
      <c r="A695" s="1561"/>
    </row>
    <row r="696" spans="1:1" s="1559" customFormat="1" x14ac:dyDescent="0.3">
      <c r="A696" s="1561"/>
    </row>
    <row r="697" spans="1:1" s="1559" customFormat="1" x14ac:dyDescent="0.3">
      <c r="A697" s="1561"/>
    </row>
    <row r="698" spans="1:1" s="1559" customFormat="1" x14ac:dyDescent="0.3">
      <c r="A698" s="1561"/>
    </row>
    <row r="699" spans="1:1" s="1559" customFormat="1" x14ac:dyDescent="0.3">
      <c r="A699" s="1561"/>
    </row>
    <row r="700" spans="1:1" s="1559" customFormat="1" x14ac:dyDescent="0.3">
      <c r="A700" s="1561"/>
    </row>
    <row r="701" spans="1:1" s="1559" customFormat="1" x14ac:dyDescent="0.3">
      <c r="A701" s="1561"/>
    </row>
    <row r="702" spans="1:1" s="1559" customFormat="1" x14ac:dyDescent="0.3">
      <c r="A702" s="1561"/>
    </row>
    <row r="703" spans="1:1" s="1559" customFormat="1" x14ac:dyDescent="0.3">
      <c r="A703" s="1561"/>
    </row>
    <row r="704" spans="1:1" s="1559" customFormat="1" x14ac:dyDescent="0.3">
      <c r="A704" s="1561"/>
    </row>
    <row r="705" spans="1:1" s="1559" customFormat="1" x14ac:dyDescent="0.3">
      <c r="A705" s="1561"/>
    </row>
    <row r="706" spans="1:1" s="1559" customFormat="1" x14ac:dyDescent="0.3">
      <c r="A706" s="1561"/>
    </row>
    <row r="707" spans="1:1" s="1559" customFormat="1" x14ac:dyDescent="0.3">
      <c r="A707" s="1561"/>
    </row>
    <row r="708" spans="1:1" s="1559" customFormat="1" x14ac:dyDescent="0.3">
      <c r="A708" s="1561"/>
    </row>
    <row r="709" spans="1:1" s="1559" customFormat="1" x14ac:dyDescent="0.3">
      <c r="A709" s="1561"/>
    </row>
    <row r="710" spans="1:1" s="1559" customFormat="1" x14ac:dyDescent="0.3">
      <c r="A710" s="1561"/>
    </row>
    <row r="711" spans="1:1" s="1559" customFormat="1" x14ac:dyDescent="0.3">
      <c r="A711" s="1561"/>
    </row>
    <row r="712" spans="1:1" s="1559" customFormat="1" x14ac:dyDescent="0.3">
      <c r="A712" s="1561"/>
    </row>
    <row r="713" spans="1:1" s="1559" customFormat="1" x14ac:dyDescent="0.3">
      <c r="A713" s="1561"/>
    </row>
    <row r="714" spans="1:1" s="1559" customFormat="1" x14ac:dyDescent="0.3">
      <c r="A714" s="1561"/>
    </row>
    <row r="715" spans="1:1" s="1559" customFormat="1" x14ac:dyDescent="0.3">
      <c r="A715" s="1561"/>
    </row>
    <row r="716" spans="1:1" s="1559" customFormat="1" x14ac:dyDescent="0.3">
      <c r="A716" s="1561"/>
    </row>
    <row r="717" spans="1:1" s="1559" customFormat="1" x14ac:dyDescent="0.3">
      <c r="A717" s="1561"/>
    </row>
    <row r="718" spans="1:1" s="1559" customFormat="1" x14ac:dyDescent="0.3">
      <c r="A718" s="1561"/>
    </row>
    <row r="719" spans="1:1" s="1559" customFormat="1" x14ac:dyDescent="0.3">
      <c r="A719" s="1561"/>
    </row>
    <row r="720" spans="1:1" s="1559" customFormat="1" x14ac:dyDescent="0.3">
      <c r="A720" s="1561"/>
    </row>
    <row r="721" spans="1:1" s="1559" customFormat="1" x14ac:dyDescent="0.3">
      <c r="A721" s="1561"/>
    </row>
    <row r="722" spans="1:1" s="1559" customFormat="1" x14ac:dyDescent="0.3">
      <c r="A722" s="1561"/>
    </row>
    <row r="723" spans="1:1" s="1559" customFormat="1" x14ac:dyDescent="0.3">
      <c r="A723" s="1561"/>
    </row>
    <row r="724" spans="1:1" s="1559" customFormat="1" x14ac:dyDescent="0.3">
      <c r="A724" s="1561"/>
    </row>
    <row r="725" spans="1:1" s="1559" customFormat="1" x14ac:dyDescent="0.3">
      <c r="A725" s="1561"/>
    </row>
    <row r="726" spans="1:1" s="1559" customFormat="1" x14ac:dyDescent="0.3">
      <c r="A726" s="1561"/>
    </row>
    <row r="727" spans="1:1" s="1559" customFormat="1" x14ac:dyDescent="0.3">
      <c r="A727" s="1561"/>
    </row>
    <row r="728" spans="1:1" s="1559" customFormat="1" x14ac:dyDescent="0.3">
      <c r="A728" s="1561"/>
    </row>
    <row r="729" spans="1:1" s="1559" customFormat="1" x14ac:dyDescent="0.3">
      <c r="A729" s="1561"/>
    </row>
    <row r="730" spans="1:1" s="1559" customFormat="1" x14ac:dyDescent="0.3">
      <c r="A730" s="1561"/>
    </row>
    <row r="731" spans="1:1" s="1559" customFormat="1" x14ac:dyDescent="0.3">
      <c r="A731" s="1561"/>
    </row>
    <row r="732" spans="1:1" s="1559" customFormat="1" x14ac:dyDescent="0.3">
      <c r="A732" s="1561"/>
    </row>
    <row r="733" spans="1:1" s="1559" customFormat="1" x14ac:dyDescent="0.3">
      <c r="A733" s="1561"/>
    </row>
    <row r="734" spans="1:1" s="1559" customFormat="1" x14ac:dyDescent="0.3">
      <c r="A734" s="1561"/>
    </row>
    <row r="735" spans="1:1" s="1559" customFormat="1" x14ac:dyDescent="0.3">
      <c r="A735" s="1561"/>
    </row>
    <row r="736" spans="1:1" s="1559" customFormat="1" x14ac:dyDescent="0.3">
      <c r="A736" s="1561"/>
    </row>
    <row r="737" spans="1:1" s="1559" customFormat="1" x14ac:dyDescent="0.3">
      <c r="A737" s="1561"/>
    </row>
    <row r="738" spans="1:1" s="1559" customFormat="1" x14ac:dyDescent="0.3">
      <c r="A738" s="1561"/>
    </row>
    <row r="739" spans="1:1" s="1559" customFormat="1" x14ac:dyDescent="0.3">
      <c r="A739" s="1561"/>
    </row>
    <row r="740" spans="1:1" s="1559" customFormat="1" x14ac:dyDescent="0.3">
      <c r="A740" s="1561"/>
    </row>
    <row r="741" spans="1:1" s="1559" customFormat="1" x14ac:dyDescent="0.3">
      <c r="A741" s="1561"/>
    </row>
    <row r="742" spans="1:1" s="1559" customFormat="1" x14ac:dyDescent="0.3">
      <c r="A742" s="1561"/>
    </row>
    <row r="743" spans="1:1" s="1559" customFormat="1" x14ac:dyDescent="0.3">
      <c r="A743" s="1561"/>
    </row>
    <row r="744" spans="1:1" s="1559" customFormat="1" x14ac:dyDescent="0.3">
      <c r="A744" s="1561"/>
    </row>
    <row r="745" spans="1:1" s="1559" customFormat="1" x14ac:dyDescent="0.3">
      <c r="A745" s="1561"/>
    </row>
    <row r="746" spans="1:1" s="1559" customFormat="1" x14ac:dyDescent="0.3">
      <c r="A746" s="1561"/>
    </row>
    <row r="747" spans="1:1" s="1559" customFormat="1" x14ac:dyDescent="0.3">
      <c r="A747" s="1561"/>
    </row>
    <row r="748" spans="1:1" s="1559" customFormat="1" x14ac:dyDescent="0.3">
      <c r="A748" s="1561"/>
    </row>
    <row r="749" spans="1:1" s="1559" customFormat="1" x14ac:dyDescent="0.3">
      <c r="A749" s="1561"/>
    </row>
    <row r="750" spans="1:1" s="1559" customFormat="1" x14ac:dyDescent="0.3">
      <c r="A750" s="1561"/>
    </row>
    <row r="751" spans="1:1" s="1559" customFormat="1" x14ac:dyDescent="0.3">
      <c r="A751" s="1561"/>
    </row>
    <row r="752" spans="1:1" s="1559" customFormat="1" x14ac:dyDescent="0.3">
      <c r="A752" s="1561"/>
    </row>
    <row r="753" spans="1:1" s="1559" customFormat="1" x14ac:dyDescent="0.3">
      <c r="A753" s="1561"/>
    </row>
    <row r="754" spans="1:1" s="1559" customFormat="1" x14ac:dyDescent="0.3">
      <c r="A754" s="1561"/>
    </row>
    <row r="755" spans="1:1" s="1559" customFormat="1" x14ac:dyDescent="0.3">
      <c r="A755" s="1561"/>
    </row>
    <row r="756" spans="1:1" s="1559" customFormat="1" x14ac:dyDescent="0.3">
      <c r="A756" s="1561"/>
    </row>
    <row r="757" spans="1:1" s="1559" customFormat="1" x14ac:dyDescent="0.3">
      <c r="A757" s="1561"/>
    </row>
    <row r="758" spans="1:1" s="1559" customFormat="1" x14ac:dyDescent="0.3">
      <c r="A758" s="1561"/>
    </row>
    <row r="759" spans="1:1" s="1559" customFormat="1" x14ac:dyDescent="0.3">
      <c r="A759" s="1561"/>
    </row>
    <row r="760" spans="1:1" s="1559" customFormat="1" x14ac:dyDescent="0.3">
      <c r="A760" s="1561"/>
    </row>
    <row r="761" spans="1:1" s="1559" customFormat="1" x14ac:dyDescent="0.3">
      <c r="A761" s="1561"/>
    </row>
    <row r="762" spans="1:1" s="1559" customFormat="1" x14ac:dyDescent="0.3">
      <c r="A762" s="1561"/>
    </row>
    <row r="763" spans="1:1" s="1559" customFormat="1" x14ac:dyDescent="0.3">
      <c r="A763" s="1561"/>
    </row>
    <row r="764" spans="1:1" s="1559" customFormat="1" x14ac:dyDescent="0.3">
      <c r="A764" s="1561"/>
    </row>
    <row r="765" spans="1:1" s="1559" customFormat="1" x14ac:dyDescent="0.3">
      <c r="A765" s="1561"/>
    </row>
    <row r="766" spans="1:1" s="1559" customFormat="1" x14ac:dyDescent="0.3">
      <c r="A766" s="1561"/>
    </row>
    <row r="767" spans="1:1" s="1559" customFormat="1" x14ac:dyDescent="0.3">
      <c r="A767" s="1561"/>
    </row>
    <row r="768" spans="1:1" s="1559" customFormat="1" x14ac:dyDescent="0.3">
      <c r="A768" s="1561"/>
    </row>
    <row r="769" spans="1:1" s="1559" customFormat="1" x14ac:dyDescent="0.3">
      <c r="A769" s="1561"/>
    </row>
    <row r="770" spans="1:1" s="1559" customFormat="1" x14ac:dyDescent="0.3">
      <c r="A770" s="1561"/>
    </row>
    <row r="771" spans="1:1" s="1559" customFormat="1" x14ac:dyDescent="0.3">
      <c r="A771" s="1561"/>
    </row>
    <row r="772" spans="1:1" s="1559" customFormat="1" x14ac:dyDescent="0.3">
      <c r="A772" s="1561"/>
    </row>
    <row r="773" spans="1:1" s="1559" customFormat="1" x14ac:dyDescent="0.3">
      <c r="A773" s="1561"/>
    </row>
    <row r="774" spans="1:1" s="1559" customFormat="1" x14ac:dyDescent="0.3">
      <c r="A774" s="1561"/>
    </row>
    <row r="775" spans="1:1" s="1559" customFormat="1" x14ac:dyDescent="0.3">
      <c r="A775" s="1561"/>
    </row>
    <row r="776" spans="1:1" s="1559" customFormat="1" x14ac:dyDescent="0.3">
      <c r="A776" s="1561"/>
    </row>
    <row r="777" spans="1:1" s="1559" customFormat="1" x14ac:dyDescent="0.3">
      <c r="A777" s="1561"/>
    </row>
    <row r="778" spans="1:1" s="1559" customFormat="1" x14ac:dyDescent="0.3">
      <c r="A778" s="1561"/>
    </row>
    <row r="779" spans="1:1" s="1559" customFormat="1" x14ac:dyDescent="0.3">
      <c r="A779" s="1561"/>
    </row>
    <row r="780" spans="1:1" s="1559" customFormat="1" x14ac:dyDescent="0.3">
      <c r="A780" s="1561"/>
    </row>
    <row r="781" spans="1:1" s="1559" customFormat="1" x14ac:dyDescent="0.3">
      <c r="A781" s="1561"/>
    </row>
    <row r="782" spans="1:1" s="1559" customFormat="1" x14ac:dyDescent="0.3">
      <c r="A782" s="1561"/>
    </row>
    <row r="783" spans="1:1" s="1559" customFormat="1" x14ac:dyDescent="0.3">
      <c r="A783" s="1561"/>
    </row>
    <row r="784" spans="1:1" s="1559" customFormat="1" x14ac:dyDescent="0.3">
      <c r="A784" s="1561"/>
    </row>
    <row r="785" spans="1:1" s="1559" customFormat="1" x14ac:dyDescent="0.3">
      <c r="A785" s="1561"/>
    </row>
    <row r="786" spans="1:1" s="1559" customFormat="1" x14ac:dyDescent="0.3">
      <c r="A786" s="1561"/>
    </row>
    <row r="787" spans="1:1" s="1559" customFormat="1" x14ac:dyDescent="0.3">
      <c r="A787" s="1561"/>
    </row>
    <row r="788" spans="1:1" s="1559" customFormat="1" x14ac:dyDescent="0.3">
      <c r="A788" s="1561"/>
    </row>
    <row r="789" spans="1:1" s="1559" customFormat="1" x14ac:dyDescent="0.3">
      <c r="A789" s="1561"/>
    </row>
    <row r="790" spans="1:1" s="1559" customFormat="1" x14ac:dyDescent="0.3">
      <c r="A790" s="1561"/>
    </row>
    <row r="791" spans="1:1" s="1559" customFormat="1" x14ac:dyDescent="0.3">
      <c r="A791" s="1561"/>
    </row>
    <row r="792" spans="1:1" s="1559" customFormat="1" x14ac:dyDescent="0.3">
      <c r="A792" s="1561"/>
    </row>
    <row r="793" spans="1:1" s="1559" customFormat="1" x14ac:dyDescent="0.3">
      <c r="A793" s="1561"/>
    </row>
    <row r="794" spans="1:1" s="1559" customFormat="1" x14ac:dyDescent="0.3">
      <c r="A794" s="1561"/>
    </row>
    <row r="795" spans="1:1" s="1559" customFormat="1" x14ac:dyDescent="0.3">
      <c r="A795" s="1561"/>
    </row>
    <row r="796" spans="1:1" s="1559" customFormat="1" x14ac:dyDescent="0.3">
      <c r="A796" s="1561"/>
    </row>
    <row r="797" spans="1:1" s="1559" customFormat="1" x14ac:dyDescent="0.3">
      <c r="A797" s="1561"/>
    </row>
    <row r="798" spans="1:1" s="1559" customFormat="1" x14ac:dyDescent="0.3">
      <c r="A798" s="1561"/>
    </row>
    <row r="799" spans="1:1" s="1559" customFormat="1" x14ac:dyDescent="0.3">
      <c r="A799" s="1561"/>
    </row>
    <row r="800" spans="1:1" s="1559" customFormat="1" x14ac:dyDescent="0.3">
      <c r="A800" s="1561"/>
    </row>
    <row r="801" spans="1:1" s="1559" customFormat="1" x14ac:dyDescent="0.3">
      <c r="A801" s="1561"/>
    </row>
    <row r="802" spans="1:1" s="1559" customFormat="1" x14ac:dyDescent="0.3">
      <c r="A802" s="1561"/>
    </row>
    <row r="803" spans="1:1" s="1559" customFormat="1" x14ac:dyDescent="0.3">
      <c r="A803" s="1561"/>
    </row>
    <row r="804" spans="1:1" s="1559" customFormat="1" x14ac:dyDescent="0.3">
      <c r="A804" s="1561"/>
    </row>
    <row r="805" spans="1:1" s="1559" customFormat="1" x14ac:dyDescent="0.3">
      <c r="A805" s="1561"/>
    </row>
    <row r="806" spans="1:1" s="1559" customFormat="1" x14ac:dyDescent="0.3">
      <c r="A806" s="1561"/>
    </row>
    <row r="807" spans="1:1" s="1559" customFormat="1" x14ac:dyDescent="0.3">
      <c r="A807" s="1561"/>
    </row>
    <row r="808" spans="1:1" s="1559" customFormat="1" x14ac:dyDescent="0.3">
      <c r="A808" s="1561"/>
    </row>
    <row r="809" spans="1:1" s="1559" customFormat="1" x14ac:dyDescent="0.3">
      <c r="A809" s="1561"/>
    </row>
    <row r="810" spans="1:1" s="1559" customFormat="1" x14ac:dyDescent="0.3">
      <c r="A810" s="1561"/>
    </row>
    <row r="811" spans="1:1" s="1559" customFormat="1" x14ac:dyDescent="0.3">
      <c r="A811" s="1561"/>
    </row>
    <row r="812" spans="1:1" s="1559" customFormat="1" x14ac:dyDescent="0.3">
      <c r="A812" s="1561"/>
    </row>
    <row r="813" spans="1:1" s="1559" customFormat="1" x14ac:dyDescent="0.3">
      <c r="A813" s="1561"/>
    </row>
    <row r="814" spans="1:1" s="1559" customFormat="1" x14ac:dyDescent="0.3">
      <c r="A814" s="1561"/>
    </row>
    <row r="815" spans="1:1" s="1559" customFormat="1" x14ac:dyDescent="0.3">
      <c r="A815" s="1561"/>
    </row>
    <row r="816" spans="1:1" s="1559" customFormat="1" x14ac:dyDescent="0.3">
      <c r="A816" s="1561"/>
    </row>
    <row r="817" spans="1:1" s="1559" customFormat="1" x14ac:dyDescent="0.3">
      <c r="A817" s="1561"/>
    </row>
    <row r="818" spans="1:1" s="1559" customFormat="1" x14ac:dyDescent="0.3">
      <c r="A818" s="1561"/>
    </row>
    <row r="819" spans="1:1" s="1559" customFormat="1" x14ac:dyDescent="0.3">
      <c r="A819" s="1561"/>
    </row>
    <row r="820" spans="1:1" s="1559" customFormat="1" x14ac:dyDescent="0.3">
      <c r="A820" s="1561"/>
    </row>
    <row r="821" spans="1:1" s="1559" customFormat="1" x14ac:dyDescent="0.3">
      <c r="A821" s="1561"/>
    </row>
    <row r="822" spans="1:1" s="1559" customFormat="1" x14ac:dyDescent="0.3">
      <c r="A822" s="1561"/>
    </row>
    <row r="823" spans="1:1" s="1559" customFormat="1" x14ac:dyDescent="0.3">
      <c r="A823" s="1561"/>
    </row>
    <row r="824" spans="1:1" s="1559" customFormat="1" x14ac:dyDescent="0.3">
      <c r="A824" s="1561"/>
    </row>
    <row r="825" spans="1:1" s="1559" customFormat="1" x14ac:dyDescent="0.3">
      <c r="A825" s="1561"/>
    </row>
    <row r="826" spans="1:1" s="1559" customFormat="1" x14ac:dyDescent="0.3">
      <c r="A826" s="1561"/>
    </row>
    <row r="827" spans="1:1" s="1559" customFormat="1" x14ac:dyDescent="0.3">
      <c r="A827" s="1561"/>
    </row>
    <row r="828" spans="1:1" s="1559" customFormat="1" x14ac:dyDescent="0.3">
      <c r="A828" s="1561"/>
    </row>
    <row r="829" spans="1:1" s="1559" customFormat="1" x14ac:dyDescent="0.3">
      <c r="A829" s="1561"/>
    </row>
    <row r="830" spans="1:1" s="1559" customFormat="1" x14ac:dyDescent="0.3">
      <c r="A830" s="1561"/>
    </row>
    <row r="831" spans="1:1" s="1559" customFormat="1" x14ac:dyDescent="0.3">
      <c r="A831" s="1561"/>
    </row>
    <row r="832" spans="1:1" s="1559" customFormat="1" x14ac:dyDescent="0.3">
      <c r="A832" s="1561"/>
    </row>
    <row r="833" spans="1:1" s="1559" customFormat="1" x14ac:dyDescent="0.3">
      <c r="A833" s="1561"/>
    </row>
    <row r="834" spans="1:1" s="1559" customFormat="1" x14ac:dyDescent="0.3">
      <c r="A834" s="1561"/>
    </row>
    <row r="835" spans="1:1" s="1559" customFormat="1" x14ac:dyDescent="0.3">
      <c r="A835" s="1561"/>
    </row>
    <row r="836" spans="1:1" s="1559" customFormat="1" x14ac:dyDescent="0.3">
      <c r="A836" s="1561"/>
    </row>
    <row r="837" spans="1:1" s="1559" customFormat="1" x14ac:dyDescent="0.3">
      <c r="A837" s="1561"/>
    </row>
    <row r="838" spans="1:1" s="1559" customFormat="1" x14ac:dyDescent="0.3">
      <c r="A838" s="1561"/>
    </row>
    <row r="839" spans="1:1" s="1559" customFormat="1" x14ac:dyDescent="0.3">
      <c r="A839" s="1561"/>
    </row>
    <row r="840" spans="1:1" s="1559" customFormat="1" x14ac:dyDescent="0.3">
      <c r="A840" s="1561"/>
    </row>
    <row r="841" spans="1:1" s="1559" customFormat="1" x14ac:dyDescent="0.3">
      <c r="A841" s="1561"/>
    </row>
    <row r="842" spans="1:1" s="1559" customFormat="1" x14ac:dyDescent="0.3">
      <c r="A842" s="1561"/>
    </row>
    <row r="843" spans="1:1" s="1559" customFormat="1" x14ac:dyDescent="0.3">
      <c r="A843" s="1561"/>
    </row>
    <row r="844" spans="1:1" s="1559" customFormat="1" x14ac:dyDescent="0.3">
      <c r="A844" s="1561"/>
    </row>
    <row r="845" spans="1:1" s="1559" customFormat="1" x14ac:dyDescent="0.3">
      <c r="A845" s="1561"/>
    </row>
    <row r="846" spans="1:1" s="1559" customFormat="1" x14ac:dyDescent="0.3">
      <c r="A846" s="1561"/>
    </row>
    <row r="847" spans="1:1" s="1559" customFormat="1" x14ac:dyDescent="0.3">
      <c r="A847" s="1561"/>
    </row>
    <row r="848" spans="1:1" s="1559" customFormat="1" x14ac:dyDescent="0.3">
      <c r="A848" s="1561"/>
    </row>
    <row r="849" spans="1:1" s="1559" customFormat="1" x14ac:dyDescent="0.3">
      <c r="A849" s="1561"/>
    </row>
    <row r="850" spans="1:1" s="1559" customFormat="1" x14ac:dyDescent="0.3">
      <c r="A850" s="1561"/>
    </row>
    <row r="851" spans="1:1" s="1559" customFormat="1" x14ac:dyDescent="0.3">
      <c r="A851" s="1561"/>
    </row>
    <row r="852" spans="1:1" s="1559" customFormat="1" x14ac:dyDescent="0.3">
      <c r="A852" s="1561"/>
    </row>
    <row r="853" spans="1:1" s="1559" customFormat="1" x14ac:dyDescent="0.3">
      <c r="A853" s="1561"/>
    </row>
    <row r="854" spans="1:1" s="1559" customFormat="1" x14ac:dyDescent="0.3">
      <c r="A854" s="1561"/>
    </row>
    <row r="855" spans="1:1" s="1559" customFormat="1" x14ac:dyDescent="0.3">
      <c r="A855" s="1561"/>
    </row>
    <row r="856" spans="1:1" s="1559" customFormat="1" x14ac:dyDescent="0.3">
      <c r="A856" s="1561"/>
    </row>
    <row r="857" spans="1:1" s="1559" customFormat="1" x14ac:dyDescent="0.3">
      <c r="A857" s="1561"/>
    </row>
    <row r="858" spans="1:1" s="1559" customFormat="1" x14ac:dyDescent="0.3">
      <c r="A858" s="1561"/>
    </row>
    <row r="859" spans="1:1" s="1559" customFormat="1" x14ac:dyDescent="0.3">
      <c r="A859" s="1561"/>
    </row>
    <row r="860" spans="1:1" s="1559" customFormat="1" x14ac:dyDescent="0.3">
      <c r="A860" s="1561"/>
    </row>
    <row r="861" spans="1:1" s="1559" customFormat="1" x14ac:dyDescent="0.3">
      <c r="A861" s="1561"/>
    </row>
    <row r="862" spans="1:1" s="1559" customFormat="1" x14ac:dyDescent="0.3">
      <c r="A862" s="1561"/>
    </row>
    <row r="863" spans="1:1" s="1559" customFormat="1" x14ac:dyDescent="0.3">
      <c r="A863" s="1561"/>
    </row>
    <row r="864" spans="1:1" s="1559" customFormat="1" x14ac:dyDescent="0.3">
      <c r="A864" s="1561"/>
    </row>
    <row r="865" spans="1:1" s="1559" customFormat="1" x14ac:dyDescent="0.3">
      <c r="A865" s="1561"/>
    </row>
    <row r="866" spans="1:1" s="1559" customFormat="1" x14ac:dyDescent="0.3">
      <c r="A866" s="1561"/>
    </row>
    <row r="867" spans="1:1" s="1559" customFormat="1" x14ac:dyDescent="0.3">
      <c r="A867" s="1561"/>
    </row>
    <row r="868" spans="1:1" s="1559" customFormat="1" x14ac:dyDescent="0.3">
      <c r="A868" s="1561"/>
    </row>
    <row r="869" spans="1:1" s="1559" customFormat="1" x14ac:dyDescent="0.3">
      <c r="A869" s="1561"/>
    </row>
    <row r="870" spans="1:1" s="1559" customFormat="1" x14ac:dyDescent="0.3">
      <c r="A870" s="1561"/>
    </row>
    <row r="871" spans="1:1" s="1559" customFormat="1" x14ac:dyDescent="0.3">
      <c r="A871" s="1561"/>
    </row>
    <row r="872" spans="1:1" s="1559" customFormat="1" x14ac:dyDescent="0.3">
      <c r="A872" s="1561"/>
    </row>
    <row r="873" spans="1:1" s="1559" customFormat="1" x14ac:dyDescent="0.3">
      <c r="A873" s="1561"/>
    </row>
    <row r="874" spans="1:1" s="1559" customFormat="1" x14ac:dyDescent="0.3">
      <c r="A874" s="1561"/>
    </row>
    <row r="875" spans="1:1" s="1559" customFormat="1" x14ac:dyDescent="0.3">
      <c r="A875" s="1561"/>
    </row>
    <row r="876" spans="1:1" s="1559" customFormat="1" x14ac:dyDescent="0.3">
      <c r="A876" s="1561"/>
    </row>
    <row r="877" spans="1:1" s="1559" customFormat="1" x14ac:dyDescent="0.3">
      <c r="A877" s="1561"/>
    </row>
    <row r="878" spans="1:1" s="1559" customFormat="1" x14ac:dyDescent="0.3">
      <c r="A878" s="1561"/>
    </row>
    <row r="879" spans="1:1" s="1559" customFormat="1" x14ac:dyDescent="0.3">
      <c r="A879" s="1561"/>
    </row>
    <row r="880" spans="1:1" s="1559" customFormat="1" x14ac:dyDescent="0.3">
      <c r="A880" s="1561"/>
    </row>
    <row r="881" spans="1:1" s="1559" customFormat="1" x14ac:dyDescent="0.3">
      <c r="A881" s="1561"/>
    </row>
    <row r="882" spans="1:1" s="1559" customFormat="1" x14ac:dyDescent="0.3">
      <c r="A882" s="1561"/>
    </row>
    <row r="883" spans="1:1" s="1559" customFormat="1" x14ac:dyDescent="0.3">
      <c r="A883" s="1561"/>
    </row>
    <row r="884" spans="1:1" s="1559" customFormat="1" x14ac:dyDescent="0.3">
      <c r="A884" s="1561"/>
    </row>
    <row r="885" spans="1:1" s="1559" customFormat="1" x14ac:dyDescent="0.3">
      <c r="A885" s="1561"/>
    </row>
    <row r="886" spans="1:1" s="1559" customFormat="1" x14ac:dyDescent="0.3">
      <c r="A886" s="1561"/>
    </row>
    <row r="887" spans="1:1" s="1559" customFormat="1" x14ac:dyDescent="0.3">
      <c r="A887" s="1561"/>
    </row>
    <row r="888" spans="1:1" s="1559" customFormat="1" x14ac:dyDescent="0.3">
      <c r="A888" s="1561"/>
    </row>
    <row r="889" spans="1:1" s="1559" customFormat="1" x14ac:dyDescent="0.3">
      <c r="A889" s="1561"/>
    </row>
    <row r="890" spans="1:1" s="1559" customFormat="1" x14ac:dyDescent="0.3">
      <c r="A890" s="1561"/>
    </row>
    <row r="891" spans="1:1" s="1559" customFormat="1" x14ac:dyDescent="0.3">
      <c r="A891" s="1561"/>
    </row>
    <row r="892" spans="1:1" s="1559" customFormat="1" x14ac:dyDescent="0.3">
      <c r="A892" s="1561"/>
    </row>
    <row r="893" spans="1:1" s="1559" customFormat="1" x14ac:dyDescent="0.3">
      <c r="A893" s="1561"/>
    </row>
    <row r="894" spans="1:1" s="1559" customFormat="1" x14ac:dyDescent="0.3">
      <c r="A894" s="1561"/>
    </row>
    <row r="895" spans="1:1" s="1559" customFormat="1" x14ac:dyDescent="0.3">
      <c r="A895" s="1561"/>
    </row>
    <row r="896" spans="1:1" s="1559" customFormat="1" x14ac:dyDescent="0.3">
      <c r="A896" s="1561"/>
    </row>
    <row r="897" spans="1:1" s="1559" customFormat="1" x14ac:dyDescent="0.3">
      <c r="A897" s="1561"/>
    </row>
    <row r="898" spans="1:1" s="1559" customFormat="1" x14ac:dyDescent="0.3">
      <c r="A898" s="1561"/>
    </row>
    <row r="899" spans="1:1" s="1559" customFormat="1" x14ac:dyDescent="0.3">
      <c r="A899" s="1561"/>
    </row>
    <row r="900" spans="1:1" s="1559" customFormat="1" x14ac:dyDescent="0.3">
      <c r="A900" s="1561"/>
    </row>
    <row r="901" spans="1:1" s="1559" customFormat="1" x14ac:dyDescent="0.3">
      <c r="A901" s="1561"/>
    </row>
    <row r="902" spans="1:1" s="1559" customFormat="1" x14ac:dyDescent="0.3">
      <c r="A902" s="1561"/>
    </row>
    <row r="903" spans="1:1" s="1559" customFormat="1" x14ac:dyDescent="0.3">
      <c r="A903" s="1561"/>
    </row>
    <row r="904" spans="1:1" s="1559" customFormat="1" x14ac:dyDescent="0.3">
      <c r="A904" s="1561"/>
    </row>
    <row r="905" spans="1:1" s="1559" customFormat="1" x14ac:dyDescent="0.3">
      <c r="A905" s="1561"/>
    </row>
    <row r="906" spans="1:1" s="1559" customFormat="1" x14ac:dyDescent="0.3">
      <c r="A906" s="1561"/>
    </row>
    <row r="907" spans="1:1" s="1559" customFormat="1" x14ac:dyDescent="0.3">
      <c r="A907" s="1561"/>
    </row>
    <row r="908" spans="1:1" s="1559" customFormat="1" x14ac:dyDescent="0.3">
      <c r="A908" s="1561"/>
    </row>
    <row r="909" spans="1:1" s="1559" customFormat="1" x14ac:dyDescent="0.3">
      <c r="A909" s="1561"/>
    </row>
    <row r="910" spans="1:1" s="1559" customFormat="1" x14ac:dyDescent="0.3">
      <c r="A910" s="1561"/>
    </row>
    <row r="911" spans="1:1" s="1559" customFormat="1" x14ac:dyDescent="0.3">
      <c r="A911" s="1561"/>
    </row>
    <row r="912" spans="1:1" s="1559" customFormat="1" x14ac:dyDescent="0.3">
      <c r="A912" s="1561"/>
    </row>
    <row r="913" spans="1:1" s="1559" customFormat="1" x14ac:dyDescent="0.3">
      <c r="A913" s="1561"/>
    </row>
    <row r="914" spans="1:1" s="1559" customFormat="1" x14ac:dyDescent="0.3">
      <c r="A914" s="1561"/>
    </row>
    <row r="915" spans="1:1" s="1559" customFormat="1" x14ac:dyDescent="0.3">
      <c r="A915" s="1561"/>
    </row>
    <row r="916" spans="1:1" s="1559" customFormat="1" x14ac:dyDescent="0.3">
      <c r="A916" s="1561"/>
    </row>
    <row r="917" spans="1:1" s="1559" customFormat="1" x14ac:dyDescent="0.3">
      <c r="A917" s="1561"/>
    </row>
    <row r="918" spans="1:1" s="1559" customFormat="1" x14ac:dyDescent="0.3">
      <c r="A918" s="1561"/>
    </row>
    <row r="919" spans="1:1" s="1559" customFormat="1" x14ac:dyDescent="0.3">
      <c r="A919" s="1561"/>
    </row>
    <row r="920" spans="1:1" s="1559" customFormat="1" x14ac:dyDescent="0.3">
      <c r="A920" s="1561"/>
    </row>
    <row r="921" spans="1:1" s="1559" customFormat="1" x14ac:dyDescent="0.3">
      <c r="A921" s="1561"/>
    </row>
    <row r="922" spans="1:1" s="1559" customFormat="1" x14ac:dyDescent="0.3">
      <c r="A922" s="1561"/>
    </row>
    <row r="923" spans="1:1" s="1559" customFormat="1" x14ac:dyDescent="0.3">
      <c r="A923" s="1561"/>
    </row>
    <row r="924" spans="1:1" s="1559" customFormat="1" x14ac:dyDescent="0.3">
      <c r="A924" s="1561"/>
    </row>
    <row r="925" spans="1:1" s="1559" customFormat="1" x14ac:dyDescent="0.3">
      <c r="A925" s="1561"/>
    </row>
    <row r="926" spans="1:1" s="1559" customFormat="1" x14ac:dyDescent="0.3">
      <c r="A926" s="1561"/>
    </row>
    <row r="927" spans="1:1" s="1559" customFormat="1" x14ac:dyDescent="0.3">
      <c r="A927" s="1561"/>
    </row>
    <row r="928" spans="1:1" s="1559" customFormat="1" x14ac:dyDescent="0.3">
      <c r="A928" s="1561"/>
    </row>
    <row r="929" spans="1:1" s="1559" customFormat="1" x14ac:dyDescent="0.3">
      <c r="A929" s="1561"/>
    </row>
    <row r="930" spans="1:1" s="1559" customFormat="1" x14ac:dyDescent="0.3">
      <c r="A930" s="1561"/>
    </row>
    <row r="931" spans="1:1" s="1559" customFormat="1" x14ac:dyDescent="0.3">
      <c r="A931" s="1561"/>
    </row>
    <row r="932" spans="1:1" s="1559" customFormat="1" x14ac:dyDescent="0.3">
      <c r="A932" s="1561"/>
    </row>
    <row r="933" spans="1:1" s="1559" customFormat="1" x14ac:dyDescent="0.3">
      <c r="A933" s="1561"/>
    </row>
    <row r="934" spans="1:1" s="1559" customFormat="1" x14ac:dyDescent="0.3">
      <c r="A934" s="1561"/>
    </row>
    <row r="935" spans="1:1" s="1559" customFormat="1" x14ac:dyDescent="0.3">
      <c r="A935" s="1561"/>
    </row>
    <row r="936" spans="1:1" s="1559" customFormat="1" x14ac:dyDescent="0.3">
      <c r="A936" s="1561"/>
    </row>
    <row r="937" spans="1:1" s="1559" customFormat="1" x14ac:dyDescent="0.3">
      <c r="A937" s="1561"/>
    </row>
    <row r="938" spans="1:1" s="1559" customFormat="1" x14ac:dyDescent="0.3">
      <c r="A938" s="1561"/>
    </row>
    <row r="939" spans="1:1" s="1559" customFormat="1" x14ac:dyDescent="0.3">
      <c r="A939" s="1561"/>
    </row>
    <row r="940" spans="1:1" s="1559" customFormat="1" x14ac:dyDescent="0.3">
      <c r="A940" s="1561"/>
    </row>
    <row r="941" spans="1:1" s="1559" customFormat="1" x14ac:dyDescent="0.3">
      <c r="A941" s="1561"/>
    </row>
    <row r="942" spans="1:1" s="1559" customFormat="1" x14ac:dyDescent="0.3">
      <c r="A942" s="1561"/>
    </row>
    <row r="943" spans="1:1" s="1559" customFormat="1" x14ac:dyDescent="0.3">
      <c r="A943" s="1561"/>
    </row>
    <row r="944" spans="1:1" s="1559" customFormat="1" x14ac:dyDescent="0.3">
      <c r="A944" s="1561"/>
    </row>
    <row r="945" spans="1:1" s="1559" customFormat="1" x14ac:dyDescent="0.3">
      <c r="A945" s="1561"/>
    </row>
    <row r="946" spans="1:1" s="1559" customFormat="1" x14ac:dyDescent="0.3">
      <c r="A946" s="1561"/>
    </row>
    <row r="947" spans="1:1" s="1559" customFormat="1" x14ac:dyDescent="0.3">
      <c r="A947" s="1561"/>
    </row>
    <row r="948" spans="1:1" s="1559" customFormat="1" x14ac:dyDescent="0.3">
      <c r="A948" s="1561"/>
    </row>
    <row r="949" spans="1:1" s="1559" customFormat="1" x14ac:dyDescent="0.3">
      <c r="A949" s="1561"/>
    </row>
    <row r="950" spans="1:1" s="1559" customFormat="1" x14ac:dyDescent="0.3">
      <c r="A950" s="1561"/>
    </row>
    <row r="951" spans="1:1" s="1559" customFormat="1" x14ac:dyDescent="0.3">
      <c r="A951" s="1561"/>
    </row>
    <row r="952" spans="1:1" s="1559" customFormat="1" x14ac:dyDescent="0.3">
      <c r="A952" s="1561"/>
    </row>
    <row r="953" spans="1:1" s="1559" customFormat="1" x14ac:dyDescent="0.3">
      <c r="A953" s="1561"/>
    </row>
    <row r="954" spans="1:1" s="1559" customFormat="1" x14ac:dyDescent="0.3">
      <c r="A954" s="1561"/>
    </row>
    <row r="955" spans="1:1" s="1559" customFormat="1" x14ac:dyDescent="0.3">
      <c r="A955" s="1561"/>
    </row>
    <row r="956" spans="1:1" s="1559" customFormat="1" x14ac:dyDescent="0.3">
      <c r="A956" s="1561"/>
    </row>
    <row r="957" spans="1:1" s="1559" customFormat="1" x14ac:dyDescent="0.3">
      <c r="A957" s="1561"/>
    </row>
    <row r="958" spans="1:1" s="1559" customFormat="1" x14ac:dyDescent="0.3">
      <c r="A958" s="1561"/>
    </row>
    <row r="959" spans="1:1" s="1559" customFormat="1" x14ac:dyDescent="0.3">
      <c r="A959" s="1561"/>
    </row>
    <row r="960" spans="1:1" s="1559" customFormat="1" x14ac:dyDescent="0.3">
      <c r="A960" s="1561"/>
    </row>
    <row r="961" spans="1:1" s="1559" customFormat="1" x14ac:dyDescent="0.3">
      <c r="A961" s="1561"/>
    </row>
    <row r="962" spans="1:1" s="1559" customFormat="1" x14ac:dyDescent="0.3">
      <c r="A962" s="1561"/>
    </row>
    <row r="963" spans="1:1" s="1559" customFormat="1" x14ac:dyDescent="0.3">
      <c r="A963" s="1561"/>
    </row>
    <row r="964" spans="1:1" s="1559" customFormat="1" x14ac:dyDescent="0.3">
      <c r="A964" s="1561"/>
    </row>
    <row r="965" spans="1:1" s="1559" customFormat="1" x14ac:dyDescent="0.3">
      <c r="A965" s="1561"/>
    </row>
    <row r="966" spans="1:1" s="1559" customFormat="1" x14ac:dyDescent="0.3">
      <c r="A966" s="1561"/>
    </row>
    <row r="967" spans="1:1" s="1559" customFormat="1" x14ac:dyDescent="0.3">
      <c r="A967" s="1561"/>
    </row>
    <row r="968" spans="1:1" s="1559" customFormat="1" x14ac:dyDescent="0.3">
      <c r="A968" s="1561"/>
    </row>
    <row r="969" spans="1:1" s="1559" customFormat="1" x14ac:dyDescent="0.3">
      <c r="A969" s="1561"/>
    </row>
    <row r="970" spans="1:1" s="1559" customFormat="1" x14ac:dyDescent="0.3">
      <c r="A970" s="1561"/>
    </row>
    <row r="971" spans="1:1" s="1559" customFormat="1" x14ac:dyDescent="0.3">
      <c r="A971" s="1561"/>
    </row>
    <row r="972" spans="1:1" s="1559" customFormat="1" x14ac:dyDescent="0.3">
      <c r="A972" s="1561"/>
    </row>
    <row r="973" spans="1:1" s="1559" customFormat="1" x14ac:dyDescent="0.3">
      <c r="A973" s="1561"/>
    </row>
    <row r="974" spans="1:1" s="1559" customFormat="1" x14ac:dyDescent="0.3">
      <c r="A974" s="1561"/>
    </row>
    <row r="975" spans="1:1" s="1559" customFormat="1" x14ac:dyDescent="0.3">
      <c r="A975" s="1561"/>
    </row>
    <row r="976" spans="1:1" s="1559" customFormat="1" x14ac:dyDescent="0.3">
      <c r="A976" s="1561"/>
    </row>
    <row r="977" spans="1:1" s="1559" customFormat="1" x14ac:dyDescent="0.3">
      <c r="A977" s="1561"/>
    </row>
    <row r="978" spans="1:1" s="1559" customFormat="1" x14ac:dyDescent="0.3">
      <c r="A978" s="1561"/>
    </row>
    <row r="979" spans="1:1" s="1559" customFormat="1" x14ac:dyDescent="0.3">
      <c r="A979" s="1561"/>
    </row>
    <row r="980" spans="1:1" s="1559" customFormat="1" x14ac:dyDescent="0.3">
      <c r="A980" s="1561"/>
    </row>
    <row r="981" spans="1:1" s="1559" customFormat="1" x14ac:dyDescent="0.3">
      <c r="A981" s="1561"/>
    </row>
    <row r="982" spans="1:1" s="1559" customFormat="1" x14ac:dyDescent="0.3">
      <c r="A982" s="1561"/>
    </row>
    <row r="983" spans="1:1" s="1559" customFormat="1" x14ac:dyDescent="0.3">
      <c r="A983" s="1561"/>
    </row>
    <row r="984" spans="1:1" s="1559" customFormat="1" x14ac:dyDescent="0.3">
      <c r="A984" s="1561"/>
    </row>
    <row r="985" spans="1:1" s="1559" customFormat="1" x14ac:dyDescent="0.3">
      <c r="A985" s="1561"/>
    </row>
    <row r="986" spans="1:1" s="1559" customFormat="1" x14ac:dyDescent="0.3">
      <c r="A986" s="1561"/>
    </row>
    <row r="987" spans="1:1" s="1559" customFormat="1" x14ac:dyDescent="0.3">
      <c r="A987" s="1561"/>
    </row>
    <row r="988" spans="1:1" s="1559" customFormat="1" x14ac:dyDescent="0.3">
      <c r="A988" s="1561"/>
    </row>
    <row r="989" spans="1:1" s="1559" customFormat="1" x14ac:dyDescent="0.3">
      <c r="A989" s="1561"/>
    </row>
    <row r="990" spans="1:1" s="1559" customFormat="1" x14ac:dyDescent="0.3">
      <c r="A990" s="1561"/>
    </row>
    <row r="991" spans="1:1" s="1559" customFormat="1" x14ac:dyDescent="0.3">
      <c r="A991" s="1561"/>
    </row>
    <row r="992" spans="1:1" s="1559" customFormat="1" x14ac:dyDescent="0.3">
      <c r="A992" s="1561"/>
    </row>
    <row r="993" spans="1:1" s="1559" customFormat="1" x14ac:dyDescent="0.3">
      <c r="A993" s="1561"/>
    </row>
    <row r="994" spans="1:1" s="1559" customFormat="1" x14ac:dyDescent="0.3">
      <c r="A994" s="1561"/>
    </row>
    <row r="995" spans="1:1" s="1559" customFormat="1" x14ac:dyDescent="0.3">
      <c r="A995" s="1561"/>
    </row>
    <row r="996" spans="1:1" s="1559" customFormat="1" x14ac:dyDescent="0.3">
      <c r="A996" s="1561"/>
    </row>
    <row r="997" spans="1:1" s="1559" customFormat="1" x14ac:dyDescent="0.3">
      <c r="A997" s="1561"/>
    </row>
    <row r="998" spans="1:1" s="1559" customFormat="1" x14ac:dyDescent="0.3">
      <c r="A998" s="1561"/>
    </row>
    <row r="999" spans="1:1" s="1559" customFormat="1" x14ac:dyDescent="0.3">
      <c r="A999" s="1561"/>
    </row>
    <row r="1000" spans="1:1" s="1559" customFormat="1" x14ac:dyDescent="0.3">
      <c r="A1000" s="1561"/>
    </row>
    <row r="1001" spans="1:1" s="1559" customFormat="1" x14ac:dyDescent="0.3">
      <c r="A1001" s="1561"/>
    </row>
    <row r="1002" spans="1:1" s="1559" customFormat="1" x14ac:dyDescent="0.3">
      <c r="A1002" s="1561"/>
    </row>
    <row r="1003" spans="1:1" s="1559" customFormat="1" x14ac:dyDescent="0.3">
      <c r="A1003" s="1561"/>
    </row>
    <row r="1004" spans="1:1" s="1559" customFormat="1" x14ac:dyDescent="0.3">
      <c r="A1004" s="1561"/>
    </row>
    <row r="1005" spans="1:1" s="1559" customFormat="1" x14ac:dyDescent="0.3">
      <c r="A1005" s="1561"/>
    </row>
    <row r="1006" spans="1:1" s="1559" customFormat="1" x14ac:dyDescent="0.3">
      <c r="A1006" s="1561"/>
    </row>
    <row r="1007" spans="1:1" s="1559" customFormat="1" x14ac:dyDescent="0.3">
      <c r="A1007" s="1561"/>
    </row>
    <row r="1008" spans="1:1" s="1559" customFormat="1" x14ac:dyDescent="0.3">
      <c r="A1008" s="1561"/>
    </row>
    <row r="1009" spans="1:1" s="1559" customFormat="1" x14ac:dyDescent="0.3">
      <c r="A1009" s="1561"/>
    </row>
    <row r="1010" spans="1:1" s="1559" customFormat="1" x14ac:dyDescent="0.3">
      <c r="A1010" s="1561"/>
    </row>
    <row r="1011" spans="1:1" s="1559" customFormat="1" x14ac:dyDescent="0.3">
      <c r="A1011" s="1561"/>
    </row>
    <row r="1012" spans="1:1" s="1559" customFormat="1" x14ac:dyDescent="0.3">
      <c r="A1012" s="1561"/>
    </row>
    <row r="1013" spans="1:1" s="1559" customFormat="1" x14ac:dyDescent="0.3">
      <c r="A1013" s="1561"/>
    </row>
    <row r="1014" spans="1:1" s="1559" customFormat="1" x14ac:dyDescent="0.3">
      <c r="A1014" s="1561"/>
    </row>
    <row r="1015" spans="1:1" s="1559" customFormat="1" x14ac:dyDescent="0.3">
      <c r="A1015" s="1561"/>
    </row>
    <row r="1016" spans="1:1" s="1559" customFormat="1" x14ac:dyDescent="0.3">
      <c r="A1016" s="1561"/>
    </row>
    <row r="1017" spans="1:1" s="1559" customFormat="1" x14ac:dyDescent="0.3">
      <c r="A1017" s="1561"/>
    </row>
    <row r="1018" spans="1:1" s="1559" customFormat="1" x14ac:dyDescent="0.3">
      <c r="A1018" s="1561"/>
    </row>
    <row r="1019" spans="1:1" s="1559" customFormat="1" x14ac:dyDescent="0.3">
      <c r="A1019" s="1561"/>
    </row>
    <row r="1020" spans="1:1" s="1559" customFormat="1" x14ac:dyDescent="0.3">
      <c r="A1020" s="1561"/>
    </row>
    <row r="1021" spans="1:1" s="1559" customFormat="1" x14ac:dyDescent="0.3">
      <c r="A1021" s="1561"/>
    </row>
    <row r="1022" spans="1:1" s="1559" customFormat="1" x14ac:dyDescent="0.3">
      <c r="A1022" s="1561"/>
    </row>
    <row r="1023" spans="1:1" s="1559" customFormat="1" x14ac:dyDescent="0.3">
      <c r="A1023" s="1561"/>
    </row>
    <row r="1024" spans="1:1" s="1559" customFormat="1" x14ac:dyDescent="0.3">
      <c r="A1024" s="1561"/>
    </row>
    <row r="1025" spans="1:1" s="1559" customFormat="1" x14ac:dyDescent="0.3">
      <c r="A1025" s="1561"/>
    </row>
    <row r="1026" spans="1:1" s="1559" customFormat="1" x14ac:dyDescent="0.3">
      <c r="A1026" s="1561"/>
    </row>
    <row r="1027" spans="1:1" s="1559" customFormat="1" x14ac:dyDescent="0.3">
      <c r="A1027" s="1561"/>
    </row>
    <row r="1028" spans="1:1" s="1559" customFormat="1" x14ac:dyDescent="0.3">
      <c r="A1028" s="1561"/>
    </row>
    <row r="1029" spans="1:1" s="1559" customFormat="1" x14ac:dyDescent="0.3">
      <c r="A1029" s="1561"/>
    </row>
    <row r="1030" spans="1:1" s="1559" customFormat="1" x14ac:dyDescent="0.3">
      <c r="A1030" s="1561"/>
    </row>
    <row r="1031" spans="1:1" s="1559" customFormat="1" x14ac:dyDescent="0.3">
      <c r="A1031" s="1561"/>
    </row>
    <row r="1032" spans="1:1" s="1559" customFormat="1" x14ac:dyDescent="0.3">
      <c r="A1032" s="1561"/>
    </row>
    <row r="1033" spans="1:1" s="1559" customFormat="1" x14ac:dyDescent="0.3">
      <c r="A1033" s="1561"/>
    </row>
    <row r="1034" spans="1:1" s="1559" customFormat="1" x14ac:dyDescent="0.3">
      <c r="A1034" s="1561"/>
    </row>
    <row r="1035" spans="1:1" s="1559" customFormat="1" x14ac:dyDescent="0.3">
      <c r="A1035" s="1561"/>
    </row>
    <row r="1036" spans="1:1" s="1559" customFormat="1" x14ac:dyDescent="0.3">
      <c r="A1036" s="1561"/>
    </row>
    <row r="1037" spans="1:1" s="1559" customFormat="1" x14ac:dyDescent="0.3">
      <c r="A1037" s="1561"/>
    </row>
    <row r="1038" spans="1:1" s="1559" customFormat="1" x14ac:dyDescent="0.3">
      <c r="A1038" s="1561"/>
    </row>
    <row r="1039" spans="1:1" s="1559" customFormat="1" x14ac:dyDescent="0.3">
      <c r="A1039" s="1561"/>
    </row>
    <row r="1040" spans="1:1" s="1559" customFormat="1" x14ac:dyDescent="0.3">
      <c r="A1040" s="1561"/>
    </row>
    <row r="1041" spans="1:1" s="1559" customFormat="1" x14ac:dyDescent="0.3">
      <c r="A1041" s="1561"/>
    </row>
    <row r="1042" spans="1:1" s="1559" customFormat="1" x14ac:dyDescent="0.3">
      <c r="A1042" s="1561"/>
    </row>
    <row r="1043" spans="1:1" s="1559" customFormat="1" x14ac:dyDescent="0.3">
      <c r="A1043" s="1561"/>
    </row>
    <row r="1044" spans="1:1" s="1559" customFormat="1" x14ac:dyDescent="0.3">
      <c r="A1044" s="1561"/>
    </row>
    <row r="1045" spans="1:1" s="1559" customFormat="1" x14ac:dyDescent="0.3">
      <c r="A1045" s="1561"/>
    </row>
    <row r="1046" spans="1:1" s="1559" customFormat="1" x14ac:dyDescent="0.3">
      <c r="A1046" s="1561"/>
    </row>
    <row r="1047" spans="1:1" s="1559" customFormat="1" x14ac:dyDescent="0.3">
      <c r="A1047" s="1561"/>
    </row>
    <row r="1048" spans="1:1" s="1559" customFormat="1" x14ac:dyDescent="0.3">
      <c r="A1048" s="1561"/>
    </row>
    <row r="1049" spans="1:1" s="1559" customFormat="1" x14ac:dyDescent="0.3">
      <c r="A1049" s="1561"/>
    </row>
    <row r="1050" spans="1:1" s="1559" customFormat="1" x14ac:dyDescent="0.3">
      <c r="A1050" s="1561"/>
    </row>
    <row r="1051" spans="1:1" s="1559" customFormat="1" x14ac:dyDescent="0.3">
      <c r="A1051" s="1561"/>
    </row>
    <row r="1052" spans="1:1" s="1559" customFormat="1" x14ac:dyDescent="0.3">
      <c r="A1052" s="1561"/>
    </row>
    <row r="1053" spans="1:1" s="1559" customFormat="1" x14ac:dyDescent="0.3">
      <c r="A1053" s="1561"/>
    </row>
    <row r="1054" spans="1:1" s="1559" customFormat="1" x14ac:dyDescent="0.3">
      <c r="A1054" s="1561"/>
    </row>
    <row r="1055" spans="1:1" s="1559" customFormat="1" x14ac:dyDescent="0.3">
      <c r="A1055" s="1561"/>
    </row>
    <row r="1056" spans="1:1" s="1559" customFormat="1" x14ac:dyDescent="0.3">
      <c r="A1056" s="1561"/>
    </row>
    <row r="1057" spans="1:1" s="1559" customFormat="1" x14ac:dyDescent="0.3">
      <c r="A1057" s="1561"/>
    </row>
    <row r="1058" spans="1:1" s="1559" customFormat="1" x14ac:dyDescent="0.3">
      <c r="A1058" s="1561"/>
    </row>
    <row r="1059" spans="1:1" s="1559" customFormat="1" x14ac:dyDescent="0.3">
      <c r="A1059" s="1561"/>
    </row>
    <row r="1060" spans="1:1" s="1559" customFormat="1" x14ac:dyDescent="0.3">
      <c r="A1060" s="1561"/>
    </row>
    <row r="1061" spans="1:1" s="1559" customFormat="1" x14ac:dyDescent="0.3">
      <c r="A1061" s="1561"/>
    </row>
    <row r="1062" spans="1:1" s="1559" customFormat="1" x14ac:dyDescent="0.3">
      <c r="A1062" s="1561"/>
    </row>
    <row r="1063" spans="1:1" s="1559" customFormat="1" x14ac:dyDescent="0.3">
      <c r="A1063" s="1561"/>
    </row>
    <row r="1064" spans="1:1" s="1559" customFormat="1" x14ac:dyDescent="0.3">
      <c r="A1064" s="1561"/>
    </row>
    <row r="1065" spans="1:1" s="1559" customFormat="1" x14ac:dyDescent="0.3">
      <c r="A1065" s="1561"/>
    </row>
    <row r="1066" spans="1:1" s="1559" customFormat="1" x14ac:dyDescent="0.3">
      <c r="A1066" s="1561"/>
    </row>
    <row r="1067" spans="1:1" s="1559" customFormat="1" x14ac:dyDescent="0.3">
      <c r="A1067" s="1561"/>
    </row>
    <row r="1068" spans="1:1" s="1559" customFormat="1" x14ac:dyDescent="0.3">
      <c r="A1068" s="1561"/>
    </row>
    <row r="1069" spans="1:1" s="1559" customFormat="1" x14ac:dyDescent="0.3">
      <c r="A1069" s="1561"/>
    </row>
    <row r="1070" spans="1:1" s="1559" customFormat="1" x14ac:dyDescent="0.3">
      <c r="A1070" s="1561"/>
    </row>
    <row r="1071" spans="1:1" s="1559" customFormat="1" x14ac:dyDescent="0.3">
      <c r="A1071" s="1561"/>
    </row>
    <row r="1072" spans="1:1" s="1559" customFormat="1" x14ac:dyDescent="0.3">
      <c r="A1072" s="1561"/>
    </row>
    <row r="1073" spans="1:1" s="1559" customFormat="1" x14ac:dyDescent="0.3">
      <c r="A1073" s="1561"/>
    </row>
    <row r="1074" spans="1:1" s="1559" customFormat="1" x14ac:dyDescent="0.3">
      <c r="A1074" s="1561"/>
    </row>
    <row r="1075" spans="1:1" s="1559" customFormat="1" x14ac:dyDescent="0.3">
      <c r="A1075" s="1561"/>
    </row>
    <row r="1076" spans="1:1" s="1559" customFormat="1" x14ac:dyDescent="0.3">
      <c r="A1076" s="1561"/>
    </row>
    <row r="1077" spans="1:1" s="1559" customFormat="1" x14ac:dyDescent="0.3">
      <c r="A1077" s="1561"/>
    </row>
    <row r="1078" spans="1:1" s="1559" customFormat="1" x14ac:dyDescent="0.3">
      <c r="A1078" s="1561"/>
    </row>
    <row r="1079" spans="1:1" s="1559" customFormat="1" x14ac:dyDescent="0.3">
      <c r="A1079" s="1561"/>
    </row>
    <row r="1080" spans="1:1" s="1559" customFormat="1" x14ac:dyDescent="0.3">
      <c r="A1080" s="1561"/>
    </row>
    <row r="1081" spans="1:1" s="1559" customFormat="1" x14ac:dyDescent="0.3">
      <c r="A1081" s="1561"/>
    </row>
    <row r="1082" spans="1:1" s="1559" customFormat="1" x14ac:dyDescent="0.3">
      <c r="A1082" s="1561"/>
    </row>
    <row r="1083" spans="1:1" s="1559" customFormat="1" x14ac:dyDescent="0.3">
      <c r="A1083" s="1561"/>
    </row>
    <row r="1084" spans="1:1" s="1559" customFormat="1" x14ac:dyDescent="0.3">
      <c r="A1084" s="1561"/>
    </row>
    <row r="1085" spans="1:1" s="1559" customFormat="1" x14ac:dyDescent="0.3">
      <c r="A1085" s="1561"/>
    </row>
    <row r="1086" spans="1:1" s="1559" customFormat="1" x14ac:dyDescent="0.3">
      <c r="A1086" s="1561"/>
    </row>
    <row r="1087" spans="1:1" s="1559" customFormat="1" x14ac:dyDescent="0.3">
      <c r="A1087" s="1561"/>
    </row>
    <row r="1088" spans="1:1" s="1559" customFormat="1" x14ac:dyDescent="0.3">
      <c r="A1088" s="1561"/>
    </row>
    <row r="1089" spans="1:1" s="1559" customFormat="1" x14ac:dyDescent="0.3">
      <c r="A1089" s="1561"/>
    </row>
    <row r="1090" spans="1:1" s="1559" customFormat="1" x14ac:dyDescent="0.3">
      <c r="A1090" s="1561"/>
    </row>
    <row r="1091" spans="1:1" s="1559" customFormat="1" x14ac:dyDescent="0.3">
      <c r="A1091" s="1561"/>
    </row>
    <row r="1092" spans="1:1" s="1559" customFormat="1" x14ac:dyDescent="0.3">
      <c r="A1092" s="1561"/>
    </row>
    <row r="1093" spans="1:1" s="1559" customFormat="1" x14ac:dyDescent="0.3">
      <c r="A1093" s="1561"/>
    </row>
    <row r="1094" spans="1:1" s="1559" customFormat="1" x14ac:dyDescent="0.3">
      <c r="A1094" s="1561"/>
    </row>
    <row r="1095" spans="1:1" s="1559" customFormat="1" x14ac:dyDescent="0.3">
      <c r="A1095" s="1561"/>
    </row>
    <row r="1096" spans="1:1" s="1559" customFormat="1" x14ac:dyDescent="0.3">
      <c r="A1096" s="1561"/>
    </row>
    <row r="1097" spans="1:1" s="1559" customFormat="1" x14ac:dyDescent="0.3">
      <c r="A1097" s="1561"/>
    </row>
    <row r="1098" spans="1:1" s="1559" customFormat="1" x14ac:dyDescent="0.3">
      <c r="A1098" s="1561"/>
    </row>
    <row r="1099" spans="1:1" s="1559" customFormat="1" x14ac:dyDescent="0.3">
      <c r="A1099" s="1561"/>
    </row>
    <row r="1100" spans="1:1" s="1559" customFormat="1" x14ac:dyDescent="0.3">
      <c r="A1100" s="1561"/>
    </row>
    <row r="1101" spans="1:1" s="1559" customFormat="1" x14ac:dyDescent="0.3">
      <c r="A1101" s="1561"/>
    </row>
    <row r="1102" spans="1:1" s="1559" customFormat="1" x14ac:dyDescent="0.3">
      <c r="A1102" s="1561"/>
    </row>
    <row r="1103" spans="1:1" s="1559" customFormat="1" x14ac:dyDescent="0.3">
      <c r="A1103" s="1561"/>
    </row>
    <row r="1104" spans="1:1" s="1559" customFormat="1" x14ac:dyDescent="0.3">
      <c r="A1104" s="1561"/>
    </row>
    <row r="1105" spans="1:1" s="1559" customFormat="1" x14ac:dyDescent="0.3">
      <c r="A1105" s="1561"/>
    </row>
    <row r="1106" spans="1:1" s="1559" customFormat="1" x14ac:dyDescent="0.3">
      <c r="A1106" s="1561"/>
    </row>
    <row r="1107" spans="1:1" s="1559" customFormat="1" x14ac:dyDescent="0.3">
      <c r="A1107" s="1561"/>
    </row>
    <row r="1108" spans="1:1" s="1559" customFormat="1" x14ac:dyDescent="0.3">
      <c r="A1108" s="1561"/>
    </row>
    <row r="1109" spans="1:1" s="1559" customFormat="1" x14ac:dyDescent="0.3">
      <c r="A1109" s="1561"/>
    </row>
    <row r="1110" spans="1:1" s="1559" customFormat="1" x14ac:dyDescent="0.3">
      <c r="A1110" s="1561"/>
    </row>
    <row r="1111" spans="1:1" s="1559" customFormat="1" x14ac:dyDescent="0.3">
      <c r="A1111" s="1561"/>
    </row>
    <row r="1112" spans="1:1" s="1559" customFormat="1" x14ac:dyDescent="0.3">
      <c r="A1112" s="1561"/>
    </row>
    <row r="1113" spans="1:1" s="1559" customFormat="1" x14ac:dyDescent="0.3">
      <c r="A1113" s="1561"/>
    </row>
    <row r="1114" spans="1:1" s="1559" customFormat="1" x14ac:dyDescent="0.3">
      <c r="A1114" s="1561"/>
    </row>
    <row r="1115" spans="1:1" s="1559" customFormat="1" x14ac:dyDescent="0.3">
      <c r="A1115" s="1561"/>
    </row>
    <row r="1116" spans="1:1" s="1559" customFormat="1" x14ac:dyDescent="0.3">
      <c r="A1116" s="1561"/>
    </row>
    <row r="1117" spans="1:1" s="1559" customFormat="1" x14ac:dyDescent="0.3">
      <c r="A1117" s="1561"/>
    </row>
    <row r="1118" spans="1:1" s="1559" customFormat="1" x14ac:dyDescent="0.3">
      <c r="A1118" s="1561"/>
    </row>
    <row r="1119" spans="1:1" s="1559" customFormat="1" x14ac:dyDescent="0.3">
      <c r="A1119" s="1561"/>
    </row>
    <row r="1120" spans="1:1" s="1559" customFormat="1" x14ac:dyDescent="0.3">
      <c r="A1120" s="1561"/>
    </row>
    <row r="1121" spans="1:1" s="1559" customFormat="1" x14ac:dyDescent="0.3">
      <c r="A1121" s="1561"/>
    </row>
    <row r="1122" spans="1:1" s="1559" customFormat="1" x14ac:dyDescent="0.3">
      <c r="A1122" s="1561"/>
    </row>
    <row r="1123" spans="1:1" s="1559" customFormat="1" x14ac:dyDescent="0.3">
      <c r="A1123" s="1561"/>
    </row>
    <row r="1124" spans="1:1" s="1559" customFormat="1" x14ac:dyDescent="0.3">
      <c r="A1124" s="1561"/>
    </row>
    <row r="1125" spans="1:1" s="1559" customFormat="1" x14ac:dyDescent="0.3">
      <c r="A1125" s="1561"/>
    </row>
    <row r="1126" spans="1:1" s="1559" customFormat="1" x14ac:dyDescent="0.3">
      <c r="A1126" s="1561"/>
    </row>
    <row r="1127" spans="1:1" s="1559" customFormat="1" x14ac:dyDescent="0.3">
      <c r="A1127" s="1561"/>
    </row>
    <row r="1128" spans="1:1" s="1559" customFormat="1" x14ac:dyDescent="0.3">
      <c r="A1128" s="1561"/>
    </row>
    <row r="1129" spans="1:1" s="1559" customFormat="1" x14ac:dyDescent="0.3">
      <c r="A1129" s="1561"/>
    </row>
    <row r="1130" spans="1:1" s="1559" customFormat="1" x14ac:dyDescent="0.3">
      <c r="A1130" s="1561"/>
    </row>
    <row r="1131" spans="1:1" s="1559" customFormat="1" x14ac:dyDescent="0.3">
      <c r="A1131" s="1561"/>
    </row>
    <row r="1132" spans="1:1" s="1559" customFormat="1" x14ac:dyDescent="0.3">
      <c r="A1132" s="1561"/>
    </row>
    <row r="1133" spans="1:1" s="1559" customFormat="1" x14ac:dyDescent="0.3">
      <c r="A1133" s="1561"/>
    </row>
    <row r="1134" spans="1:1" s="1559" customFormat="1" x14ac:dyDescent="0.3">
      <c r="A1134" s="1561"/>
    </row>
    <row r="1135" spans="1:1" s="1559" customFormat="1" x14ac:dyDescent="0.3">
      <c r="A1135" s="1561"/>
    </row>
    <row r="1136" spans="1:1" s="1559" customFormat="1" x14ac:dyDescent="0.3">
      <c r="A1136" s="1561"/>
    </row>
    <row r="1137" spans="1:1" s="1559" customFormat="1" x14ac:dyDescent="0.3">
      <c r="A1137" s="1561"/>
    </row>
    <row r="1138" spans="1:1" s="1559" customFormat="1" x14ac:dyDescent="0.3">
      <c r="A1138" s="1561"/>
    </row>
    <row r="1139" spans="1:1" s="1559" customFormat="1" x14ac:dyDescent="0.3">
      <c r="A1139" s="1561"/>
    </row>
    <row r="1140" spans="1:1" s="1559" customFormat="1" x14ac:dyDescent="0.3">
      <c r="A1140" s="1561"/>
    </row>
    <row r="1141" spans="1:1" s="1559" customFormat="1" x14ac:dyDescent="0.3">
      <c r="A1141" s="1561"/>
    </row>
    <row r="1142" spans="1:1" s="1559" customFormat="1" x14ac:dyDescent="0.3">
      <c r="A1142" s="1561"/>
    </row>
    <row r="1143" spans="1:1" s="1559" customFormat="1" x14ac:dyDescent="0.3">
      <c r="A1143" s="1561"/>
    </row>
    <row r="1144" spans="1:1" s="1559" customFormat="1" x14ac:dyDescent="0.3">
      <c r="A1144" s="1561"/>
    </row>
    <row r="1145" spans="1:1" s="1559" customFormat="1" x14ac:dyDescent="0.3">
      <c r="A1145" s="1561"/>
    </row>
    <row r="1146" spans="1:1" s="1559" customFormat="1" x14ac:dyDescent="0.3">
      <c r="A1146" s="1561"/>
    </row>
    <row r="1147" spans="1:1" s="1559" customFormat="1" x14ac:dyDescent="0.3">
      <c r="A1147" s="1561"/>
    </row>
    <row r="1148" spans="1:1" s="1559" customFormat="1" x14ac:dyDescent="0.3">
      <c r="A1148" s="1561"/>
    </row>
    <row r="1149" spans="1:1" s="1559" customFormat="1" x14ac:dyDescent="0.3">
      <c r="A1149" s="1561"/>
    </row>
    <row r="1150" spans="1:1" s="1559" customFormat="1" x14ac:dyDescent="0.3">
      <c r="A1150" s="1561"/>
    </row>
    <row r="1151" spans="1:1" s="1559" customFormat="1" x14ac:dyDescent="0.3">
      <c r="A1151" s="1561"/>
    </row>
    <row r="1152" spans="1:1" s="1559" customFormat="1" x14ac:dyDescent="0.3">
      <c r="A1152" s="1561"/>
    </row>
    <row r="1153" spans="1:1" s="1559" customFormat="1" x14ac:dyDescent="0.3">
      <c r="A1153" s="1561"/>
    </row>
    <row r="1154" spans="1:1" s="1559" customFormat="1" x14ac:dyDescent="0.3">
      <c r="A1154" s="1561"/>
    </row>
    <row r="1155" spans="1:1" s="1559" customFormat="1" x14ac:dyDescent="0.3">
      <c r="A1155" s="1561"/>
    </row>
    <row r="1156" spans="1:1" s="1559" customFormat="1" x14ac:dyDescent="0.3">
      <c r="A1156" s="1561"/>
    </row>
    <row r="1157" spans="1:1" s="1559" customFormat="1" x14ac:dyDescent="0.3">
      <c r="A1157" s="1561"/>
    </row>
    <row r="1158" spans="1:1" s="1559" customFormat="1" x14ac:dyDescent="0.3">
      <c r="A1158" s="1561"/>
    </row>
    <row r="1159" spans="1:1" s="1559" customFormat="1" x14ac:dyDescent="0.3">
      <c r="A1159" s="1561"/>
    </row>
    <row r="1160" spans="1:1" s="1559" customFormat="1" x14ac:dyDescent="0.3">
      <c r="A1160" s="1561"/>
    </row>
    <row r="1161" spans="1:1" s="1559" customFormat="1" x14ac:dyDescent="0.3">
      <c r="A1161" s="1561"/>
    </row>
    <row r="1162" spans="1:1" s="1559" customFormat="1" x14ac:dyDescent="0.3">
      <c r="A1162" s="1561"/>
    </row>
    <row r="1163" spans="1:1" s="1559" customFormat="1" x14ac:dyDescent="0.3">
      <c r="A1163" s="1561"/>
    </row>
    <row r="1164" spans="1:1" s="1559" customFormat="1" x14ac:dyDescent="0.3">
      <c r="A1164" s="1561"/>
    </row>
    <row r="1165" spans="1:1" s="1559" customFormat="1" x14ac:dyDescent="0.3">
      <c r="A1165" s="1561"/>
    </row>
    <row r="1166" spans="1:1" s="1559" customFormat="1" x14ac:dyDescent="0.3">
      <c r="A1166" s="1561"/>
    </row>
    <row r="1167" spans="1:1" s="1559" customFormat="1" x14ac:dyDescent="0.3">
      <c r="A1167" s="1561"/>
    </row>
    <row r="1168" spans="1:1" s="1559" customFormat="1" x14ac:dyDescent="0.3">
      <c r="A1168" s="1561"/>
    </row>
    <row r="1169" spans="1:1" s="1559" customFormat="1" x14ac:dyDescent="0.3">
      <c r="A1169" s="1561"/>
    </row>
    <row r="1170" spans="1:1" s="1559" customFormat="1" x14ac:dyDescent="0.3">
      <c r="A1170" s="1561"/>
    </row>
    <row r="1171" spans="1:1" s="1559" customFormat="1" x14ac:dyDescent="0.3">
      <c r="A1171" s="1561"/>
    </row>
    <row r="1172" spans="1:1" s="1559" customFormat="1" x14ac:dyDescent="0.3">
      <c r="A1172" s="1561"/>
    </row>
    <row r="1173" spans="1:1" s="1559" customFormat="1" x14ac:dyDescent="0.3">
      <c r="A1173" s="1561"/>
    </row>
    <row r="1174" spans="1:1" s="1559" customFormat="1" x14ac:dyDescent="0.3">
      <c r="A1174" s="1561"/>
    </row>
    <row r="1175" spans="1:1" s="1559" customFormat="1" x14ac:dyDescent="0.3">
      <c r="A1175" s="1561"/>
    </row>
    <row r="1176" spans="1:1" s="1559" customFormat="1" x14ac:dyDescent="0.3">
      <c r="A1176" s="1561"/>
    </row>
    <row r="1177" spans="1:1" s="1559" customFormat="1" x14ac:dyDescent="0.3">
      <c r="A1177" s="1561"/>
    </row>
    <row r="1178" spans="1:1" s="1559" customFormat="1" x14ac:dyDescent="0.3">
      <c r="A1178" s="1561"/>
    </row>
    <row r="1179" spans="1:1" s="1559" customFormat="1" x14ac:dyDescent="0.3">
      <c r="A1179" s="1561"/>
    </row>
    <row r="1180" spans="1:1" s="1559" customFormat="1" x14ac:dyDescent="0.3">
      <c r="A1180" s="1561"/>
    </row>
    <row r="1181" spans="1:1" s="1559" customFormat="1" x14ac:dyDescent="0.3">
      <c r="A1181" s="1561"/>
    </row>
    <row r="1182" spans="1:1" s="1559" customFormat="1" x14ac:dyDescent="0.3">
      <c r="A1182" s="1561"/>
    </row>
    <row r="1183" spans="1:1" s="1559" customFormat="1" x14ac:dyDescent="0.3">
      <c r="A1183" s="1561"/>
    </row>
    <row r="1184" spans="1:1" s="1559" customFormat="1" x14ac:dyDescent="0.3">
      <c r="A1184" s="1561"/>
    </row>
    <row r="1185" spans="1:1" s="1559" customFormat="1" x14ac:dyDescent="0.3">
      <c r="A1185" s="1561"/>
    </row>
    <row r="1186" spans="1:1" s="1559" customFormat="1" x14ac:dyDescent="0.3">
      <c r="A1186" s="1561"/>
    </row>
    <row r="1187" spans="1:1" s="1559" customFormat="1" x14ac:dyDescent="0.3">
      <c r="A1187" s="1561"/>
    </row>
    <row r="1188" spans="1:1" s="1559" customFormat="1" x14ac:dyDescent="0.3">
      <c r="A1188" s="1561"/>
    </row>
    <row r="1189" spans="1:1" s="1559" customFormat="1" x14ac:dyDescent="0.3">
      <c r="A1189" s="1561"/>
    </row>
    <row r="1190" spans="1:1" s="1559" customFormat="1" x14ac:dyDescent="0.3">
      <c r="A1190" s="1561"/>
    </row>
    <row r="1191" spans="1:1" s="1559" customFormat="1" x14ac:dyDescent="0.3">
      <c r="A1191" s="1561"/>
    </row>
    <row r="1192" spans="1:1" s="1559" customFormat="1" x14ac:dyDescent="0.3">
      <c r="A1192" s="1561"/>
    </row>
    <row r="1193" spans="1:1" s="1559" customFormat="1" x14ac:dyDescent="0.3">
      <c r="A1193" s="1561"/>
    </row>
    <row r="1194" spans="1:1" s="1559" customFormat="1" x14ac:dyDescent="0.3">
      <c r="A1194" s="1561"/>
    </row>
    <row r="1195" spans="1:1" s="1559" customFormat="1" x14ac:dyDescent="0.3">
      <c r="A1195" s="1561"/>
    </row>
    <row r="1196" spans="1:1" s="1559" customFormat="1" x14ac:dyDescent="0.3">
      <c r="A1196" s="1561"/>
    </row>
    <row r="1197" spans="1:1" s="1559" customFormat="1" x14ac:dyDescent="0.3">
      <c r="A1197" s="1561"/>
    </row>
    <row r="1198" spans="1:1" s="1559" customFormat="1" x14ac:dyDescent="0.3">
      <c r="A1198" s="1561"/>
    </row>
    <row r="1199" spans="1:1" s="1559" customFormat="1" x14ac:dyDescent="0.3">
      <c r="A1199" s="1561"/>
    </row>
    <row r="1200" spans="1:1" s="1559" customFormat="1" x14ac:dyDescent="0.3">
      <c r="A1200" s="1561"/>
    </row>
    <row r="1201" spans="1:1" s="1559" customFormat="1" x14ac:dyDescent="0.3">
      <c r="A1201" s="1561"/>
    </row>
    <row r="1202" spans="1:1" s="1559" customFormat="1" x14ac:dyDescent="0.3">
      <c r="A1202" s="1561"/>
    </row>
    <row r="1203" spans="1:1" s="1559" customFormat="1" x14ac:dyDescent="0.3">
      <c r="A1203" s="1561"/>
    </row>
    <row r="1204" spans="1:1" s="1559" customFormat="1" x14ac:dyDescent="0.3">
      <c r="A1204" s="1561"/>
    </row>
    <row r="1205" spans="1:1" s="1559" customFormat="1" x14ac:dyDescent="0.3">
      <c r="A1205" s="1561"/>
    </row>
    <row r="1206" spans="1:1" s="1559" customFormat="1" x14ac:dyDescent="0.3">
      <c r="A1206" s="1561"/>
    </row>
    <row r="1207" spans="1:1" s="1559" customFormat="1" x14ac:dyDescent="0.3">
      <c r="A1207" s="1561"/>
    </row>
    <row r="1208" spans="1:1" s="1559" customFormat="1" x14ac:dyDescent="0.3">
      <c r="A1208" s="1561"/>
    </row>
    <row r="1209" spans="1:1" s="1559" customFormat="1" x14ac:dyDescent="0.3">
      <c r="A1209" s="1561"/>
    </row>
    <row r="1210" spans="1:1" s="1559" customFormat="1" x14ac:dyDescent="0.3">
      <c r="A1210" s="1561"/>
    </row>
    <row r="1211" spans="1:1" s="1559" customFormat="1" x14ac:dyDescent="0.3">
      <c r="A1211" s="1561"/>
    </row>
    <row r="1212" spans="1:1" s="1559" customFormat="1" x14ac:dyDescent="0.3">
      <c r="A1212" s="1561"/>
    </row>
    <row r="1213" spans="1:1" s="1559" customFormat="1" x14ac:dyDescent="0.3">
      <c r="A1213" s="1561"/>
    </row>
    <row r="1214" spans="1:1" s="1559" customFormat="1" x14ac:dyDescent="0.3">
      <c r="A1214" s="1561"/>
    </row>
    <row r="1215" spans="1:1" s="1559" customFormat="1" x14ac:dyDescent="0.3">
      <c r="A1215" s="1561"/>
    </row>
    <row r="1216" spans="1:1" s="1559" customFormat="1" x14ac:dyDescent="0.3">
      <c r="A1216" s="1561"/>
    </row>
    <row r="1217" spans="1:1" s="1559" customFormat="1" x14ac:dyDescent="0.3">
      <c r="A1217" s="1561"/>
    </row>
    <row r="1218" spans="1:1" s="1559" customFormat="1" x14ac:dyDescent="0.3">
      <c r="A1218" s="1561"/>
    </row>
    <row r="1219" spans="1:1" s="1559" customFormat="1" x14ac:dyDescent="0.3">
      <c r="A1219" s="1561"/>
    </row>
    <row r="1220" spans="1:1" s="1559" customFormat="1" x14ac:dyDescent="0.3">
      <c r="A1220" s="1561"/>
    </row>
    <row r="1221" spans="1:1" s="1559" customFormat="1" x14ac:dyDescent="0.3">
      <c r="A1221" s="1561"/>
    </row>
    <row r="1222" spans="1:1" s="1559" customFormat="1" x14ac:dyDescent="0.3">
      <c r="A1222" s="1561"/>
    </row>
    <row r="1223" spans="1:1" s="1559" customFormat="1" x14ac:dyDescent="0.3">
      <c r="A1223" s="1561"/>
    </row>
    <row r="1224" spans="1:1" s="1559" customFormat="1" x14ac:dyDescent="0.3">
      <c r="A1224" s="1561"/>
    </row>
    <row r="1225" spans="1:1" s="1559" customFormat="1" x14ac:dyDescent="0.3">
      <c r="A1225" s="1561"/>
    </row>
    <row r="1226" spans="1:1" s="1559" customFormat="1" x14ac:dyDescent="0.3">
      <c r="A1226" s="1561"/>
    </row>
    <row r="1227" spans="1:1" s="1559" customFormat="1" x14ac:dyDescent="0.3">
      <c r="A1227" s="1561"/>
    </row>
    <row r="1228" spans="1:1" s="1559" customFormat="1" x14ac:dyDescent="0.3">
      <c r="A1228" s="1561"/>
    </row>
    <row r="1229" spans="1:1" s="1559" customFormat="1" x14ac:dyDescent="0.3">
      <c r="A1229" s="1561"/>
    </row>
    <row r="1230" spans="1:1" s="1559" customFormat="1" x14ac:dyDescent="0.3">
      <c r="A1230" s="1561"/>
    </row>
    <row r="1231" spans="1:1" s="1559" customFormat="1" x14ac:dyDescent="0.3">
      <c r="A1231" s="1561"/>
    </row>
    <row r="1232" spans="1:1" s="1559" customFormat="1" x14ac:dyDescent="0.3">
      <c r="A1232" s="1561"/>
    </row>
    <row r="1233" spans="1:1" s="1559" customFormat="1" x14ac:dyDescent="0.3">
      <c r="A1233" s="1561"/>
    </row>
    <row r="1234" spans="1:1" s="1559" customFormat="1" x14ac:dyDescent="0.3">
      <c r="A1234" s="1561"/>
    </row>
    <row r="1235" spans="1:1" s="1559" customFormat="1" x14ac:dyDescent="0.3">
      <c r="A1235" s="1561"/>
    </row>
    <row r="1236" spans="1:1" s="1559" customFormat="1" x14ac:dyDescent="0.3">
      <c r="A1236" s="1561"/>
    </row>
    <row r="1237" spans="1:1" s="1559" customFormat="1" x14ac:dyDescent="0.3">
      <c r="A1237" s="1561"/>
    </row>
    <row r="1238" spans="1:1" s="1559" customFormat="1" x14ac:dyDescent="0.3">
      <c r="A1238" s="1561"/>
    </row>
    <row r="1239" spans="1:1" s="1559" customFormat="1" x14ac:dyDescent="0.3">
      <c r="A1239" s="1561"/>
    </row>
    <row r="1240" spans="1:1" s="1559" customFormat="1" x14ac:dyDescent="0.3">
      <c r="A1240" s="1561"/>
    </row>
    <row r="1241" spans="1:1" s="1559" customFormat="1" x14ac:dyDescent="0.3">
      <c r="A1241" s="1561"/>
    </row>
    <row r="1242" spans="1:1" s="1559" customFormat="1" x14ac:dyDescent="0.3">
      <c r="A1242" s="1561"/>
    </row>
    <row r="1243" spans="1:1" s="1559" customFormat="1" x14ac:dyDescent="0.3">
      <c r="A1243" s="1561"/>
    </row>
    <row r="1244" spans="1:1" s="1559" customFormat="1" x14ac:dyDescent="0.3">
      <c r="A1244" s="1561"/>
    </row>
    <row r="1245" spans="1:1" s="1559" customFormat="1" x14ac:dyDescent="0.3">
      <c r="A1245" s="1561"/>
    </row>
    <row r="1246" spans="1:1" s="1559" customFormat="1" x14ac:dyDescent="0.3">
      <c r="A1246" s="1561"/>
    </row>
    <row r="1247" spans="1:1" s="1559" customFormat="1" x14ac:dyDescent="0.3">
      <c r="A1247" s="1561"/>
    </row>
    <row r="1248" spans="1:1" s="1559" customFormat="1" x14ac:dyDescent="0.3">
      <c r="A1248" s="1561"/>
    </row>
    <row r="1249" spans="1:1" s="1559" customFormat="1" x14ac:dyDescent="0.3">
      <c r="A1249" s="1561"/>
    </row>
    <row r="1250" spans="1:1" s="1559" customFormat="1" x14ac:dyDescent="0.3">
      <c r="A1250" s="1561"/>
    </row>
    <row r="1251" spans="1:1" s="1559" customFormat="1" x14ac:dyDescent="0.3">
      <c r="A1251" s="1561"/>
    </row>
    <row r="1252" spans="1:1" s="1559" customFormat="1" x14ac:dyDescent="0.3">
      <c r="A1252" s="1561"/>
    </row>
    <row r="1253" spans="1:1" s="1559" customFormat="1" x14ac:dyDescent="0.3">
      <c r="A1253" s="1561"/>
    </row>
    <row r="1254" spans="1:1" s="1559" customFormat="1" x14ac:dyDescent="0.3">
      <c r="A1254" s="1561"/>
    </row>
    <row r="1255" spans="1:1" s="1559" customFormat="1" x14ac:dyDescent="0.3">
      <c r="A1255" s="1561"/>
    </row>
    <row r="1256" spans="1:1" s="1559" customFormat="1" x14ac:dyDescent="0.3">
      <c r="A1256" s="1561"/>
    </row>
    <row r="1257" spans="1:1" s="1559" customFormat="1" x14ac:dyDescent="0.3">
      <c r="A1257" s="1561"/>
    </row>
    <row r="1258" spans="1:1" s="1559" customFormat="1" x14ac:dyDescent="0.3">
      <c r="A1258" s="1561"/>
    </row>
    <row r="1259" spans="1:1" s="1559" customFormat="1" x14ac:dyDescent="0.3">
      <c r="A1259" s="1561"/>
    </row>
    <row r="1260" spans="1:1" s="1559" customFormat="1" x14ac:dyDescent="0.3">
      <c r="A1260" s="1561"/>
    </row>
    <row r="1261" spans="1:1" s="1559" customFormat="1" x14ac:dyDescent="0.3">
      <c r="A1261" s="1561"/>
    </row>
    <row r="1262" spans="1:1" s="1559" customFormat="1" x14ac:dyDescent="0.3">
      <c r="A1262" s="1561"/>
    </row>
    <row r="1263" spans="1:1" s="1559" customFormat="1" x14ac:dyDescent="0.3">
      <c r="A1263" s="1561"/>
    </row>
    <row r="1264" spans="1:1" s="1559" customFormat="1" x14ac:dyDescent="0.3">
      <c r="A1264" s="1561"/>
    </row>
    <row r="1265" spans="1:1" s="1559" customFormat="1" x14ac:dyDescent="0.3">
      <c r="A1265" s="1561"/>
    </row>
    <row r="1266" spans="1:1" s="1559" customFormat="1" x14ac:dyDescent="0.3">
      <c r="A1266" s="1561"/>
    </row>
    <row r="1267" spans="1:1" s="1559" customFormat="1" x14ac:dyDescent="0.3">
      <c r="A1267" s="1561"/>
    </row>
    <row r="1268" spans="1:1" s="1559" customFormat="1" x14ac:dyDescent="0.3">
      <c r="A1268" s="1561"/>
    </row>
    <row r="1269" spans="1:1" s="1559" customFormat="1" x14ac:dyDescent="0.3">
      <c r="A1269" s="1561"/>
    </row>
    <row r="1270" spans="1:1" s="1559" customFormat="1" x14ac:dyDescent="0.3">
      <c r="A1270" s="1561"/>
    </row>
    <row r="1271" spans="1:1" s="1559" customFormat="1" x14ac:dyDescent="0.3">
      <c r="A1271" s="1561"/>
    </row>
    <row r="1272" spans="1:1" s="1559" customFormat="1" x14ac:dyDescent="0.3">
      <c r="A1272" s="1561"/>
    </row>
    <row r="1273" spans="1:1" s="1559" customFormat="1" x14ac:dyDescent="0.3">
      <c r="A1273" s="1561"/>
    </row>
    <row r="1274" spans="1:1" s="1559" customFormat="1" x14ac:dyDescent="0.3">
      <c r="A1274" s="1561"/>
    </row>
    <row r="1275" spans="1:1" s="1559" customFormat="1" x14ac:dyDescent="0.3">
      <c r="A1275" s="1561"/>
    </row>
    <row r="1276" spans="1:1" s="1559" customFormat="1" x14ac:dyDescent="0.3">
      <c r="A1276" s="1561"/>
    </row>
    <row r="1277" spans="1:1" s="1559" customFormat="1" x14ac:dyDescent="0.3">
      <c r="A1277" s="1561"/>
    </row>
    <row r="1278" spans="1:1" s="1559" customFormat="1" x14ac:dyDescent="0.3">
      <c r="A1278" s="1561"/>
    </row>
    <row r="1279" spans="1:1" s="1559" customFormat="1" x14ac:dyDescent="0.3">
      <c r="A1279" s="1561"/>
    </row>
    <row r="1280" spans="1:1" s="1559" customFormat="1" x14ac:dyDescent="0.3">
      <c r="A1280" s="1561"/>
    </row>
    <row r="1281" spans="1:1" s="1559" customFormat="1" x14ac:dyDescent="0.3">
      <c r="A1281" s="1561"/>
    </row>
    <row r="1282" spans="1:1" s="1559" customFormat="1" x14ac:dyDescent="0.3">
      <c r="A1282" s="1561"/>
    </row>
    <row r="1283" spans="1:1" s="1559" customFormat="1" x14ac:dyDescent="0.3">
      <c r="A1283" s="1561"/>
    </row>
    <row r="1284" spans="1:1" s="1559" customFormat="1" x14ac:dyDescent="0.3">
      <c r="A1284" s="1561"/>
    </row>
    <row r="1285" spans="1:1" s="1559" customFormat="1" x14ac:dyDescent="0.3">
      <c r="A1285" s="1561"/>
    </row>
    <row r="1286" spans="1:1" s="1559" customFormat="1" x14ac:dyDescent="0.3">
      <c r="A1286" s="1561"/>
    </row>
    <row r="1287" spans="1:1" s="1559" customFormat="1" x14ac:dyDescent="0.3">
      <c r="A1287" s="1561"/>
    </row>
    <row r="1288" spans="1:1" s="1559" customFormat="1" x14ac:dyDescent="0.3">
      <c r="A1288" s="1561"/>
    </row>
    <row r="1289" spans="1:1" s="1559" customFormat="1" x14ac:dyDescent="0.3">
      <c r="A1289" s="1561"/>
    </row>
    <row r="1290" spans="1:1" s="1559" customFormat="1" x14ac:dyDescent="0.3">
      <c r="A1290" s="1561"/>
    </row>
    <row r="1291" spans="1:1" s="1559" customFormat="1" x14ac:dyDescent="0.3">
      <c r="A1291" s="1561"/>
    </row>
    <row r="1292" spans="1:1" s="1559" customFormat="1" x14ac:dyDescent="0.3">
      <c r="A1292" s="1561"/>
    </row>
    <row r="1293" spans="1:1" s="1559" customFormat="1" x14ac:dyDescent="0.3">
      <c r="A1293" s="1561"/>
    </row>
    <row r="1294" spans="1:1" s="1559" customFormat="1" x14ac:dyDescent="0.3">
      <c r="A1294" s="1561"/>
    </row>
    <row r="1295" spans="1:1" s="1559" customFormat="1" x14ac:dyDescent="0.3">
      <c r="A1295" s="1561"/>
    </row>
    <row r="1296" spans="1:1" s="1559" customFormat="1" x14ac:dyDescent="0.3">
      <c r="A1296" s="1561"/>
    </row>
    <row r="1297" spans="1:1" s="1559" customFormat="1" x14ac:dyDescent="0.3">
      <c r="A1297" s="1561"/>
    </row>
    <row r="1298" spans="1:1" s="1559" customFormat="1" x14ac:dyDescent="0.3">
      <c r="A1298" s="1561"/>
    </row>
    <row r="1299" spans="1:1" s="1559" customFormat="1" x14ac:dyDescent="0.3">
      <c r="A1299" s="1561"/>
    </row>
    <row r="1300" spans="1:1" s="1559" customFormat="1" x14ac:dyDescent="0.3">
      <c r="A1300" s="1561"/>
    </row>
    <row r="1301" spans="1:1" s="1559" customFormat="1" x14ac:dyDescent="0.3">
      <c r="A1301" s="1561"/>
    </row>
    <row r="1302" spans="1:1" s="1559" customFormat="1" x14ac:dyDescent="0.3">
      <c r="A1302" s="1561"/>
    </row>
    <row r="1303" spans="1:1" s="1559" customFormat="1" x14ac:dyDescent="0.3">
      <c r="A1303" s="1561"/>
    </row>
    <row r="1304" spans="1:1" s="1559" customFormat="1" x14ac:dyDescent="0.3">
      <c r="A1304" s="1561"/>
    </row>
    <row r="1305" spans="1:1" s="1559" customFormat="1" x14ac:dyDescent="0.3">
      <c r="A1305" s="1561"/>
    </row>
    <row r="1306" spans="1:1" s="1559" customFormat="1" x14ac:dyDescent="0.3">
      <c r="A1306" s="1561"/>
    </row>
    <row r="1307" spans="1:1" s="1559" customFormat="1" x14ac:dyDescent="0.3">
      <c r="A1307" s="1561"/>
    </row>
    <row r="1308" spans="1:1" s="1559" customFormat="1" x14ac:dyDescent="0.3">
      <c r="A1308" s="1561"/>
    </row>
    <row r="1309" spans="1:1" s="1559" customFormat="1" x14ac:dyDescent="0.3">
      <c r="A1309" s="1561"/>
    </row>
    <row r="1310" spans="1:1" s="1559" customFormat="1" x14ac:dyDescent="0.3">
      <c r="A1310" s="1561"/>
    </row>
    <row r="1311" spans="1:1" s="1559" customFormat="1" x14ac:dyDescent="0.3">
      <c r="A1311" s="1561"/>
    </row>
    <row r="1312" spans="1:1" s="1559" customFormat="1" x14ac:dyDescent="0.3">
      <c r="A1312" s="1561"/>
    </row>
    <row r="1313" spans="1:1" s="1559" customFormat="1" x14ac:dyDescent="0.3">
      <c r="A1313" s="1561"/>
    </row>
    <row r="1314" spans="1:1" s="1559" customFormat="1" x14ac:dyDescent="0.3">
      <c r="A1314" s="1561"/>
    </row>
    <row r="1315" spans="1:1" s="1559" customFormat="1" x14ac:dyDescent="0.3">
      <c r="A1315" s="1561"/>
    </row>
    <row r="1316" spans="1:1" s="1559" customFormat="1" x14ac:dyDescent="0.3">
      <c r="A1316" s="1561"/>
    </row>
    <row r="1317" spans="1:1" s="1559" customFormat="1" x14ac:dyDescent="0.3">
      <c r="A1317" s="1561"/>
    </row>
    <row r="1318" spans="1:1" s="1559" customFormat="1" x14ac:dyDescent="0.3">
      <c r="A1318" s="1561"/>
    </row>
    <row r="1319" spans="1:1" s="1559" customFormat="1" x14ac:dyDescent="0.3">
      <c r="A1319" s="1561"/>
    </row>
    <row r="1320" spans="1:1" s="1559" customFormat="1" x14ac:dyDescent="0.3">
      <c r="A1320" s="1561"/>
    </row>
    <row r="1321" spans="1:1" s="1559" customFormat="1" x14ac:dyDescent="0.3">
      <c r="A1321" s="1561"/>
    </row>
    <row r="1322" spans="1:1" s="1559" customFormat="1" x14ac:dyDescent="0.3">
      <c r="A1322" s="1561"/>
    </row>
    <row r="1323" spans="1:1" s="1559" customFormat="1" x14ac:dyDescent="0.3">
      <c r="A1323" s="1561"/>
    </row>
    <row r="1324" spans="1:1" s="1559" customFormat="1" x14ac:dyDescent="0.3">
      <c r="A1324" s="1561"/>
    </row>
    <row r="1325" spans="1:1" s="1559" customFormat="1" x14ac:dyDescent="0.3">
      <c r="A1325" s="1561"/>
    </row>
    <row r="1326" spans="1:1" s="1559" customFormat="1" x14ac:dyDescent="0.3">
      <c r="A1326" s="1561"/>
    </row>
    <row r="1327" spans="1:1" s="1559" customFormat="1" x14ac:dyDescent="0.3">
      <c r="A1327" s="1561"/>
    </row>
    <row r="1328" spans="1:1" s="1559" customFormat="1" x14ac:dyDescent="0.3">
      <c r="A1328" s="1561"/>
    </row>
    <row r="1329" spans="1:1" s="1559" customFormat="1" x14ac:dyDescent="0.3">
      <c r="A1329" s="1561"/>
    </row>
    <row r="1330" spans="1:1" s="1559" customFormat="1" x14ac:dyDescent="0.3">
      <c r="A1330" s="1561"/>
    </row>
    <row r="1331" spans="1:1" s="1559" customFormat="1" x14ac:dyDescent="0.3">
      <c r="A1331" s="1561"/>
    </row>
    <row r="1332" spans="1:1" s="1559" customFormat="1" x14ac:dyDescent="0.3">
      <c r="A1332" s="1561"/>
    </row>
    <row r="1333" spans="1:1" s="1559" customFormat="1" x14ac:dyDescent="0.3">
      <c r="A1333" s="1561"/>
    </row>
    <row r="1334" spans="1:1" s="1559" customFormat="1" x14ac:dyDescent="0.3">
      <c r="A1334" s="1561"/>
    </row>
    <row r="1335" spans="1:1" s="1559" customFormat="1" x14ac:dyDescent="0.3">
      <c r="A1335" s="1561"/>
    </row>
    <row r="1336" spans="1:1" s="1559" customFormat="1" x14ac:dyDescent="0.3">
      <c r="A1336" s="1561"/>
    </row>
    <row r="1337" spans="1:1" s="1559" customFormat="1" x14ac:dyDescent="0.3">
      <c r="A1337" s="1561"/>
    </row>
    <row r="1338" spans="1:1" s="1559" customFormat="1" x14ac:dyDescent="0.3">
      <c r="A1338" s="1561"/>
    </row>
    <row r="1339" spans="1:1" s="1559" customFormat="1" x14ac:dyDescent="0.3">
      <c r="A1339" s="1561"/>
    </row>
    <row r="1340" spans="1:1" s="1559" customFormat="1" x14ac:dyDescent="0.3">
      <c r="A1340" s="1561"/>
    </row>
    <row r="1341" spans="1:1" s="1559" customFormat="1" x14ac:dyDescent="0.3">
      <c r="A1341" s="1561"/>
    </row>
    <row r="1342" spans="1:1" s="1559" customFormat="1" x14ac:dyDescent="0.3">
      <c r="A1342" s="1561"/>
    </row>
    <row r="1343" spans="1:1" s="1559" customFormat="1" x14ac:dyDescent="0.3">
      <c r="A1343" s="1561"/>
    </row>
    <row r="1344" spans="1:1" s="1559" customFormat="1" x14ac:dyDescent="0.3">
      <c r="A1344" s="1561"/>
    </row>
    <row r="1345" spans="1:1" s="1559" customFormat="1" x14ac:dyDescent="0.3">
      <c r="A1345" s="1561"/>
    </row>
    <row r="1346" spans="1:1" s="1559" customFormat="1" x14ac:dyDescent="0.3">
      <c r="A1346" s="1561"/>
    </row>
    <row r="1347" spans="1:1" s="1559" customFormat="1" x14ac:dyDescent="0.3">
      <c r="A1347" s="1561"/>
    </row>
    <row r="1348" spans="1:1" s="1559" customFormat="1" x14ac:dyDescent="0.3">
      <c r="A1348" s="1561"/>
    </row>
    <row r="1349" spans="1:1" s="1559" customFormat="1" x14ac:dyDescent="0.3">
      <c r="A1349" s="1561"/>
    </row>
    <row r="1350" spans="1:1" s="1559" customFormat="1" x14ac:dyDescent="0.3">
      <c r="A1350" s="1561"/>
    </row>
    <row r="1351" spans="1:1" s="1559" customFormat="1" x14ac:dyDescent="0.3">
      <c r="A1351" s="1561"/>
    </row>
    <row r="1352" spans="1:1" s="1559" customFormat="1" x14ac:dyDescent="0.3">
      <c r="A1352" s="1561"/>
    </row>
    <row r="1353" spans="1:1" s="1559" customFormat="1" x14ac:dyDescent="0.3">
      <c r="A1353" s="1561"/>
    </row>
    <row r="1354" spans="1:1" s="1559" customFormat="1" x14ac:dyDescent="0.3">
      <c r="A1354" s="1561"/>
    </row>
    <row r="1355" spans="1:1" s="1559" customFormat="1" x14ac:dyDescent="0.3">
      <c r="A1355" s="1561"/>
    </row>
    <row r="1356" spans="1:1" s="1559" customFormat="1" x14ac:dyDescent="0.3">
      <c r="A1356" s="1561"/>
    </row>
    <row r="1357" spans="1:1" s="1559" customFormat="1" x14ac:dyDescent="0.3">
      <c r="A1357" s="1561"/>
    </row>
    <row r="1358" spans="1:1" s="1559" customFormat="1" x14ac:dyDescent="0.3">
      <c r="A1358" s="1561"/>
    </row>
    <row r="1359" spans="1:1" s="1559" customFormat="1" x14ac:dyDescent="0.3">
      <c r="A1359" s="1561"/>
    </row>
    <row r="1360" spans="1:1" s="1559" customFormat="1" x14ac:dyDescent="0.3">
      <c r="A1360" s="1561"/>
    </row>
    <row r="1361" spans="1:1" s="1559" customFormat="1" x14ac:dyDescent="0.3">
      <c r="A1361" s="1561"/>
    </row>
    <row r="1362" spans="1:1" s="1559" customFormat="1" x14ac:dyDescent="0.3">
      <c r="A1362" s="1561"/>
    </row>
    <row r="1363" spans="1:1" s="1559" customFormat="1" x14ac:dyDescent="0.3">
      <c r="A1363" s="1561"/>
    </row>
    <row r="1364" spans="1:1" s="1559" customFormat="1" x14ac:dyDescent="0.3">
      <c r="A1364" s="1561"/>
    </row>
    <row r="1365" spans="1:1" s="1559" customFormat="1" x14ac:dyDescent="0.3">
      <c r="A1365" s="1561"/>
    </row>
    <row r="1366" spans="1:1" s="1559" customFormat="1" x14ac:dyDescent="0.3">
      <c r="A1366" s="1561"/>
    </row>
    <row r="1367" spans="1:1" s="1559" customFormat="1" x14ac:dyDescent="0.3">
      <c r="A1367" s="1561"/>
    </row>
    <row r="1368" spans="1:1" s="1559" customFormat="1" x14ac:dyDescent="0.3">
      <c r="A1368" s="1561"/>
    </row>
    <row r="1369" spans="1:1" s="1559" customFormat="1" x14ac:dyDescent="0.3">
      <c r="A1369" s="1561"/>
    </row>
    <row r="1370" spans="1:1" s="1559" customFormat="1" x14ac:dyDescent="0.3">
      <c r="A1370" s="1561"/>
    </row>
    <row r="1371" spans="1:1" s="1559" customFormat="1" x14ac:dyDescent="0.3">
      <c r="A1371" s="1561"/>
    </row>
    <row r="1372" spans="1:1" s="1559" customFormat="1" x14ac:dyDescent="0.3">
      <c r="A1372" s="1561"/>
    </row>
    <row r="1373" spans="1:1" s="1559" customFormat="1" x14ac:dyDescent="0.3">
      <c r="A1373" s="1561"/>
    </row>
    <row r="1374" spans="1:1" s="1559" customFormat="1" x14ac:dyDescent="0.3">
      <c r="A1374" s="1561"/>
    </row>
    <row r="1375" spans="1:1" s="1559" customFormat="1" x14ac:dyDescent="0.3">
      <c r="A1375" s="1561"/>
    </row>
    <row r="1376" spans="1:1" s="1559" customFormat="1" x14ac:dyDescent="0.3">
      <c r="A1376" s="1561"/>
    </row>
    <row r="1377" spans="1:1" s="1559" customFormat="1" x14ac:dyDescent="0.3">
      <c r="A1377" s="1561"/>
    </row>
    <row r="1378" spans="1:1" s="1559" customFormat="1" x14ac:dyDescent="0.3">
      <c r="A1378" s="1561"/>
    </row>
    <row r="1379" spans="1:1" s="1559" customFormat="1" x14ac:dyDescent="0.3">
      <c r="A1379" s="1561"/>
    </row>
    <row r="1380" spans="1:1" s="1559" customFormat="1" x14ac:dyDescent="0.3">
      <c r="A1380" s="1561"/>
    </row>
    <row r="1381" spans="1:1" s="1559" customFormat="1" x14ac:dyDescent="0.3">
      <c r="A1381" s="1561"/>
    </row>
    <row r="1382" spans="1:1" s="1559" customFormat="1" x14ac:dyDescent="0.3">
      <c r="A1382" s="1561"/>
    </row>
    <row r="1383" spans="1:1" s="1559" customFormat="1" x14ac:dyDescent="0.3">
      <c r="A1383" s="1561"/>
    </row>
    <row r="1384" spans="1:1" s="1559" customFormat="1" x14ac:dyDescent="0.3">
      <c r="A1384" s="1561"/>
    </row>
    <row r="1385" spans="1:1" s="1559" customFormat="1" x14ac:dyDescent="0.3">
      <c r="A1385" s="1561"/>
    </row>
    <row r="1386" spans="1:1" s="1559" customFormat="1" x14ac:dyDescent="0.3">
      <c r="A1386" s="1561"/>
    </row>
    <row r="1387" spans="1:1" s="1559" customFormat="1" x14ac:dyDescent="0.3">
      <c r="A1387" s="1561"/>
    </row>
    <row r="1388" spans="1:1" s="1559" customFormat="1" x14ac:dyDescent="0.3">
      <c r="A1388" s="1561"/>
    </row>
    <row r="1389" spans="1:1" s="1559" customFormat="1" x14ac:dyDescent="0.3">
      <c r="A1389" s="1561"/>
    </row>
    <row r="1390" spans="1:1" s="1559" customFormat="1" x14ac:dyDescent="0.3">
      <c r="A1390" s="1561"/>
    </row>
    <row r="1391" spans="1:1" s="1559" customFormat="1" x14ac:dyDescent="0.3">
      <c r="A1391" s="1561"/>
    </row>
    <row r="1392" spans="1:1" s="1559" customFormat="1" x14ac:dyDescent="0.3">
      <c r="A1392" s="1561"/>
    </row>
    <row r="1393" spans="1:1" s="1559" customFormat="1" x14ac:dyDescent="0.3">
      <c r="A1393" s="1561"/>
    </row>
    <row r="1394" spans="1:1" s="1559" customFormat="1" x14ac:dyDescent="0.3">
      <c r="A1394" s="1561"/>
    </row>
    <row r="1395" spans="1:1" s="1559" customFormat="1" x14ac:dyDescent="0.3">
      <c r="A1395" s="1561"/>
    </row>
    <row r="1396" spans="1:1" s="1559" customFormat="1" x14ac:dyDescent="0.3">
      <c r="A1396" s="1561"/>
    </row>
    <row r="1397" spans="1:1" s="1559" customFormat="1" x14ac:dyDescent="0.3">
      <c r="A1397" s="1561"/>
    </row>
    <row r="1398" spans="1:1" s="1559" customFormat="1" x14ac:dyDescent="0.3">
      <c r="A1398" s="1561"/>
    </row>
    <row r="1399" spans="1:1" s="1559" customFormat="1" x14ac:dyDescent="0.3">
      <c r="A1399" s="1561"/>
    </row>
    <row r="1400" spans="1:1" s="1559" customFormat="1" x14ac:dyDescent="0.3">
      <c r="A1400" s="1561"/>
    </row>
    <row r="1401" spans="1:1" s="1559" customFormat="1" x14ac:dyDescent="0.3">
      <c r="A1401" s="1561"/>
    </row>
    <row r="1402" spans="1:1" s="1559" customFormat="1" x14ac:dyDescent="0.3">
      <c r="A1402" s="1561"/>
    </row>
    <row r="1403" spans="1:1" s="1559" customFormat="1" x14ac:dyDescent="0.3">
      <c r="A1403" s="1561"/>
    </row>
    <row r="1404" spans="1:1" s="1559" customFormat="1" x14ac:dyDescent="0.3">
      <c r="A1404" s="1561"/>
    </row>
    <row r="1405" spans="1:1" s="1559" customFormat="1" x14ac:dyDescent="0.3">
      <c r="A1405" s="1561"/>
    </row>
    <row r="1406" spans="1:1" s="1559" customFormat="1" x14ac:dyDescent="0.3">
      <c r="A1406" s="1561"/>
    </row>
    <row r="1407" spans="1:1" s="1559" customFormat="1" x14ac:dyDescent="0.3">
      <c r="A1407" s="1561"/>
    </row>
    <row r="1408" spans="1:1" s="1559" customFormat="1" x14ac:dyDescent="0.3">
      <c r="A1408" s="1561"/>
    </row>
    <row r="1409" spans="1:1" s="1559" customFormat="1" x14ac:dyDescent="0.3">
      <c r="A1409" s="1561"/>
    </row>
    <row r="1410" spans="1:1" s="1559" customFormat="1" x14ac:dyDescent="0.3">
      <c r="A1410" s="1561"/>
    </row>
    <row r="1411" spans="1:1" s="1559" customFormat="1" x14ac:dyDescent="0.3">
      <c r="A1411" s="1561"/>
    </row>
    <row r="1412" spans="1:1" s="1559" customFormat="1" x14ac:dyDescent="0.3">
      <c r="A1412" s="1561"/>
    </row>
    <row r="1413" spans="1:1" s="1559" customFormat="1" x14ac:dyDescent="0.3">
      <c r="A1413" s="1561"/>
    </row>
    <row r="1414" spans="1:1" s="1559" customFormat="1" x14ac:dyDescent="0.3">
      <c r="A1414" s="1561"/>
    </row>
    <row r="1415" spans="1:1" s="1559" customFormat="1" x14ac:dyDescent="0.3">
      <c r="A1415" s="1561"/>
    </row>
    <row r="1416" spans="1:1" s="1559" customFormat="1" x14ac:dyDescent="0.3">
      <c r="A1416" s="1561"/>
    </row>
    <row r="1417" spans="1:1" s="1559" customFormat="1" x14ac:dyDescent="0.3">
      <c r="A1417" s="1561"/>
    </row>
    <row r="1418" spans="1:1" s="1559" customFormat="1" x14ac:dyDescent="0.3">
      <c r="A1418" s="1561"/>
    </row>
    <row r="1419" spans="1:1" s="1559" customFormat="1" x14ac:dyDescent="0.3">
      <c r="A1419" s="1561"/>
    </row>
    <row r="1420" spans="1:1" s="1559" customFormat="1" x14ac:dyDescent="0.3">
      <c r="A1420" s="1561"/>
    </row>
    <row r="1421" spans="1:1" s="1559" customFormat="1" x14ac:dyDescent="0.3">
      <c r="A1421" s="1561"/>
    </row>
    <row r="1422" spans="1:1" s="1559" customFormat="1" x14ac:dyDescent="0.3">
      <c r="A1422" s="1561"/>
    </row>
    <row r="1423" spans="1:1" s="1559" customFormat="1" x14ac:dyDescent="0.3">
      <c r="A1423" s="1561"/>
    </row>
    <row r="1424" spans="1:1" s="1559" customFormat="1" x14ac:dyDescent="0.3">
      <c r="A1424" s="1561"/>
    </row>
    <row r="1425" spans="1:1" s="1559" customFormat="1" x14ac:dyDescent="0.3">
      <c r="A1425" s="1561"/>
    </row>
    <row r="1426" spans="1:1" s="1559" customFormat="1" x14ac:dyDescent="0.3">
      <c r="A1426" s="1561"/>
    </row>
    <row r="1427" spans="1:1" s="1559" customFormat="1" x14ac:dyDescent="0.3">
      <c r="A1427" s="1561"/>
    </row>
    <row r="1428" spans="1:1" s="1559" customFormat="1" x14ac:dyDescent="0.3">
      <c r="A1428" s="1561"/>
    </row>
    <row r="1429" spans="1:1" s="1559" customFormat="1" x14ac:dyDescent="0.3">
      <c r="A1429" s="1561"/>
    </row>
    <row r="1430" spans="1:1" s="1559" customFormat="1" x14ac:dyDescent="0.3">
      <c r="A1430" s="1561"/>
    </row>
    <row r="1431" spans="1:1" s="1559" customFormat="1" x14ac:dyDescent="0.3">
      <c r="A1431" s="1561"/>
    </row>
    <row r="1432" spans="1:1" s="1559" customFormat="1" x14ac:dyDescent="0.3">
      <c r="A1432" s="1561"/>
    </row>
    <row r="1433" spans="1:1" s="1559" customFormat="1" x14ac:dyDescent="0.3">
      <c r="A1433" s="1561"/>
    </row>
    <row r="1434" spans="1:1" s="1559" customFormat="1" x14ac:dyDescent="0.3">
      <c r="A1434" s="1561"/>
    </row>
    <row r="1435" spans="1:1" s="1559" customFormat="1" x14ac:dyDescent="0.3">
      <c r="A1435" s="1561"/>
    </row>
    <row r="1436" spans="1:1" s="1559" customFormat="1" x14ac:dyDescent="0.3">
      <c r="A1436" s="1561"/>
    </row>
    <row r="1437" spans="1:1" s="1559" customFormat="1" x14ac:dyDescent="0.3">
      <c r="A1437" s="1561"/>
    </row>
    <row r="1438" spans="1:1" s="1559" customFormat="1" x14ac:dyDescent="0.3">
      <c r="A1438" s="1561"/>
    </row>
    <row r="1439" spans="1:1" s="1559" customFormat="1" x14ac:dyDescent="0.3">
      <c r="A1439" s="1561"/>
    </row>
    <row r="1440" spans="1:1" s="1559" customFormat="1" x14ac:dyDescent="0.3">
      <c r="A1440" s="1561"/>
    </row>
    <row r="1441" spans="1:1" s="1559" customFormat="1" x14ac:dyDescent="0.3">
      <c r="A1441" s="1561"/>
    </row>
    <row r="1442" spans="1:1" s="1559" customFormat="1" x14ac:dyDescent="0.3">
      <c r="A1442" s="1561"/>
    </row>
    <row r="1443" spans="1:1" s="1559" customFormat="1" x14ac:dyDescent="0.3">
      <c r="A1443" s="1561"/>
    </row>
    <row r="1444" spans="1:1" s="1559" customFormat="1" x14ac:dyDescent="0.3">
      <c r="A1444" s="1561"/>
    </row>
    <row r="1445" spans="1:1" s="1559" customFormat="1" x14ac:dyDescent="0.3">
      <c r="A1445" s="1561"/>
    </row>
    <row r="1446" spans="1:1" s="1559" customFormat="1" x14ac:dyDescent="0.3">
      <c r="A1446" s="1561"/>
    </row>
    <row r="1447" spans="1:1" s="1559" customFormat="1" x14ac:dyDescent="0.3">
      <c r="A1447" s="1561"/>
    </row>
    <row r="1448" spans="1:1" s="1559" customFormat="1" x14ac:dyDescent="0.3">
      <c r="A1448" s="1561"/>
    </row>
    <row r="1449" spans="1:1" s="1559" customFormat="1" x14ac:dyDescent="0.3">
      <c r="A1449" s="1561"/>
    </row>
    <row r="1450" spans="1:1" s="1559" customFormat="1" x14ac:dyDescent="0.3">
      <c r="A1450" s="1561"/>
    </row>
    <row r="1451" spans="1:1" s="1559" customFormat="1" x14ac:dyDescent="0.3">
      <c r="A1451" s="1561"/>
    </row>
    <row r="1452" spans="1:1" s="1559" customFormat="1" x14ac:dyDescent="0.3">
      <c r="A1452" s="1561"/>
    </row>
    <row r="1453" spans="1:1" s="1559" customFormat="1" x14ac:dyDescent="0.3">
      <c r="A1453" s="1561"/>
    </row>
    <row r="1454" spans="1:1" s="1559" customFormat="1" x14ac:dyDescent="0.3">
      <c r="A1454" s="1561"/>
    </row>
    <row r="1455" spans="1:1" s="1559" customFormat="1" x14ac:dyDescent="0.3">
      <c r="A1455" s="1561"/>
    </row>
    <row r="1456" spans="1:1" s="1559" customFormat="1" x14ac:dyDescent="0.3">
      <c r="A1456" s="1561"/>
    </row>
    <row r="1457" spans="1:1" s="1559" customFormat="1" x14ac:dyDescent="0.3">
      <c r="A1457" s="1561"/>
    </row>
    <row r="1458" spans="1:1" s="1559" customFormat="1" x14ac:dyDescent="0.3">
      <c r="A1458" s="1561"/>
    </row>
    <row r="1459" spans="1:1" s="1559" customFormat="1" x14ac:dyDescent="0.3">
      <c r="A1459" s="1561"/>
    </row>
    <row r="1460" spans="1:1" s="1559" customFormat="1" x14ac:dyDescent="0.3">
      <c r="A1460" s="1561"/>
    </row>
    <row r="1461" spans="1:1" s="1559" customFormat="1" x14ac:dyDescent="0.3">
      <c r="A1461" s="1561"/>
    </row>
    <row r="1462" spans="1:1" s="1559" customFormat="1" x14ac:dyDescent="0.3">
      <c r="A1462" s="1561"/>
    </row>
    <row r="1463" spans="1:1" s="1559" customFormat="1" x14ac:dyDescent="0.3">
      <c r="A1463" s="1561"/>
    </row>
    <row r="1464" spans="1:1" s="1559" customFormat="1" x14ac:dyDescent="0.3">
      <c r="A1464" s="1561"/>
    </row>
    <row r="1465" spans="1:1" s="1559" customFormat="1" x14ac:dyDescent="0.3">
      <c r="A1465" s="1561"/>
    </row>
    <row r="1466" spans="1:1" s="1559" customFormat="1" x14ac:dyDescent="0.3">
      <c r="A1466" s="1561"/>
    </row>
    <row r="1467" spans="1:1" s="1559" customFormat="1" x14ac:dyDescent="0.3">
      <c r="A1467" s="1561"/>
    </row>
    <row r="1468" spans="1:1" s="1559" customFormat="1" x14ac:dyDescent="0.3">
      <c r="A1468" s="1561"/>
    </row>
    <row r="1469" spans="1:1" s="1559" customFormat="1" x14ac:dyDescent="0.3">
      <c r="A1469" s="1561"/>
    </row>
    <row r="1470" spans="1:1" s="1559" customFormat="1" x14ac:dyDescent="0.3">
      <c r="A1470" s="1561"/>
    </row>
    <row r="1471" spans="1:1" s="1559" customFormat="1" x14ac:dyDescent="0.3">
      <c r="A1471" s="1561"/>
    </row>
    <row r="1472" spans="1:1" s="1559" customFormat="1" x14ac:dyDescent="0.3">
      <c r="A1472" s="1561"/>
    </row>
    <row r="1473" spans="1:1" s="1559" customFormat="1" x14ac:dyDescent="0.3">
      <c r="A1473" s="1561"/>
    </row>
    <row r="1474" spans="1:1" s="1559" customFormat="1" x14ac:dyDescent="0.3">
      <c r="A1474" s="1561"/>
    </row>
    <row r="1475" spans="1:1" s="1559" customFormat="1" x14ac:dyDescent="0.3">
      <c r="A1475" s="1561"/>
    </row>
    <row r="1476" spans="1:1" s="1559" customFormat="1" x14ac:dyDescent="0.3">
      <c r="A1476" s="1561"/>
    </row>
    <row r="1477" spans="1:1" s="1559" customFormat="1" x14ac:dyDescent="0.3">
      <c r="A1477" s="1561"/>
    </row>
    <row r="1478" spans="1:1" s="1559" customFormat="1" x14ac:dyDescent="0.3">
      <c r="A1478" s="1561"/>
    </row>
    <row r="1479" spans="1:1" s="1559" customFormat="1" x14ac:dyDescent="0.3">
      <c r="A1479" s="1561"/>
    </row>
    <row r="1480" spans="1:1" s="1559" customFormat="1" x14ac:dyDescent="0.3">
      <c r="A1480" s="1561"/>
    </row>
    <row r="1481" spans="1:1" s="1559" customFormat="1" x14ac:dyDescent="0.3">
      <c r="A1481" s="1561"/>
    </row>
    <row r="1482" spans="1:1" s="1559" customFormat="1" x14ac:dyDescent="0.3">
      <c r="A1482" s="1561"/>
    </row>
    <row r="1483" spans="1:1" s="1559" customFormat="1" x14ac:dyDescent="0.3">
      <c r="A1483" s="1561"/>
    </row>
    <row r="1484" spans="1:1" s="1559" customFormat="1" x14ac:dyDescent="0.3">
      <c r="A1484" s="1561"/>
    </row>
    <row r="1485" spans="1:1" s="1559" customFormat="1" x14ac:dyDescent="0.3">
      <c r="A1485" s="1561"/>
    </row>
    <row r="1486" spans="1:1" s="1559" customFormat="1" x14ac:dyDescent="0.3">
      <c r="A1486" s="1561"/>
    </row>
    <row r="1487" spans="1:1" s="1559" customFormat="1" x14ac:dyDescent="0.3">
      <c r="A1487" s="1561"/>
    </row>
    <row r="1488" spans="1:1" s="1559" customFormat="1" x14ac:dyDescent="0.3">
      <c r="A1488" s="1561"/>
    </row>
    <row r="1489" spans="1:1" s="1559" customFormat="1" x14ac:dyDescent="0.3">
      <c r="A1489" s="1561"/>
    </row>
    <row r="1490" spans="1:1" s="1559" customFormat="1" x14ac:dyDescent="0.3">
      <c r="A1490" s="1561"/>
    </row>
    <row r="1491" spans="1:1" s="1559" customFormat="1" x14ac:dyDescent="0.3">
      <c r="A1491" s="1561"/>
    </row>
    <row r="1492" spans="1:1" s="1559" customFormat="1" x14ac:dyDescent="0.3">
      <c r="A1492" s="1561"/>
    </row>
    <row r="1493" spans="1:1" s="1559" customFormat="1" x14ac:dyDescent="0.3">
      <c r="A1493" s="1561"/>
    </row>
    <row r="1494" spans="1:1" s="1559" customFormat="1" x14ac:dyDescent="0.3">
      <c r="A1494" s="1561"/>
    </row>
    <row r="1495" spans="1:1" s="1559" customFormat="1" x14ac:dyDescent="0.3">
      <c r="A1495" s="1561"/>
    </row>
    <row r="1496" spans="1:1" s="1559" customFormat="1" x14ac:dyDescent="0.3">
      <c r="A1496" s="1561"/>
    </row>
    <row r="1497" spans="1:1" s="1559" customFormat="1" x14ac:dyDescent="0.3">
      <c r="A1497" s="1561"/>
    </row>
    <row r="1498" spans="1:1" s="1559" customFormat="1" x14ac:dyDescent="0.3">
      <c r="A1498" s="1561"/>
    </row>
    <row r="1499" spans="1:1" s="1559" customFormat="1" x14ac:dyDescent="0.3">
      <c r="A1499" s="1561"/>
    </row>
    <row r="1500" spans="1:1" s="1559" customFormat="1" x14ac:dyDescent="0.3">
      <c r="A1500" s="1561"/>
    </row>
    <row r="1501" spans="1:1" s="1559" customFormat="1" x14ac:dyDescent="0.3">
      <c r="A1501" s="1561"/>
    </row>
    <row r="1502" spans="1:1" s="1559" customFormat="1" x14ac:dyDescent="0.3">
      <c r="A1502" s="1561"/>
    </row>
    <row r="1503" spans="1:1" s="1559" customFormat="1" x14ac:dyDescent="0.3">
      <c r="A1503" s="1561"/>
    </row>
    <row r="1504" spans="1:1" s="1559" customFormat="1" x14ac:dyDescent="0.3">
      <c r="A1504" s="1561"/>
    </row>
    <row r="1505" spans="1:1" s="1559" customFormat="1" x14ac:dyDescent="0.3">
      <c r="A1505" s="1561"/>
    </row>
    <row r="1506" spans="1:1" s="1559" customFormat="1" x14ac:dyDescent="0.3">
      <c r="A1506" s="1561"/>
    </row>
    <row r="1507" spans="1:1" s="1559" customFormat="1" x14ac:dyDescent="0.3">
      <c r="A1507" s="1561"/>
    </row>
    <row r="1508" spans="1:1" s="1559" customFormat="1" x14ac:dyDescent="0.3">
      <c r="A1508" s="1561"/>
    </row>
    <row r="1509" spans="1:1" s="1559" customFormat="1" x14ac:dyDescent="0.3">
      <c r="A1509" s="1561"/>
    </row>
    <row r="1510" spans="1:1" s="1559" customFormat="1" x14ac:dyDescent="0.3">
      <c r="A1510" s="1561"/>
    </row>
    <row r="1511" spans="1:1" s="1559" customFormat="1" x14ac:dyDescent="0.3">
      <c r="A1511" s="1561"/>
    </row>
    <row r="1512" spans="1:1" s="1559" customFormat="1" x14ac:dyDescent="0.3">
      <c r="A1512" s="1561"/>
    </row>
    <row r="1513" spans="1:1" s="1559" customFormat="1" x14ac:dyDescent="0.3">
      <c r="A1513" s="1561"/>
    </row>
    <row r="1514" spans="1:1" s="1559" customFormat="1" x14ac:dyDescent="0.3">
      <c r="A1514" s="1561"/>
    </row>
    <row r="1515" spans="1:1" s="1559" customFormat="1" x14ac:dyDescent="0.3">
      <c r="A1515" s="1561"/>
    </row>
    <row r="1516" spans="1:1" s="1559" customFormat="1" x14ac:dyDescent="0.3">
      <c r="A1516" s="1561"/>
    </row>
    <row r="1517" spans="1:1" s="1559" customFormat="1" x14ac:dyDescent="0.3">
      <c r="A1517" s="1561"/>
    </row>
    <row r="1518" spans="1:1" s="1559" customFormat="1" x14ac:dyDescent="0.3">
      <c r="A1518" s="1561"/>
    </row>
    <row r="1519" spans="1:1" s="1559" customFormat="1" x14ac:dyDescent="0.3">
      <c r="A1519" s="1561"/>
    </row>
    <row r="1520" spans="1:1" s="1559" customFormat="1" x14ac:dyDescent="0.3">
      <c r="A1520" s="1561"/>
    </row>
    <row r="1521" spans="1:1" s="1559" customFormat="1" x14ac:dyDescent="0.3">
      <c r="A1521" s="1561"/>
    </row>
    <row r="1522" spans="1:1" s="1559" customFormat="1" x14ac:dyDescent="0.3">
      <c r="A1522" s="1561"/>
    </row>
    <row r="1523" spans="1:1" s="1559" customFormat="1" x14ac:dyDescent="0.3">
      <c r="A1523" s="1561"/>
    </row>
    <row r="1524" spans="1:1" s="1559" customFormat="1" x14ac:dyDescent="0.3">
      <c r="A1524" s="1561"/>
    </row>
    <row r="1525" spans="1:1" s="1559" customFormat="1" x14ac:dyDescent="0.3">
      <c r="A1525" s="1561"/>
    </row>
    <row r="1526" spans="1:1" s="1559" customFormat="1" x14ac:dyDescent="0.3">
      <c r="A1526" s="1561"/>
    </row>
    <row r="1527" spans="1:1" s="1559" customFormat="1" x14ac:dyDescent="0.3">
      <c r="A1527" s="1561"/>
    </row>
    <row r="1528" spans="1:1" s="1559" customFormat="1" x14ac:dyDescent="0.3">
      <c r="A1528" s="1561"/>
    </row>
    <row r="1529" spans="1:1" s="1559" customFormat="1" x14ac:dyDescent="0.3">
      <c r="A1529" s="1561"/>
    </row>
    <row r="1530" spans="1:1" s="1559" customFormat="1" x14ac:dyDescent="0.3">
      <c r="A1530" s="1561"/>
    </row>
    <row r="1531" spans="1:1" s="1559" customFormat="1" x14ac:dyDescent="0.3">
      <c r="A1531" s="1561"/>
    </row>
    <row r="1532" spans="1:1" s="1559" customFormat="1" x14ac:dyDescent="0.3">
      <c r="A1532" s="1561"/>
    </row>
    <row r="1533" spans="1:1" s="1559" customFormat="1" x14ac:dyDescent="0.3">
      <c r="A1533" s="1561"/>
    </row>
    <row r="1534" spans="1:1" s="1559" customFormat="1" x14ac:dyDescent="0.3">
      <c r="A1534" s="1561"/>
    </row>
    <row r="1535" spans="1:1" s="1559" customFormat="1" x14ac:dyDescent="0.3">
      <c r="A1535" s="1561"/>
    </row>
    <row r="1536" spans="1:1" s="1559" customFormat="1" x14ac:dyDescent="0.3">
      <c r="A1536" s="1561"/>
    </row>
    <row r="1537" spans="1:1" s="1559" customFormat="1" x14ac:dyDescent="0.3">
      <c r="A1537" s="1561"/>
    </row>
    <row r="1538" spans="1:1" s="1559" customFormat="1" x14ac:dyDescent="0.3">
      <c r="A1538" s="1561"/>
    </row>
    <row r="1539" spans="1:1" s="1559" customFormat="1" x14ac:dyDescent="0.3">
      <c r="A1539" s="1561"/>
    </row>
    <row r="1540" spans="1:1" s="1559" customFormat="1" x14ac:dyDescent="0.3">
      <c r="A1540" s="1561"/>
    </row>
    <row r="1541" spans="1:1" s="1559" customFormat="1" x14ac:dyDescent="0.3">
      <c r="A1541" s="1561"/>
    </row>
    <row r="1542" spans="1:1" s="1559" customFormat="1" x14ac:dyDescent="0.3">
      <c r="A1542" s="1561"/>
    </row>
    <row r="1543" spans="1:1" s="1559" customFormat="1" x14ac:dyDescent="0.3">
      <c r="A1543" s="1561"/>
    </row>
    <row r="1544" spans="1:1" s="1559" customFormat="1" x14ac:dyDescent="0.3">
      <c r="A1544" s="1561"/>
    </row>
    <row r="1545" spans="1:1" s="1559" customFormat="1" x14ac:dyDescent="0.3">
      <c r="A1545" s="1561"/>
    </row>
    <row r="1546" spans="1:1" s="1559" customFormat="1" x14ac:dyDescent="0.3">
      <c r="A1546" s="1561"/>
    </row>
    <row r="1547" spans="1:1" s="1559" customFormat="1" x14ac:dyDescent="0.3">
      <c r="A1547" s="1561"/>
    </row>
    <row r="1548" spans="1:1" s="1559" customFormat="1" x14ac:dyDescent="0.3">
      <c r="A1548" s="1561"/>
    </row>
    <row r="1549" spans="1:1" s="1559" customFormat="1" x14ac:dyDescent="0.3">
      <c r="A1549" s="1561"/>
    </row>
    <row r="1550" spans="1:1" s="1559" customFormat="1" x14ac:dyDescent="0.3">
      <c r="A1550" s="1561"/>
    </row>
    <row r="1551" spans="1:1" s="1559" customFormat="1" x14ac:dyDescent="0.3">
      <c r="A1551" s="1561"/>
    </row>
    <row r="1552" spans="1:1" s="1559" customFormat="1" x14ac:dyDescent="0.3">
      <c r="A1552" s="1561"/>
    </row>
    <row r="1553" spans="1:1" s="1559" customFormat="1" x14ac:dyDescent="0.3">
      <c r="A1553" s="1561"/>
    </row>
    <row r="1554" spans="1:1" s="1559" customFormat="1" x14ac:dyDescent="0.3">
      <c r="A1554" s="1561"/>
    </row>
    <row r="1555" spans="1:1" s="1559" customFormat="1" x14ac:dyDescent="0.3">
      <c r="A1555" s="1561"/>
    </row>
    <row r="1556" spans="1:1" s="1559" customFormat="1" x14ac:dyDescent="0.3">
      <c r="A1556" s="1561"/>
    </row>
    <row r="1557" spans="1:1" s="1559" customFormat="1" x14ac:dyDescent="0.3">
      <c r="A1557" s="1561"/>
    </row>
    <row r="1558" spans="1:1" s="1559" customFormat="1" x14ac:dyDescent="0.3">
      <c r="A1558" s="1561"/>
    </row>
    <row r="1559" spans="1:1" s="1559" customFormat="1" x14ac:dyDescent="0.3">
      <c r="A1559" s="1561"/>
    </row>
    <row r="1560" spans="1:1" s="1559" customFormat="1" x14ac:dyDescent="0.3">
      <c r="A1560" s="1561"/>
    </row>
    <row r="1561" spans="1:1" s="1559" customFormat="1" x14ac:dyDescent="0.3">
      <c r="A1561" s="1561"/>
    </row>
    <row r="1562" spans="1:1" s="1559" customFormat="1" x14ac:dyDescent="0.3">
      <c r="A1562" s="1561"/>
    </row>
    <row r="1563" spans="1:1" s="1559" customFormat="1" x14ac:dyDescent="0.3">
      <c r="A1563" s="1561"/>
    </row>
    <row r="1564" spans="1:1" s="1559" customFormat="1" x14ac:dyDescent="0.3">
      <c r="A1564" s="1561"/>
    </row>
    <row r="1565" spans="1:1" s="1559" customFormat="1" x14ac:dyDescent="0.3">
      <c r="A1565" s="1561"/>
    </row>
    <row r="1566" spans="1:1" s="1559" customFormat="1" x14ac:dyDescent="0.3">
      <c r="A1566" s="1561"/>
    </row>
    <row r="1567" spans="1:1" s="1559" customFormat="1" x14ac:dyDescent="0.3">
      <c r="A1567" s="1561"/>
    </row>
    <row r="1568" spans="1:1" s="1559" customFormat="1" x14ac:dyDescent="0.3">
      <c r="A1568" s="1561"/>
    </row>
    <row r="1569" spans="1:1" s="1559" customFormat="1" x14ac:dyDescent="0.3">
      <c r="A1569" s="1561"/>
    </row>
    <row r="1570" spans="1:1" s="1559" customFormat="1" x14ac:dyDescent="0.3">
      <c r="A1570" s="1561"/>
    </row>
    <row r="1571" spans="1:1" s="1559" customFormat="1" x14ac:dyDescent="0.3">
      <c r="A1571" s="1561"/>
    </row>
    <row r="1572" spans="1:1" s="1559" customFormat="1" x14ac:dyDescent="0.3">
      <c r="A1572" s="1561"/>
    </row>
    <row r="1573" spans="1:1" s="1559" customFormat="1" x14ac:dyDescent="0.3">
      <c r="A1573" s="1561"/>
    </row>
    <row r="1574" spans="1:1" s="1559" customFormat="1" x14ac:dyDescent="0.3">
      <c r="A1574" s="1561"/>
    </row>
    <row r="1575" spans="1:1" s="1559" customFormat="1" x14ac:dyDescent="0.3">
      <c r="A1575" s="1561"/>
    </row>
    <row r="1576" spans="1:1" s="1559" customFormat="1" x14ac:dyDescent="0.3">
      <c r="A1576" s="1561"/>
    </row>
    <row r="1577" spans="1:1" s="1559" customFormat="1" x14ac:dyDescent="0.3">
      <c r="A1577" s="1561"/>
    </row>
    <row r="1578" spans="1:1" s="1559" customFormat="1" x14ac:dyDescent="0.3">
      <c r="A1578" s="1561"/>
    </row>
    <row r="1579" spans="1:1" s="1559" customFormat="1" x14ac:dyDescent="0.3">
      <c r="A1579" s="1561"/>
    </row>
    <row r="1580" spans="1:1" s="1559" customFormat="1" x14ac:dyDescent="0.3">
      <c r="A1580" s="1561"/>
    </row>
    <row r="1581" spans="1:1" s="1559" customFormat="1" x14ac:dyDescent="0.3">
      <c r="A1581" s="1561"/>
    </row>
    <row r="1582" spans="1:1" s="1559" customFormat="1" x14ac:dyDescent="0.3">
      <c r="A1582" s="1561"/>
    </row>
    <row r="1583" spans="1:1" s="1559" customFormat="1" x14ac:dyDescent="0.3">
      <c r="A1583" s="1561"/>
    </row>
    <row r="1584" spans="1:1" s="1559" customFormat="1" x14ac:dyDescent="0.3">
      <c r="A1584" s="1561"/>
    </row>
    <row r="1585" spans="1:1" s="1559" customFormat="1" x14ac:dyDescent="0.3">
      <c r="A1585" s="1561"/>
    </row>
    <row r="1586" spans="1:1" s="1559" customFormat="1" x14ac:dyDescent="0.3">
      <c r="A1586" s="1561"/>
    </row>
    <row r="1587" spans="1:1" s="1559" customFormat="1" x14ac:dyDescent="0.3">
      <c r="A1587" s="1561"/>
    </row>
    <row r="1588" spans="1:1" s="1559" customFormat="1" x14ac:dyDescent="0.3">
      <c r="A1588" s="1561"/>
    </row>
    <row r="1589" spans="1:1" s="1559" customFormat="1" x14ac:dyDescent="0.3">
      <c r="A1589" s="1561"/>
    </row>
    <row r="1590" spans="1:1" s="1559" customFormat="1" x14ac:dyDescent="0.3">
      <c r="A1590" s="1561"/>
    </row>
    <row r="1591" spans="1:1" s="1559" customFormat="1" x14ac:dyDescent="0.3">
      <c r="A1591" s="1561"/>
    </row>
    <row r="1592" spans="1:1" s="1559" customFormat="1" x14ac:dyDescent="0.3">
      <c r="A1592" s="1561"/>
    </row>
    <row r="1593" spans="1:1" s="1559" customFormat="1" x14ac:dyDescent="0.3">
      <c r="A1593" s="1561"/>
    </row>
    <row r="1594" spans="1:1" s="1559" customFormat="1" x14ac:dyDescent="0.3">
      <c r="A1594" s="1561"/>
    </row>
    <row r="1595" spans="1:1" s="1559" customFormat="1" x14ac:dyDescent="0.3">
      <c r="A1595" s="1561"/>
    </row>
    <row r="1596" spans="1:1" s="1559" customFormat="1" x14ac:dyDescent="0.3">
      <c r="A1596" s="1561"/>
    </row>
    <row r="1597" spans="1:1" s="1559" customFormat="1" x14ac:dyDescent="0.3">
      <c r="A1597" s="1561"/>
    </row>
    <row r="1598" spans="1:1" s="1559" customFormat="1" x14ac:dyDescent="0.3">
      <c r="A1598" s="1561"/>
    </row>
    <row r="1599" spans="1:1" s="1559" customFormat="1" x14ac:dyDescent="0.3">
      <c r="A1599" s="1561"/>
    </row>
    <row r="1600" spans="1:1" s="1559" customFormat="1" x14ac:dyDescent="0.3">
      <c r="A1600" s="1561"/>
    </row>
    <row r="1601" spans="1:1" s="1559" customFormat="1" x14ac:dyDescent="0.3">
      <c r="A1601" s="1561"/>
    </row>
    <row r="1602" spans="1:1" s="1559" customFormat="1" x14ac:dyDescent="0.3">
      <c r="A1602" s="1561"/>
    </row>
    <row r="1603" spans="1:1" s="1559" customFormat="1" x14ac:dyDescent="0.3">
      <c r="A1603" s="1561"/>
    </row>
    <row r="1604" spans="1:1" s="1559" customFormat="1" x14ac:dyDescent="0.3">
      <c r="A1604" s="1561"/>
    </row>
    <row r="1605" spans="1:1" s="1559" customFormat="1" x14ac:dyDescent="0.3">
      <c r="A1605" s="1561"/>
    </row>
    <row r="1606" spans="1:1" s="1559" customFormat="1" x14ac:dyDescent="0.3">
      <c r="A1606" s="1561"/>
    </row>
    <row r="1607" spans="1:1" s="1559" customFormat="1" x14ac:dyDescent="0.3">
      <c r="A1607" s="1561"/>
    </row>
    <row r="1608" spans="1:1" s="1559" customFormat="1" x14ac:dyDescent="0.3">
      <c r="A1608" s="1561"/>
    </row>
    <row r="1609" spans="1:1" s="1559" customFormat="1" x14ac:dyDescent="0.3">
      <c r="A1609" s="1561"/>
    </row>
    <row r="1610" spans="1:1" s="1559" customFormat="1" x14ac:dyDescent="0.3">
      <c r="A1610" s="1561"/>
    </row>
    <row r="1611" spans="1:1" s="1559" customFormat="1" x14ac:dyDescent="0.3">
      <c r="A1611" s="1561"/>
    </row>
    <row r="1612" spans="1:1" s="1559" customFormat="1" x14ac:dyDescent="0.3">
      <c r="A1612" s="1561"/>
    </row>
    <row r="1613" spans="1:1" s="1559" customFormat="1" x14ac:dyDescent="0.3">
      <c r="A1613" s="1561"/>
    </row>
    <row r="1614" spans="1:1" s="1559" customFormat="1" x14ac:dyDescent="0.3">
      <c r="A1614" s="1561"/>
    </row>
    <row r="1615" spans="1:1" s="1559" customFormat="1" x14ac:dyDescent="0.3">
      <c r="A1615" s="1561"/>
    </row>
    <row r="1616" spans="1:1" s="1559" customFormat="1" x14ac:dyDescent="0.3">
      <c r="A1616" s="1561"/>
    </row>
    <row r="1617" spans="1:1" s="1559" customFormat="1" x14ac:dyDescent="0.3">
      <c r="A1617" s="1561"/>
    </row>
    <row r="1618" spans="1:1" s="1559" customFormat="1" x14ac:dyDescent="0.3">
      <c r="A1618" s="1561"/>
    </row>
    <row r="1619" spans="1:1" s="1559" customFormat="1" x14ac:dyDescent="0.3">
      <c r="A1619" s="1561"/>
    </row>
    <row r="1620" spans="1:1" s="1559" customFormat="1" x14ac:dyDescent="0.3">
      <c r="A1620" s="1561"/>
    </row>
    <row r="1621" spans="1:1" s="1559" customFormat="1" x14ac:dyDescent="0.3">
      <c r="A1621" s="1561"/>
    </row>
    <row r="1622" spans="1:1" s="1559" customFormat="1" x14ac:dyDescent="0.3">
      <c r="A1622" s="1561"/>
    </row>
    <row r="1623" spans="1:1" s="1559" customFormat="1" x14ac:dyDescent="0.3">
      <c r="A1623" s="1561"/>
    </row>
    <row r="1624" spans="1:1" s="1559" customFormat="1" x14ac:dyDescent="0.3">
      <c r="A1624" s="1561"/>
    </row>
    <row r="1625" spans="1:1" s="1559" customFormat="1" x14ac:dyDescent="0.3">
      <c r="A1625" s="1561"/>
    </row>
    <row r="1626" spans="1:1" s="1559" customFormat="1" x14ac:dyDescent="0.3">
      <c r="A1626" s="1561"/>
    </row>
    <row r="1627" spans="1:1" s="1559" customFormat="1" x14ac:dyDescent="0.3">
      <c r="A1627" s="1561"/>
    </row>
    <row r="1628" spans="1:1" s="1559" customFormat="1" x14ac:dyDescent="0.3">
      <c r="A1628" s="1561"/>
    </row>
    <row r="1629" spans="1:1" s="1559" customFormat="1" x14ac:dyDescent="0.3">
      <c r="A1629" s="1561"/>
    </row>
    <row r="1630" spans="1:1" s="1559" customFormat="1" x14ac:dyDescent="0.3">
      <c r="A1630" s="1561"/>
    </row>
    <row r="1631" spans="1:1" s="1559" customFormat="1" x14ac:dyDescent="0.3">
      <c r="A1631" s="1561"/>
    </row>
    <row r="1632" spans="1:1" s="1559" customFormat="1" x14ac:dyDescent="0.3">
      <c r="A1632" s="1561"/>
    </row>
    <row r="1633" spans="1:1" s="1559" customFormat="1" x14ac:dyDescent="0.3">
      <c r="A1633" s="1561"/>
    </row>
    <row r="1634" spans="1:1" s="1559" customFormat="1" x14ac:dyDescent="0.3">
      <c r="A1634" s="1561"/>
    </row>
    <row r="1635" spans="1:1" s="1559" customFormat="1" x14ac:dyDescent="0.3">
      <c r="A1635" s="1561"/>
    </row>
    <row r="1636" spans="1:1" s="1559" customFormat="1" x14ac:dyDescent="0.3">
      <c r="A1636" s="1561"/>
    </row>
    <row r="1637" spans="1:1" s="1559" customFormat="1" x14ac:dyDescent="0.3">
      <c r="A1637" s="1561"/>
    </row>
    <row r="1638" spans="1:1" s="1559" customFormat="1" x14ac:dyDescent="0.3">
      <c r="A1638" s="1561"/>
    </row>
    <row r="1639" spans="1:1" s="1559" customFormat="1" x14ac:dyDescent="0.3">
      <c r="A1639" s="1561"/>
    </row>
    <row r="1640" spans="1:1" s="1559" customFormat="1" x14ac:dyDescent="0.3">
      <c r="A1640" s="1561"/>
    </row>
    <row r="1641" spans="1:1" s="1559" customFormat="1" x14ac:dyDescent="0.3">
      <c r="A1641" s="1561"/>
    </row>
    <row r="1642" spans="1:1" s="1559" customFormat="1" x14ac:dyDescent="0.3">
      <c r="A1642" s="1561"/>
    </row>
    <row r="1643" spans="1:1" s="1559" customFormat="1" x14ac:dyDescent="0.3">
      <c r="A1643" s="1561"/>
    </row>
    <row r="1644" spans="1:1" s="1559" customFormat="1" x14ac:dyDescent="0.3">
      <c r="A1644" s="1561"/>
    </row>
    <row r="1645" spans="1:1" s="1559" customFormat="1" x14ac:dyDescent="0.3">
      <c r="A1645" s="1561"/>
    </row>
    <row r="1646" spans="1:1" s="1559" customFormat="1" x14ac:dyDescent="0.3">
      <c r="A1646" s="1561"/>
    </row>
    <row r="1647" spans="1:1" s="1559" customFormat="1" x14ac:dyDescent="0.3">
      <c r="A1647" s="1561"/>
    </row>
    <row r="1648" spans="1:1" s="1559" customFormat="1" x14ac:dyDescent="0.3">
      <c r="A1648" s="1561"/>
    </row>
    <row r="1649" spans="1:1" s="1559" customFormat="1" x14ac:dyDescent="0.3">
      <c r="A1649" s="1561"/>
    </row>
    <row r="1650" spans="1:1" s="1559" customFormat="1" x14ac:dyDescent="0.3">
      <c r="A1650" s="1561"/>
    </row>
    <row r="1651" spans="1:1" s="1559" customFormat="1" x14ac:dyDescent="0.3">
      <c r="A1651" s="1561"/>
    </row>
    <row r="1652" spans="1:1" s="1559" customFormat="1" x14ac:dyDescent="0.3">
      <c r="A1652" s="1561"/>
    </row>
    <row r="1653" spans="1:1" s="1559" customFormat="1" x14ac:dyDescent="0.3">
      <c r="A1653" s="1561"/>
    </row>
    <row r="1654" spans="1:1" s="1559" customFormat="1" x14ac:dyDescent="0.3">
      <c r="A1654" s="1561"/>
    </row>
    <row r="1655" spans="1:1" s="1559" customFormat="1" x14ac:dyDescent="0.3">
      <c r="A1655" s="1561"/>
    </row>
    <row r="1656" spans="1:1" s="1559" customFormat="1" x14ac:dyDescent="0.3">
      <c r="A1656" s="1561"/>
    </row>
    <row r="1657" spans="1:1" s="1559" customFormat="1" x14ac:dyDescent="0.3">
      <c r="A1657" s="1561"/>
    </row>
    <row r="1658" spans="1:1" s="1559" customFormat="1" x14ac:dyDescent="0.3">
      <c r="A1658" s="1561"/>
    </row>
    <row r="1659" spans="1:1" s="1559" customFormat="1" x14ac:dyDescent="0.3">
      <c r="A1659" s="1561"/>
    </row>
    <row r="1660" spans="1:1" s="1559" customFormat="1" x14ac:dyDescent="0.3">
      <c r="A1660" s="1561"/>
    </row>
    <row r="1661" spans="1:1" s="1559" customFormat="1" x14ac:dyDescent="0.3">
      <c r="A1661" s="1561"/>
    </row>
    <row r="1662" spans="1:1" s="1559" customFormat="1" x14ac:dyDescent="0.3">
      <c r="A1662" s="1561"/>
    </row>
    <row r="1663" spans="1:1" s="1559" customFormat="1" x14ac:dyDescent="0.3">
      <c r="A1663" s="1561"/>
    </row>
    <row r="1664" spans="1:1" s="1559" customFormat="1" x14ac:dyDescent="0.3">
      <c r="A1664" s="1561"/>
    </row>
    <row r="1665" spans="1:1" s="1559" customFormat="1" x14ac:dyDescent="0.3">
      <c r="A1665" s="1561"/>
    </row>
    <row r="1666" spans="1:1" s="1559" customFormat="1" x14ac:dyDescent="0.3">
      <c r="A1666" s="1561"/>
    </row>
    <row r="1667" spans="1:1" s="1559" customFormat="1" x14ac:dyDescent="0.3">
      <c r="A1667" s="1561"/>
    </row>
    <row r="1668" spans="1:1" s="1559" customFormat="1" x14ac:dyDescent="0.3">
      <c r="A1668" s="1561"/>
    </row>
    <row r="1669" spans="1:1" s="1559" customFormat="1" x14ac:dyDescent="0.3">
      <c r="A1669" s="1561"/>
    </row>
    <row r="1670" spans="1:1" s="1559" customFormat="1" x14ac:dyDescent="0.3">
      <c r="A1670" s="1561"/>
    </row>
    <row r="1671" spans="1:1" s="1559" customFormat="1" x14ac:dyDescent="0.3">
      <c r="A1671" s="1561"/>
    </row>
    <row r="1672" spans="1:1" s="1559" customFormat="1" x14ac:dyDescent="0.3">
      <c r="A1672" s="1561"/>
    </row>
    <row r="1673" spans="1:1" s="1559" customFormat="1" x14ac:dyDescent="0.3">
      <c r="A1673" s="1561"/>
    </row>
    <row r="1674" spans="1:1" s="1559" customFormat="1" x14ac:dyDescent="0.3">
      <c r="A1674" s="1561"/>
    </row>
    <row r="1675" spans="1:1" s="1559" customFormat="1" x14ac:dyDescent="0.3">
      <c r="A1675" s="1561"/>
    </row>
    <row r="1676" spans="1:1" s="1559" customFormat="1" x14ac:dyDescent="0.3">
      <c r="A1676" s="1561"/>
    </row>
    <row r="1677" spans="1:1" s="1559" customFormat="1" x14ac:dyDescent="0.3">
      <c r="A1677" s="1561"/>
    </row>
    <row r="1678" spans="1:1" s="1559" customFormat="1" x14ac:dyDescent="0.3">
      <c r="A1678" s="1561"/>
    </row>
    <row r="1679" spans="1:1" s="1559" customFormat="1" x14ac:dyDescent="0.3">
      <c r="A1679" s="1561"/>
    </row>
    <row r="1680" spans="1:1" s="1559" customFormat="1" x14ac:dyDescent="0.3">
      <c r="A1680" s="1561"/>
    </row>
    <row r="1681" spans="1:1" s="1559" customFormat="1" x14ac:dyDescent="0.3">
      <c r="A1681" s="1561"/>
    </row>
    <row r="1682" spans="1:1" s="1559" customFormat="1" x14ac:dyDescent="0.3">
      <c r="A1682" s="1561"/>
    </row>
    <row r="1683" spans="1:1" s="1559" customFormat="1" x14ac:dyDescent="0.3">
      <c r="A1683" s="1561"/>
    </row>
    <row r="1684" spans="1:1" s="1559" customFormat="1" x14ac:dyDescent="0.3">
      <c r="A1684" s="1561"/>
    </row>
    <row r="1685" spans="1:1" s="1559" customFormat="1" x14ac:dyDescent="0.3">
      <c r="A1685" s="1561"/>
    </row>
    <row r="1686" spans="1:1" s="1559" customFormat="1" x14ac:dyDescent="0.3">
      <c r="A1686" s="1561"/>
    </row>
    <row r="1687" spans="1:1" s="1559" customFormat="1" x14ac:dyDescent="0.3">
      <c r="A1687" s="1561"/>
    </row>
    <row r="1688" spans="1:1" s="1559" customFormat="1" x14ac:dyDescent="0.3">
      <c r="A1688" s="1561"/>
    </row>
    <row r="1689" spans="1:1" s="1559" customFormat="1" x14ac:dyDescent="0.3">
      <c r="A1689" s="1561"/>
    </row>
    <row r="1690" spans="1:1" s="1559" customFormat="1" x14ac:dyDescent="0.3">
      <c r="A1690" s="1561"/>
    </row>
    <row r="1691" spans="1:1" s="1559" customFormat="1" x14ac:dyDescent="0.3">
      <c r="A1691" s="1561"/>
    </row>
    <row r="1692" spans="1:1" s="1559" customFormat="1" x14ac:dyDescent="0.3">
      <c r="A1692" s="1561"/>
    </row>
    <row r="1693" spans="1:1" s="1559" customFormat="1" x14ac:dyDescent="0.3">
      <c r="A1693" s="1561"/>
    </row>
    <row r="1694" spans="1:1" s="1559" customFormat="1" x14ac:dyDescent="0.3">
      <c r="A1694" s="1561"/>
    </row>
    <row r="1695" spans="1:1" s="1559" customFormat="1" x14ac:dyDescent="0.3">
      <c r="A1695" s="1561"/>
    </row>
    <row r="1696" spans="1:1" s="1559" customFormat="1" x14ac:dyDescent="0.3">
      <c r="A1696" s="1561"/>
    </row>
    <row r="1697" spans="1:1" s="1559" customFormat="1" x14ac:dyDescent="0.3">
      <c r="A1697" s="1561"/>
    </row>
    <row r="1698" spans="1:1" s="1559" customFormat="1" x14ac:dyDescent="0.3">
      <c r="A1698" s="1561"/>
    </row>
    <row r="1699" spans="1:1" s="1559" customFormat="1" x14ac:dyDescent="0.3">
      <c r="A1699" s="1561"/>
    </row>
    <row r="1700" spans="1:1" s="1559" customFormat="1" x14ac:dyDescent="0.3">
      <c r="A1700" s="1561"/>
    </row>
    <row r="1701" spans="1:1" s="1559" customFormat="1" x14ac:dyDescent="0.3">
      <c r="A1701" s="1561"/>
    </row>
    <row r="1702" spans="1:1" s="1559" customFormat="1" x14ac:dyDescent="0.3">
      <c r="A1702" s="1561"/>
    </row>
    <row r="1703" spans="1:1" s="1559" customFormat="1" x14ac:dyDescent="0.3">
      <c r="A1703" s="1561"/>
    </row>
    <row r="1704" spans="1:1" s="1559" customFormat="1" x14ac:dyDescent="0.3">
      <c r="A1704" s="1561"/>
    </row>
    <row r="1705" spans="1:1" s="1559" customFormat="1" x14ac:dyDescent="0.3">
      <c r="A1705" s="1561"/>
    </row>
    <row r="1706" spans="1:1" s="1559" customFormat="1" x14ac:dyDescent="0.3">
      <c r="A1706" s="1561"/>
    </row>
    <row r="1707" spans="1:1" s="1559" customFormat="1" x14ac:dyDescent="0.3">
      <c r="A1707" s="1561"/>
    </row>
    <row r="1708" spans="1:1" s="1559" customFormat="1" x14ac:dyDescent="0.3">
      <c r="A1708" s="1561"/>
    </row>
    <row r="1709" spans="1:1" s="1559" customFormat="1" x14ac:dyDescent="0.3">
      <c r="A1709" s="1561"/>
    </row>
    <row r="1710" spans="1:1" s="1559" customFormat="1" x14ac:dyDescent="0.3">
      <c r="A1710" s="1561"/>
    </row>
    <row r="1711" spans="1:1" s="1559" customFormat="1" x14ac:dyDescent="0.3">
      <c r="A1711" s="1561"/>
    </row>
    <row r="1712" spans="1:1" s="1559" customFormat="1" x14ac:dyDescent="0.3">
      <c r="A1712" s="1561"/>
    </row>
    <row r="1713" spans="1:1" s="1559" customFormat="1" x14ac:dyDescent="0.3">
      <c r="A1713" s="1561"/>
    </row>
    <row r="1714" spans="1:1" s="1559" customFormat="1" x14ac:dyDescent="0.3">
      <c r="A1714" s="1561"/>
    </row>
    <row r="1715" spans="1:1" s="1559" customFormat="1" x14ac:dyDescent="0.3">
      <c r="A1715" s="1561"/>
    </row>
    <row r="1716" spans="1:1" s="1559" customFormat="1" x14ac:dyDescent="0.3">
      <c r="A1716" s="1561"/>
    </row>
    <row r="1717" spans="1:1" s="1559" customFormat="1" x14ac:dyDescent="0.3">
      <c r="A1717" s="1561"/>
    </row>
    <row r="1718" spans="1:1" s="1559" customFormat="1" x14ac:dyDescent="0.3">
      <c r="A1718" s="1561"/>
    </row>
    <row r="1719" spans="1:1" s="1559" customFormat="1" x14ac:dyDescent="0.3">
      <c r="A1719" s="1561"/>
    </row>
    <row r="1720" spans="1:1" s="1559" customFormat="1" x14ac:dyDescent="0.3">
      <c r="A1720" s="1561"/>
    </row>
    <row r="1721" spans="1:1" s="1559" customFormat="1" x14ac:dyDescent="0.3">
      <c r="A1721" s="1561"/>
    </row>
    <row r="1722" spans="1:1" s="1559" customFormat="1" x14ac:dyDescent="0.3">
      <c r="A1722" s="1561"/>
    </row>
    <row r="1723" spans="1:1" s="1559" customFormat="1" x14ac:dyDescent="0.3">
      <c r="A1723" s="1561"/>
    </row>
    <row r="1724" spans="1:1" s="1559" customFormat="1" x14ac:dyDescent="0.3">
      <c r="A1724" s="1561"/>
    </row>
    <row r="1725" spans="1:1" s="1559" customFormat="1" x14ac:dyDescent="0.3">
      <c r="A1725" s="1561"/>
    </row>
    <row r="1726" spans="1:1" s="1559" customFormat="1" x14ac:dyDescent="0.3">
      <c r="A1726" s="1561"/>
    </row>
    <row r="1727" spans="1:1" s="1559" customFormat="1" x14ac:dyDescent="0.3">
      <c r="A1727" s="1561"/>
    </row>
    <row r="1728" spans="1:1" s="1559" customFormat="1" x14ac:dyDescent="0.3">
      <c r="A1728" s="1561"/>
    </row>
  </sheetData>
  <sheetProtection sheet="1" objects="1" scenarios="1"/>
  <phoneticPr fontId="13" type="noConversion"/>
  <pageMargins left="0.75" right="0.75" top="1" bottom="1" header="0" footer="0"/>
  <pageSetup paperSize="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67"/>
  <dimension ref="A1:HD1596"/>
  <sheetViews>
    <sheetView showGridLines="0" workbookViewId="0"/>
  </sheetViews>
  <sheetFormatPr baseColWidth="10" defaultRowHeight="17.25" x14ac:dyDescent="0.3"/>
  <cols>
    <col min="1" max="1" width="38.875" style="303" customWidth="1"/>
    <col min="2" max="2" width="13.5" style="307" customWidth="1"/>
    <col min="3" max="3" width="14.25" style="476" customWidth="1"/>
    <col min="4" max="4" width="13.5" style="307" customWidth="1"/>
    <col min="5" max="5" width="12.75" style="307" customWidth="1"/>
    <col min="6" max="6" width="13.5" style="307" customWidth="1"/>
    <col min="7" max="7" width="13.875" style="307" customWidth="1"/>
    <col min="8" max="8" width="13.5" style="307" customWidth="1"/>
    <col min="9" max="9" width="14.125" style="307" customWidth="1"/>
    <col min="10" max="10" width="13.5" style="307" customWidth="1"/>
    <col min="11" max="11" width="14.125" style="307" customWidth="1"/>
    <col min="12" max="12" width="13.5" style="307" customWidth="1"/>
    <col min="13" max="13" width="16.25" style="307" customWidth="1"/>
    <col min="14" max="14" width="14.125" style="1559" customWidth="1"/>
    <col min="15" max="15" width="21.625" style="1559" bestFit="1" customWidth="1"/>
    <col min="16" max="212" width="11" style="1559"/>
    <col min="213" max="16384" width="11" style="307"/>
  </cols>
  <sheetData>
    <row r="1" spans="1:16" ht="30" customHeight="1" x14ac:dyDescent="0.45">
      <c r="A1" s="1205" t="s">
        <v>1082</v>
      </c>
      <c r="B1" s="1551"/>
      <c r="C1" s="1551"/>
      <c r="D1" s="1551"/>
      <c r="E1" s="1551"/>
      <c r="F1" s="1551"/>
      <c r="G1" s="1434"/>
      <c r="H1" s="1434"/>
      <c r="I1" s="1434"/>
      <c r="J1" s="2262"/>
      <c r="K1" s="2262"/>
      <c r="L1" s="2262"/>
      <c r="M1" s="2262"/>
      <c r="N1" s="1567"/>
    </row>
    <row r="2" spans="1:16" s="1559" customFormat="1" ht="27.75" x14ac:dyDescent="0.45">
      <c r="A2" s="1560">
        <f>'Datos Básicos'!B8</f>
        <v>0</v>
      </c>
      <c r="B2" s="1562"/>
      <c r="C2" s="1562"/>
      <c r="D2" s="1563"/>
      <c r="E2" s="1562"/>
      <c r="F2" s="1563"/>
      <c r="H2" s="1563"/>
      <c r="I2" s="1564"/>
      <c r="J2" s="1563"/>
      <c r="K2" s="1564"/>
      <c r="L2" s="1563"/>
      <c r="M2" s="1564"/>
      <c r="N2" s="1564"/>
      <c r="O2" s="1565"/>
      <c r="P2" s="1566"/>
    </row>
    <row r="3" spans="1:16" s="1559" customFormat="1" ht="27.75" x14ac:dyDescent="0.45">
      <c r="A3" s="1560"/>
      <c r="B3" s="1562"/>
      <c r="C3" s="1562"/>
      <c r="D3" s="1563"/>
      <c r="E3" s="1562"/>
      <c r="F3" s="1563"/>
      <c r="H3" s="1563"/>
      <c r="I3" s="1564"/>
      <c r="J3" s="1563"/>
      <c r="K3" s="1564"/>
      <c r="L3" s="1563"/>
      <c r="M3" s="1564"/>
      <c r="N3" s="1564"/>
    </row>
    <row r="4" spans="1:16" s="1559" customFormat="1" ht="28.5" thickBot="1" x14ac:dyDescent="0.5">
      <c r="A4" s="1560"/>
      <c r="B4" s="1562"/>
      <c r="C4" s="1562"/>
      <c r="D4" s="1563"/>
      <c r="E4" s="1562"/>
      <c r="F4" s="1563"/>
      <c r="H4" s="1563"/>
      <c r="I4" s="1564"/>
      <c r="J4" s="1563"/>
      <c r="K4" s="1564"/>
      <c r="L4" s="1563"/>
      <c r="M4" s="1564"/>
      <c r="N4" s="1564"/>
    </row>
    <row r="5" spans="1:16" x14ac:dyDescent="0.3">
      <c r="A5" s="1561"/>
      <c r="B5" s="1627" t="str">
        <f>'Datos Básicos'!G19</f>
        <v>enero de 2026</v>
      </c>
      <c r="C5" s="1627"/>
      <c r="D5" s="1627" t="str">
        <f>CONCATENATE(Parametros!$O$57," ",'Datos Básicos'!B17)</f>
        <v>diciembre 2026</v>
      </c>
      <c r="E5" s="1627"/>
      <c r="F5" s="1627" t="str">
        <f>CONCATENATE(Parametros!$O$57," ",'Datos Básicos'!C17)</f>
        <v>diciembre 2027</v>
      </c>
      <c r="G5" s="1627"/>
      <c r="H5" s="1627" t="str">
        <f>CONCATENATE(Parametros!$O$57," ",'Datos Básicos'!D17)</f>
        <v>diciembre 2028</v>
      </c>
      <c r="I5" s="1627"/>
      <c r="J5" s="1627" t="str">
        <f>CONCATENATE(Parametros!$O$57," ",'Datos Básicos'!D17+1)</f>
        <v>diciembre 2029</v>
      </c>
      <c r="K5" s="1627"/>
      <c r="L5" s="2524" t="str">
        <f>CONCATENATE(Parametros!$O$57," ",'Datos Básicos'!D17+2)</f>
        <v>diciembre 2030</v>
      </c>
      <c r="M5" s="2525"/>
      <c r="N5" s="1568"/>
    </row>
    <row r="6" spans="1:16" ht="18" thickBot="1" x14ac:dyDescent="0.35">
      <c r="A6" s="1556"/>
      <c r="B6" s="1624" t="s">
        <v>152</v>
      </c>
      <c r="C6" s="1625" t="s">
        <v>886</v>
      </c>
      <c r="D6" s="1625" t="str">
        <f>$B$6</f>
        <v>Importe</v>
      </c>
      <c r="E6" s="1625" t="s">
        <v>886</v>
      </c>
      <c r="F6" s="1625" t="str">
        <f>$B$6</f>
        <v>Importe</v>
      </c>
      <c r="G6" s="1625" t="s">
        <v>886</v>
      </c>
      <c r="H6" s="1625" t="str">
        <f>$B$6</f>
        <v>Importe</v>
      </c>
      <c r="I6" s="1625" t="s">
        <v>886</v>
      </c>
      <c r="J6" s="1625" t="str">
        <f>$B$6</f>
        <v>Importe</v>
      </c>
      <c r="K6" s="1625" t="s">
        <v>886</v>
      </c>
      <c r="L6" s="1625" t="str">
        <f>$B$6</f>
        <v>Importe</v>
      </c>
      <c r="M6" s="1626" t="s">
        <v>886</v>
      </c>
      <c r="N6" s="1569"/>
    </row>
    <row r="7" spans="1:16" x14ac:dyDescent="0.3">
      <c r="A7" s="2110" t="s">
        <v>1116</v>
      </c>
      <c r="B7" s="1598">
        <f>SUM(B8:B13)</f>
        <v>0</v>
      </c>
      <c r="C7" s="1599" t="e">
        <f t="shared" ref="C7:C12" si="0">B7/B$23</f>
        <v>#DIV/0!</v>
      </c>
      <c r="D7" s="1598">
        <f>SUM(D8:D13)</f>
        <v>0</v>
      </c>
      <c r="E7" s="1599" t="e">
        <f t="shared" ref="E7:E12" si="1">D7/D$23</f>
        <v>#DIV/0!</v>
      </c>
      <c r="F7" s="1598">
        <f>SUM(F8:F13)</f>
        <v>0</v>
      </c>
      <c r="G7" s="1599" t="e">
        <f t="shared" ref="G7:G12" si="2">F7/F$23</f>
        <v>#DIV/0!</v>
      </c>
      <c r="H7" s="1598">
        <f>SUM(H8:H13)</f>
        <v>0</v>
      </c>
      <c r="I7" s="1599" t="e">
        <f t="shared" ref="I7:I12" si="3">H7/H$23</f>
        <v>#DIV/0!</v>
      </c>
      <c r="J7" s="1598">
        <f>SUM(J8:J13)</f>
        <v>0</v>
      </c>
      <c r="K7" s="1599" t="e">
        <f t="shared" ref="K7:K12" si="4">J7/J$23</f>
        <v>#DIV/0!</v>
      </c>
      <c r="L7" s="1598">
        <f>SUM(L8:L13)</f>
        <v>0</v>
      </c>
      <c r="M7" s="1600" t="e">
        <f t="shared" ref="M7:M12" si="5">L7/L$23</f>
        <v>#DIV/0!</v>
      </c>
      <c r="N7" s="1570"/>
    </row>
    <row r="8" spans="1:16" x14ac:dyDescent="0.3">
      <c r="A8" s="1583" t="s">
        <v>828</v>
      </c>
      <c r="B8" s="2250">
        <v>0</v>
      </c>
      <c r="C8" s="1602" t="e">
        <f t="shared" si="0"/>
        <v>#DIV/0!</v>
      </c>
      <c r="D8" s="2250">
        <v>0</v>
      </c>
      <c r="E8" s="1602" t="e">
        <f t="shared" si="1"/>
        <v>#DIV/0!</v>
      </c>
      <c r="F8" s="2250">
        <v>0</v>
      </c>
      <c r="G8" s="1602" t="e">
        <f t="shared" si="2"/>
        <v>#DIV/0!</v>
      </c>
      <c r="H8" s="2250">
        <v>0</v>
      </c>
      <c r="I8" s="1602" t="e">
        <f t="shared" si="3"/>
        <v>#DIV/0!</v>
      </c>
      <c r="J8" s="2250">
        <v>0</v>
      </c>
      <c r="K8" s="1602" t="e">
        <f t="shared" si="4"/>
        <v>#DIV/0!</v>
      </c>
      <c r="L8" s="2250">
        <v>0</v>
      </c>
      <c r="M8" s="1603" t="e">
        <f t="shared" si="5"/>
        <v>#DIV/0!</v>
      </c>
      <c r="N8" s="1558"/>
    </row>
    <row r="9" spans="1:16" x14ac:dyDescent="0.3">
      <c r="A9" s="1587" t="s">
        <v>822</v>
      </c>
      <c r="B9" s="2250">
        <v>0</v>
      </c>
      <c r="C9" s="1602" t="e">
        <f t="shared" si="0"/>
        <v>#DIV/0!</v>
      </c>
      <c r="D9" s="2250">
        <v>0</v>
      </c>
      <c r="E9" s="1602" t="e">
        <f t="shared" si="1"/>
        <v>#DIV/0!</v>
      </c>
      <c r="F9" s="2250">
        <v>0</v>
      </c>
      <c r="G9" s="1602" t="e">
        <f t="shared" si="2"/>
        <v>#DIV/0!</v>
      </c>
      <c r="H9" s="2250">
        <v>0</v>
      </c>
      <c r="I9" s="1602" t="e">
        <f t="shared" si="3"/>
        <v>#DIV/0!</v>
      </c>
      <c r="J9" s="2250">
        <v>0</v>
      </c>
      <c r="K9" s="1602" t="e">
        <f t="shared" si="4"/>
        <v>#DIV/0!</v>
      </c>
      <c r="L9" s="2250">
        <v>0</v>
      </c>
      <c r="M9" s="1603" t="e">
        <f t="shared" si="5"/>
        <v>#DIV/0!</v>
      </c>
      <c r="N9" s="1558"/>
    </row>
    <row r="10" spans="1:16" x14ac:dyDescent="0.3">
      <c r="A10" s="1583" t="s">
        <v>827</v>
      </c>
      <c r="B10" s="2250">
        <v>0</v>
      </c>
      <c r="C10" s="1602" t="e">
        <f t="shared" si="0"/>
        <v>#DIV/0!</v>
      </c>
      <c r="D10" s="2250">
        <v>0</v>
      </c>
      <c r="E10" s="1602" t="e">
        <f t="shared" si="1"/>
        <v>#DIV/0!</v>
      </c>
      <c r="F10" s="2250">
        <v>0</v>
      </c>
      <c r="G10" s="1602" t="e">
        <f t="shared" si="2"/>
        <v>#DIV/0!</v>
      </c>
      <c r="H10" s="2250">
        <v>0</v>
      </c>
      <c r="I10" s="1602" t="e">
        <f t="shared" si="3"/>
        <v>#DIV/0!</v>
      </c>
      <c r="J10" s="2250">
        <v>0</v>
      </c>
      <c r="K10" s="1602" t="e">
        <f t="shared" si="4"/>
        <v>#DIV/0!</v>
      </c>
      <c r="L10" s="2250">
        <v>0</v>
      </c>
      <c r="M10" s="1603" t="e">
        <f t="shared" si="5"/>
        <v>#DIV/0!</v>
      </c>
      <c r="N10" s="1558"/>
    </row>
    <row r="11" spans="1:16" x14ac:dyDescent="0.3">
      <c r="A11" s="1587" t="s">
        <v>826</v>
      </c>
      <c r="B11" s="2250">
        <v>0</v>
      </c>
      <c r="C11" s="1602" t="e">
        <f t="shared" si="0"/>
        <v>#DIV/0!</v>
      </c>
      <c r="D11" s="2250">
        <v>0</v>
      </c>
      <c r="E11" s="1602" t="e">
        <f t="shared" si="1"/>
        <v>#DIV/0!</v>
      </c>
      <c r="F11" s="2250">
        <v>0</v>
      </c>
      <c r="G11" s="1602" t="e">
        <f t="shared" si="2"/>
        <v>#DIV/0!</v>
      </c>
      <c r="H11" s="2250">
        <v>0</v>
      </c>
      <c r="I11" s="1602" t="e">
        <f t="shared" si="3"/>
        <v>#DIV/0!</v>
      </c>
      <c r="J11" s="2250">
        <v>0</v>
      </c>
      <c r="K11" s="1602" t="e">
        <f t="shared" si="4"/>
        <v>#DIV/0!</v>
      </c>
      <c r="L11" s="2250">
        <v>0</v>
      </c>
      <c r="M11" s="1603" t="e">
        <f t="shared" si="5"/>
        <v>#DIV/0!</v>
      </c>
      <c r="N11" s="1558"/>
    </row>
    <row r="12" spans="1:16" x14ac:dyDescent="0.3">
      <c r="A12" s="1583" t="s">
        <v>271</v>
      </c>
      <c r="B12" s="2250">
        <v>0</v>
      </c>
      <c r="C12" s="1602" t="e">
        <f t="shared" si="0"/>
        <v>#DIV/0!</v>
      </c>
      <c r="D12" s="2250">
        <v>0</v>
      </c>
      <c r="E12" s="1602" t="e">
        <f t="shared" si="1"/>
        <v>#DIV/0!</v>
      </c>
      <c r="F12" s="2250">
        <v>0</v>
      </c>
      <c r="G12" s="1602" t="e">
        <f t="shared" si="2"/>
        <v>#DIV/0!</v>
      </c>
      <c r="H12" s="2250">
        <v>0</v>
      </c>
      <c r="I12" s="1602" t="e">
        <f t="shared" si="3"/>
        <v>#DIV/0!</v>
      </c>
      <c r="J12" s="2250">
        <v>0</v>
      </c>
      <c r="K12" s="1602" t="e">
        <f t="shared" si="4"/>
        <v>#DIV/0!</v>
      </c>
      <c r="L12" s="2250">
        <v>0</v>
      </c>
      <c r="M12" s="1603" t="e">
        <f t="shared" si="5"/>
        <v>#DIV/0!</v>
      </c>
      <c r="N12" s="1558"/>
    </row>
    <row r="13" spans="1:16" x14ac:dyDescent="0.3">
      <c r="A13" s="1579"/>
      <c r="B13" s="1557"/>
      <c r="C13" s="1558"/>
      <c r="D13" s="1557"/>
      <c r="E13" s="1558"/>
      <c r="F13" s="1557"/>
      <c r="G13" s="1558"/>
      <c r="H13" s="1557"/>
      <c r="I13" s="1558"/>
      <c r="J13" s="1557"/>
      <c r="K13" s="1558"/>
      <c r="L13" s="1557"/>
      <c r="M13" s="1577"/>
      <c r="N13" s="1558"/>
    </row>
    <row r="14" spans="1:16" x14ac:dyDescent="0.3">
      <c r="A14" s="1588" t="s">
        <v>844</v>
      </c>
      <c r="B14" s="1604">
        <f>SUM(B15:B22)</f>
        <v>0</v>
      </c>
      <c r="C14" s="1618" t="e">
        <f t="shared" ref="C14:C21" si="6">B14/B$23</f>
        <v>#DIV/0!</v>
      </c>
      <c r="D14" s="1604">
        <f>SUM(D15:D22)</f>
        <v>0</v>
      </c>
      <c r="E14" s="1618" t="e">
        <f t="shared" ref="E14:E21" si="7">D14/D$23</f>
        <v>#DIV/0!</v>
      </c>
      <c r="F14" s="1604">
        <f>SUM(F15:F22)</f>
        <v>0</v>
      </c>
      <c r="G14" s="1618" t="e">
        <f>F14/F$23</f>
        <v>#DIV/0!</v>
      </c>
      <c r="H14" s="1604">
        <f>SUM(H15:H22)</f>
        <v>0</v>
      </c>
      <c r="I14" s="1618" t="e">
        <f t="shared" ref="I14:I21" si="8">H14/H$23</f>
        <v>#DIV/0!</v>
      </c>
      <c r="J14" s="1604">
        <f>SUM(J15:J22)</f>
        <v>0</v>
      </c>
      <c r="K14" s="1618" t="e">
        <f t="shared" ref="K14:K21" si="9">J14/J$23</f>
        <v>#DIV/0!</v>
      </c>
      <c r="L14" s="1604">
        <f>SUM(L15:L22)</f>
        <v>0</v>
      </c>
      <c r="M14" s="1619" t="e">
        <f t="shared" ref="M14:M21" si="10">L14/L$23</f>
        <v>#DIV/0!</v>
      </c>
      <c r="N14" s="1570"/>
    </row>
    <row r="15" spans="1:16" x14ac:dyDescent="0.3">
      <c r="A15" s="1583" t="s">
        <v>272</v>
      </c>
      <c r="B15" s="2250">
        <v>0</v>
      </c>
      <c r="C15" s="1602" t="e">
        <f t="shared" si="6"/>
        <v>#DIV/0!</v>
      </c>
      <c r="D15" s="2250">
        <v>0</v>
      </c>
      <c r="E15" s="1602" t="e">
        <f t="shared" si="7"/>
        <v>#DIV/0!</v>
      </c>
      <c r="F15" s="2250">
        <v>0</v>
      </c>
      <c r="G15" s="1602" t="e">
        <f t="shared" ref="G15:G21" si="11">F15/F$23</f>
        <v>#DIV/0!</v>
      </c>
      <c r="H15" s="2250">
        <v>0</v>
      </c>
      <c r="I15" s="1602" t="e">
        <f t="shared" si="8"/>
        <v>#DIV/0!</v>
      </c>
      <c r="J15" s="2250">
        <v>0</v>
      </c>
      <c r="K15" s="1602" t="e">
        <f t="shared" si="9"/>
        <v>#DIV/0!</v>
      </c>
      <c r="L15" s="2250">
        <v>0</v>
      </c>
      <c r="M15" s="1603" t="e">
        <f t="shared" si="10"/>
        <v>#DIV/0!</v>
      </c>
      <c r="N15" s="1558"/>
    </row>
    <row r="16" spans="1:16" x14ac:dyDescent="0.3">
      <c r="A16" s="1583" t="s">
        <v>894</v>
      </c>
      <c r="B16" s="2250">
        <v>0</v>
      </c>
      <c r="C16" s="1602" t="e">
        <f t="shared" si="6"/>
        <v>#DIV/0!</v>
      </c>
      <c r="D16" s="2250">
        <v>0</v>
      </c>
      <c r="E16" s="1602" t="e">
        <f t="shared" si="7"/>
        <v>#DIV/0!</v>
      </c>
      <c r="F16" s="2250">
        <v>0</v>
      </c>
      <c r="G16" s="1602" t="e">
        <f t="shared" si="11"/>
        <v>#DIV/0!</v>
      </c>
      <c r="H16" s="2250">
        <v>0</v>
      </c>
      <c r="I16" s="1602" t="e">
        <f t="shared" si="8"/>
        <v>#DIV/0!</v>
      </c>
      <c r="J16" s="2250">
        <v>0</v>
      </c>
      <c r="K16" s="1602" t="e">
        <f t="shared" si="9"/>
        <v>#DIV/0!</v>
      </c>
      <c r="L16" s="2250">
        <v>0</v>
      </c>
      <c r="M16" s="1603" t="e">
        <f t="shared" si="10"/>
        <v>#DIV/0!</v>
      </c>
      <c r="N16" s="1558"/>
    </row>
    <row r="17" spans="1:14" x14ac:dyDescent="0.3">
      <c r="A17" s="1583" t="s">
        <v>1002</v>
      </c>
      <c r="B17" s="2250">
        <v>0</v>
      </c>
      <c r="C17" s="1602" t="e">
        <f t="shared" si="6"/>
        <v>#DIV/0!</v>
      </c>
      <c r="D17" s="2250">
        <v>0</v>
      </c>
      <c r="E17" s="1602" t="e">
        <f t="shared" si="7"/>
        <v>#DIV/0!</v>
      </c>
      <c r="F17" s="2250">
        <v>0</v>
      </c>
      <c r="G17" s="1602" t="e">
        <f t="shared" si="11"/>
        <v>#DIV/0!</v>
      </c>
      <c r="H17" s="2250">
        <v>0</v>
      </c>
      <c r="I17" s="1602" t="e">
        <f t="shared" si="8"/>
        <v>#DIV/0!</v>
      </c>
      <c r="J17" s="2250">
        <v>0</v>
      </c>
      <c r="K17" s="1602" t="e">
        <f t="shared" si="9"/>
        <v>#DIV/0!</v>
      </c>
      <c r="L17" s="2250">
        <v>0</v>
      </c>
      <c r="M17" s="1603" t="e">
        <f t="shared" si="10"/>
        <v>#DIV/0!</v>
      </c>
      <c r="N17" s="1558"/>
    </row>
    <row r="18" spans="1:14" x14ac:dyDescent="0.3">
      <c r="A18" s="1583" t="s">
        <v>114</v>
      </c>
      <c r="B18" s="2250">
        <v>0</v>
      </c>
      <c r="C18" s="1602" t="e">
        <f t="shared" si="6"/>
        <v>#DIV/0!</v>
      </c>
      <c r="D18" s="2250">
        <v>0</v>
      </c>
      <c r="E18" s="1602" t="e">
        <f t="shared" si="7"/>
        <v>#DIV/0!</v>
      </c>
      <c r="F18" s="2250">
        <v>0</v>
      </c>
      <c r="G18" s="1602" t="e">
        <f t="shared" si="11"/>
        <v>#DIV/0!</v>
      </c>
      <c r="H18" s="2250">
        <v>0</v>
      </c>
      <c r="I18" s="1602" t="e">
        <f t="shared" si="8"/>
        <v>#DIV/0!</v>
      </c>
      <c r="J18" s="2250">
        <v>0</v>
      </c>
      <c r="K18" s="1602" t="e">
        <f t="shared" si="9"/>
        <v>#DIV/0!</v>
      </c>
      <c r="L18" s="2250">
        <v>0</v>
      </c>
      <c r="M18" s="1603" t="e">
        <f t="shared" si="10"/>
        <v>#DIV/0!</v>
      </c>
      <c r="N18" s="1558"/>
    </row>
    <row r="19" spans="1:14" x14ac:dyDescent="0.3">
      <c r="A19" s="1583" t="s">
        <v>1046</v>
      </c>
      <c r="B19" s="2250">
        <v>0</v>
      </c>
      <c r="C19" s="1602" t="e">
        <f t="shared" si="6"/>
        <v>#DIV/0!</v>
      </c>
      <c r="D19" s="2250">
        <v>0</v>
      </c>
      <c r="E19" s="1602" t="e">
        <f t="shared" si="7"/>
        <v>#DIV/0!</v>
      </c>
      <c r="F19" s="2250">
        <v>0</v>
      </c>
      <c r="G19" s="1602" t="e">
        <f t="shared" si="11"/>
        <v>#DIV/0!</v>
      </c>
      <c r="H19" s="2250">
        <v>0</v>
      </c>
      <c r="I19" s="1602" t="e">
        <f t="shared" si="8"/>
        <v>#DIV/0!</v>
      </c>
      <c r="J19" s="2250">
        <v>0</v>
      </c>
      <c r="K19" s="1602" t="e">
        <f t="shared" si="9"/>
        <v>#DIV/0!</v>
      </c>
      <c r="L19" s="2250">
        <v>0</v>
      </c>
      <c r="M19" s="1603" t="e">
        <f t="shared" si="10"/>
        <v>#DIV/0!</v>
      </c>
      <c r="N19" s="1558"/>
    </row>
    <row r="20" spans="1:14" x14ac:dyDescent="0.3">
      <c r="A20" s="1583" t="s">
        <v>1001</v>
      </c>
      <c r="B20" s="2250">
        <v>0</v>
      </c>
      <c r="C20" s="1602" t="e">
        <f t="shared" si="6"/>
        <v>#DIV/0!</v>
      </c>
      <c r="D20" s="2250">
        <v>0</v>
      </c>
      <c r="E20" s="1602" t="e">
        <f t="shared" si="7"/>
        <v>#DIV/0!</v>
      </c>
      <c r="F20" s="2250">
        <v>0</v>
      </c>
      <c r="G20" s="1602" t="e">
        <f t="shared" si="11"/>
        <v>#DIV/0!</v>
      </c>
      <c r="H20" s="2250">
        <v>0</v>
      </c>
      <c r="I20" s="1602" t="e">
        <f t="shared" si="8"/>
        <v>#DIV/0!</v>
      </c>
      <c r="J20" s="2250">
        <v>0</v>
      </c>
      <c r="K20" s="1602" t="e">
        <f t="shared" si="9"/>
        <v>#DIV/0!</v>
      </c>
      <c r="L20" s="2250">
        <v>0</v>
      </c>
      <c r="M20" s="1603" t="e">
        <f t="shared" si="10"/>
        <v>#DIV/0!</v>
      </c>
      <c r="N20" s="1558"/>
    </row>
    <row r="21" spans="1:14" x14ac:dyDescent="0.3">
      <c r="A21" s="1583" t="s">
        <v>895</v>
      </c>
      <c r="B21" s="2250">
        <v>0</v>
      </c>
      <c r="C21" s="1602" t="e">
        <f t="shared" si="6"/>
        <v>#DIV/0!</v>
      </c>
      <c r="D21" s="2250">
        <v>0</v>
      </c>
      <c r="E21" s="1602" t="e">
        <f t="shared" si="7"/>
        <v>#DIV/0!</v>
      </c>
      <c r="F21" s="2250">
        <v>0</v>
      </c>
      <c r="G21" s="1602" t="e">
        <f t="shared" si="11"/>
        <v>#DIV/0!</v>
      </c>
      <c r="H21" s="2250">
        <v>0</v>
      </c>
      <c r="I21" s="1602" t="e">
        <f t="shared" si="8"/>
        <v>#DIV/0!</v>
      </c>
      <c r="J21" s="2250">
        <v>0</v>
      </c>
      <c r="K21" s="1602" t="e">
        <f t="shared" si="9"/>
        <v>#DIV/0!</v>
      </c>
      <c r="L21" s="2250">
        <v>0</v>
      </c>
      <c r="M21" s="1603" t="e">
        <f t="shared" si="10"/>
        <v>#DIV/0!</v>
      </c>
      <c r="N21" s="1558"/>
    </row>
    <row r="22" spans="1:14" x14ac:dyDescent="0.3">
      <c r="A22" s="1579"/>
      <c r="B22" s="1557"/>
      <c r="C22" s="1558"/>
      <c r="D22" s="1557"/>
      <c r="E22" s="1558"/>
      <c r="F22" s="1557"/>
      <c r="G22" s="1558"/>
      <c r="H22" s="1557"/>
      <c r="I22" s="1558"/>
      <c r="J22" s="1557"/>
      <c r="K22" s="1558"/>
      <c r="L22" s="1557"/>
      <c r="M22" s="1577"/>
      <c r="N22" s="1558"/>
    </row>
    <row r="23" spans="1:14" ht="20.25" thickBot="1" x14ac:dyDescent="0.35">
      <c r="A23" s="2111" t="s">
        <v>854</v>
      </c>
      <c r="B23" s="2112">
        <f>B7+B14</f>
        <v>0</v>
      </c>
      <c r="C23" s="2114" t="e">
        <f>C7+C14</f>
        <v>#DIV/0!</v>
      </c>
      <c r="D23" s="2112">
        <f t="shared" ref="D23:M23" si="12">D7+D14</f>
        <v>0</v>
      </c>
      <c r="E23" s="2114" t="e">
        <f t="shared" si="12"/>
        <v>#DIV/0!</v>
      </c>
      <c r="F23" s="2112">
        <f t="shared" si="12"/>
        <v>0</v>
      </c>
      <c r="G23" s="2114" t="e">
        <f t="shared" si="12"/>
        <v>#DIV/0!</v>
      </c>
      <c r="H23" s="2112">
        <f t="shared" si="12"/>
        <v>0</v>
      </c>
      <c r="I23" s="2114" t="e">
        <f t="shared" si="12"/>
        <v>#DIV/0!</v>
      </c>
      <c r="J23" s="2112">
        <f t="shared" si="12"/>
        <v>0</v>
      </c>
      <c r="K23" s="2114" t="e">
        <f t="shared" si="12"/>
        <v>#DIV/0!</v>
      </c>
      <c r="L23" s="2112">
        <f t="shared" si="12"/>
        <v>0</v>
      </c>
      <c r="M23" s="2115" t="e">
        <f t="shared" si="12"/>
        <v>#DIV/0!</v>
      </c>
      <c r="N23" s="1571"/>
    </row>
    <row r="24" spans="1:14" s="1559" customFormat="1" ht="33" customHeight="1" thickBot="1" x14ac:dyDescent="0.35">
      <c r="A24" s="1556"/>
      <c r="B24" s="1557"/>
      <c r="C24" s="1558"/>
      <c r="D24" s="1557"/>
      <c r="E24" s="1558"/>
      <c r="F24" s="1557"/>
      <c r="G24" s="1558"/>
      <c r="H24" s="1557"/>
      <c r="I24" s="1558"/>
      <c r="J24" s="1557"/>
      <c r="K24" s="1558"/>
      <c r="L24" s="1557"/>
      <c r="M24" s="1558"/>
      <c r="N24" s="1558"/>
    </row>
    <row r="25" spans="1:14" x14ac:dyDescent="0.3">
      <c r="A25" s="1608" t="s">
        <v>1117</v>
      </c>
      <c r="B25" s="1609">
        <f>SUM(B26:B31)</f>
        <v>0</v>
      </c>
      <c r="C25" s="1610" t="e">
        <f t="shared" ref="C25:C30" si="13">B25/B$46</f>
        <v>#DIV/0!</v>
      </c>
      <c r="D25" s="1609">
        <f>SUM(D26:D31)</f>
        <v>0</v>
      </c>
      <c r="E25" s="1610" t="e">
        <f t="shared" ref="E25:E30" si="14">D25/D$46</f>
        <v>#DIV/0!</v>
      </c>
      <c r="F25" s="1609">
        <f>SUM(F26:F31)</f>
        <v>0</v>
      </c>
      <c r="G25" s="1610" t="e">
        <f t="shared" ref="G25:G30" si="15">F25/F$46</f>
        <v>#DIV/0!</v>
      </c>
      <c r="H25" s="1609">
        <f>SUM(H26:H31)</f>
        <v>0</v>
      </c>
      <c r="I25" s="1610" t="e">
        <f t="shared" ref="I25:I30" si="16">H25/H$46</f>
        <v>#DIV/0!</v>
      </c>
      <c r="J25" s="1609">
        <f>SUM(J26:J31)</f>
        <v>0</v>
      </c>
      <c r="K25" s="1610" t="e">
        <f t="shared" ref="K25:K30" si="17">J25/J$46</f>
        <v>#DIV/0!</v>
      </c>
      <c r="L25" s="1609">
        <f>SUM(L26:L31)</f>
        <v>0</v>
      </c>
      <c r="M25" s="1611" t="e">
        <f t="shared" ref="M25:M30" si="18">L25/L$46</f>
        <v>#DIV/0!</v>
      </c>
      <c r="N25" s="1572"/>
    </row>
    <row r="26" spans="1:14" x14ac:dyDescent="0.3">
      <c r="A26" s="1612" t="str">
        <f>IF(irpf=0,"Capital Social","Fondo Social")</f>
        <v>Fondo Social</v>
      </c>
      <c r="B26" s="2250">
        <v>0</v>
      </c>
      <c r="C26" s="1602" t="e">
        <f t="shared" si="13"/>
        <v>#DIV/0!</v>
      </c>
      <c r="D26" s="2250">
        <v>0</v>
      </c>
      <c r="E26" s="1602" t="e">
        <f t="shared" si="14"/>
        <v>#DIV/0!</v>
      </c>
      <c r="F26" s="2250">
        <v>0</v>
      </c>
      <c r="G26" s="1602" t="e">
        <f t="shared" si="15"/>
        <v>#DIV/0!</v>
      </c>
      <c r="H26" s="2250">
        <v>0</v>
      </c>
      <c r="I26" s="1602" t="e">
        <f t="shared" si="16"/>
        <v>#DIV/0!</v>
      </c>
      <c r="J26" s="2250">
        <v>0</v>
      </c>
      <c r="K26" s="1602" t="e">
        <f t="shared" si="17"/>
        <v>#DIV/0!</v>
      </c>
      <c r="L26" s="2250">
        <v>0</v>
      </c>
      <c r="M26" s="1603" t="e">
        <f t="shared" si="18"/>
        <v>#DIV/0!</v>
      </c>
      <c r="N26" s="1558"/>
    </row>
    <row r="27" spans="1:14" x14ac:dyDescent="0.3">
      <c r="A27" s="1613" t="s">
        <v>941</v>
      </c>
      <c r="B27" s="2250">
        <v>0</v>
      </c>
      <c r="C27" s="1602" t="e">
        <f>B27/B$46</f>
        <v>#DIV/0!</v>
      </c>
      <c r="D27" s="2250">
        <v>0</v>
      </c>
      <c r="E27" s="1602" t="e">
        <f t="shared" si="14"/>
        <v>#DIV/0!</v>
      </c>
      <c r="F27" s="2250">
        <v>0</v>
      </c>
      <c r="G27" s="1602" t="e">
        <f>F27/F$46</f>
        <v>#DIV/0!</v>
      </c>
      <c r="H27" s="2250">
        <v>0</v>
      </c>
      <c r="I27" s="1602" t="e">
        <f t="shared" si="16"/>
        <v>#DIV/0!</v>
      </c>
      <c r="J27" s="2250">
        <v>0</v>
      </c>
      <c r="K27" s="1602" t="e">
        <f t="shared" si="17"/>
        <v>#DIV/0!</v>
      </c>
      <c r="L27" s="2250">
        <v>0</v>
      </c>
      <c r="M27" s="1603" t="e">
        <f t="shared" si="18"/>
        <v>#DIV/0!</v>
      </c>
      <c r="N27" s="1558"/>
    </row>
    <row r="28" spans="1:14" x14ac:dyDescent="0.3">
      <c r="A28" s="1613" t="s">
        <v>1003</v>
      </c>
      <c r="B28" s="2250">
        <v>0</v>
      </c>
      <c r="C28" s="1602" t="e">
        <f t="shared" si="13"/>
        <v>#DIV/0!</v>
      </c>
      <c r="D28" s="2250">
        <v>0</v>
      </c>
      <c r="E28" s="1602" t="e">
        <f t="shared" si="14"/>
        <v>#DIV/0!</v>
      </c>
      <c r="F28" s="2250">
        <v>0</v>
      </c>
      <c r="G28" s="1602" t="e">
        <f t="shared" si="15"/>
        <v>#DIV/0!</v>
      </c>
      <c r="H28" s="2250">
        <v>0</v>
      </c>
      <c r="I28" s="1602" t="e">
        <f t="shared" si="16"/>
        <v>#DIV/0!</v>
      </c>
      <c r="J28" s="2250">
        <v>0</v>
      </c>
      <c r="K28" s="1602" t="e">
        <f t="shared" si="17"/>
        <v>#DIV/0!</v>
      </c>
      <c r="L28" s="2250">
        <v>0</v>
      </c>
      <c r="M28" s="1603" t="e">
        <f t="shared" si="18"/>
        <v>#DIV/0!</v>
      </c>
      <c r="N28" s="1558"/>
    </row>
    <row r="29" spans="1:14" x14ac:dyDescent="0.3">
      <c r="A29" s="1613" t="s">
        <v>1004</v>
      </c>
      <c r="B29" s="2250">
        <v>0</v>
      </c>
      <c r="C29" s="1602" t="e">
        <f t="shared" si="13"/>
        <v>#DIV/0!</v>
      </c>
      <c r="D29" s="2250">
        <v>0</v>
      </c>
      <c r="E29" s="1602" t="e">
        <f t="shared" si="14"/>
        <v>#DIV/0!</v>
      </c>
      <c r="F29" s="2250">
        <v>0</v>
      </c>
      <c r="G29" s="1602" t="e">
        <f t="shared" si="15"/>
        <v>#DIV/0!</v>
      </c>
      <c r="H29" s="2250">
        <v>0</v>
      </c>
      <c r="I29" s="1602" t="e">
        <f t="shared" si="16"/>
        <v>#DIV/0!</v>
      </c>
      <c r="J29" s="2250">
        <v>0</v>
      </c>
      <c r="K29" s="1602" t="e">
        <f t="shared" si="17"/>
        <v>#DIV/0!</v>
      </c>
      <c r="L29" s="2250">
        <v>0</v>
      </c>
      <c r="M29" s="1603" t="e">
        <f t="shared" si="18"/>
        <v>#DIV/0!</v>
      </c>
      <c r="N29" s="1558"/>
    </row>
    <row r="30" spans="1:14" x14ac:dyDescent="0.3">
      <c r="A30" s="1613" t="s">
        <v>1034</v>
      </c>
      <c r="B30" s="2250">
        <v>0</v>
      </c>
      <c r="C30" s="1602" t="e">
        <f t="shared" si="13"/>
        <v>#DIV/0!</v>
      </c>
      <c r="D30" s="2250">
        <v>0</v>
      </c>
      <c r="E30" s="1602" t="e">
        <f t="shared" si="14"/>
        <v>#DIV/0!</v>
      </c>
      <c r="F30" s="2250">
        <v>0</v>
      </c>
      <c r="G30" s="1602" t="e">
        <f t="shared" si="15"/>
        <v>#DIV/0!</v>
      </c>
      <c r="H30" s="2250">
        <v>0</v>
      </c>
      <c r="I30" s="1602" t="e">
        <f t="shared" si="16"/>
        <v>#DIV/0!</v>
      </c>
      <c r="J30" s="2250">
        <v>0</v>
      </c>
      <c r="K30" s="1602" t="e">
        <f t="shared" si="17"/>
        <v>#DIV/0!</v>
      </c>
      <c r="L30" s="2250">
        <v>0</v>
      </c>
      <c r="M30" s="1603" t="e">
        <f t="shared" si="18"/>
        <v>#DIV/0!</v>
      </c>
      <c r="N30" s="1558"/>
    </row>
    <row r="31" spans="1:14" ht="16.5" customHeight="1" x14ac:dyDescent="0.3">
      <c r="A31" s="1614"/>
      <c r="B31" s="1601"/>
      <c r="C31" s="1602"/>
      <c r="D31" s="1601"/>
      <c r="E31" s="1602"/>
      <c r="F31" s="1601"/>
      <c r="G31" s="1602"/>
      <c r="H31" s="1601"/>
      <c r="I31" s="1602"/>
      <c r="J31" s="1601"/>
      <c r="K31" s="1602"/>
      <c r="L31" s="1601"/>
      <c r="M31" s="1603"/>
      <c r="N31" s="1558"/>
    </row>
    <row r="32" spans="1:14" x14ac:dyDescent="0.3">
      <c r="A32" s="1615" t="s">
        <v>1118</v>
      </c>
      <c r="B32" s="1604">
        <f>SUM(B33:B34)</f>
        <v>0</v>
      </c>
      <c r="C32" s="1618" t="e">
        <f>B32/B$46</f>
        <v>#DIV/0!</v>
      </c>
      <c r="D32" s="1604">
        <f>SUM(D33:D34)</f>
        <v>0</v>
      </c>
      <c r="E32" s="1618" t="e">
        <f>D32/D$46</f>
        <v>#DIV/0!</v>
      </c>
      <c r="F32" s="1604">
        <f>SUM(F33:F34)</f>
        <v>0</v>
      </c>
      <c r="G32" s="1618" t="e">
        <f>F32/F$46</f>
        <v>#DIV/0!</v>
      </c>
      <c r="H32" s="1604">
        <f>SUM(H33:H34)</f>
        <v>0</v>
      </c>
      <c r="I32" s="1618" t="e">
        <f>H32/H$46</f>
        <v>#DIV/0!</v>
      </c>
      <c r="J32" s="1604">
        <f>SUM(J33:J34)</f>
        <v>0</v>
      </c>
      <c r="K32" s="1618" t="e">
        <f>J32/J$46</f>
        <v>#DIV/0!</v>
      </c>
      <c r="L32" s="1604">
        <f>SUM(L33:L34)</f>
        <v>0</v>
      </c>
      <c r="M32" s="1619" t="e">
        <f>L32/L$46</f>
        <v>#DIV/0!</v>
      </c>
      <c r="N32" s="1573"/>
    </row>
    <row r="33" spans="1:212" x14ac:dyDescent="0.3">
      <c r="A33" s="1613" t="s">
        <v>945</v>
      </c>
      <c r="B33" s="2250">
        <v>0</v>
      </c>
      <c r="C33" s="1602" t="e">
        <f>B33/B$46</f>
        <v>#DIV/0!</v>
      </c>
      <c r="D33" s="2250">
        <v>0</v>
      </c>
      <c r="E33" s="1602" t="e">
        <f>D33/D$46</f>
        <v>#DIV/0!</v>
      </c>
      <c r="F33" s="2250">
        <v>0</v>
      </c>
      <c r="G33" s="1602" t="e">
        <f>F33/F$46</f>
        <v>#DIV/0!</v>
      </c>
      <c r="H33" s="2250">
        <f>F33-H37</f>
        <v>0</v>
      </c>
      <c r="I33" s="1602" t="e">
        <f>H33/H$46</f>
        <v>#DIV/0!</v>
      </c>
      <c r="J33" s="2250">
        <v>0</v>
      </c>
      <c r="K33" s="1602" t="e">
        <f>J33/J$46</f>
        <v>#DIV/0!</v>
      </c>
      <c r="L33" s="2250">
        <f>J33-L37</f>
        <v>0</v>
      </c>
      <c r="M33" s="1603" t="e">
        <f>L33/L$46</f>
        <v>#DIV/0!</v>
      </c>
      <c r="N33" s="1558"/>
    </row>
    <row r="34" spans="1:212" x14ac:dyDescent="0.3">
      <c r="A34" s="1613" t="s">
        <v>883</v>
      </c>
      <c r="B34" s="2250">
        <v>0</v>
      </c>
      <c r="C34" s="1602" t="e">
        <f>B34/B$46</f>
        <v>#DIV/0!</v>
      </c>
      <c r="D34" s="2250">
        <v>0</v>
      </c>
      <c r="E34" s="1602" t="e">
        <f>D34/D$46</f>
        <v>#DIV/0!</v>
      </c>
      <c r="F34" s="2250">
        <v>0</v>
      </c>
      <c r="G34" s="1602" t="e">
        <f>F34/F$46</f>
        <v>#DIV/0!</v>
      </c>
      <c r="H34" s="2250">
        <f>F34-'Otros cobros y pagos'!N90</f>
        <v>0</v>
      </c>
      <c r="I34" s="1602" t="e">
        <f>H34/H$46</f>
        <v>#DIV/0!</v>
      </c>
      <c r="J34" s="2250">
        <v>0</v>
      </c>
      <c r="K34" s="1602" t="e">
        <f>J34/J$46</f>
        <v>#DIV/0!</v>
      </c>
      <c r="L34" s="2250">
        <f>J34</f>
        <v>0</v>
      </c>
      <c r="M34" s="1603" t="e">
        <f>L34/L$46</f>
        <v>#DIV/0!</v>
      </c>
      <c r="N34" s="1558"/>
    </row>
    <row r="35" spans="1:212" x14ac:dyDescent="0.3">
      <c r="A35" s="1614"/>
      <c r="B35" s="1601"/>
      <c r="C35" s="1602"/>
      <c r="D35" s="1601"/>
      <c r="E35" s="1602"/>
      <c r="F35" s="1601"/>
      <c r="G35" s="1602"/>
      <c r="H35" s="1601"/>
      <c r="I35" s="1602"/>
      <c r="J35" s="1601"/>
      <c r="K35" s="1602"/>
      <c r="L35" s="1601"/>
      <c r="M35" s="1603"/>
      <c r="N35" s="1558"/>
    </row>
    <row r="36" spans="1:212" x14ac:dyDescent="0.3">
      <c r="A36" s="1615" t="s">
        <v>1119</v>
      </c>
      <c r="B36" s="1604">
        <f>SUM(B37:B42)</f>
        <v>0</v>
      </c>
      <c r="C36" s="1618" t="e">
        <f t="shared" ref="C36:C44" si="19">B36/B$46</f>
        <v>#DIV/0!</v>
      </c>
      <c r="D36" s="1604">
        <f>SUM(D37:D42)</f>
        <v>0</v>
      </c>
      <c r="E36" s="1618" t="e">
        <f t="shared" ref="E36:E44" si="20">D36/D$46</f>
        <v>#DIV/0!</v>
      </c>
      <c r="F36" s="1604">
        <f>SUM(F37:F42)</f>
        <v>0</v>
      </c>
      <c r="G36" s="1618" t="e">
        <f t="shared" ref="G36:G44" si="21">F36/F$46</f>
        <v>#DIV/0!</v>
      </c>
      <c r="H36" s="1604">
        <f>SUM(H37:H42)</f>
        <v>0</v>
      </c>
      <c r="I36" s="1618" t="e">
        <f t="shared" ref="I36:I44" si="22">H36/H$46</f>
        <v>#DIV/0!</v>
      </c>
      <c r="J36" s="1604">
        <f>SUM(J37:J42)</f>
        <v>0</v>
      </c>
      <c r="K36" s="1618" t="e">
        <f t="shared" ref="K36:K44" si="23">J36/J$46</f>
        <v>#DIV/0!</v>
      </c>
      <c r="L36" s="1604">
        <f>SUM(L37:L42)</f>
        <v>0</v>
      </c>
      <c r="M36" s="1619" t="e">
        <f t="shared" ref="M36:M44" si="24">L36/L$46</f>
        <v>#DIV/0!</v>
      </c>
      <c r="N36" s="1573"/>
    </row>
    <row r="37" spans="1:212" x14ac:dyDescent="0.3">
      <c r="A37" s="1613" t="s">
        <v>946</v>
      </c>
      <c r="B37" s="2250">
        <v>0</v>
      </c>
      <c r="C37" s="1602" t="e">
        <f t="shared" si="19"/>
        <v>#DIV/0!</v>
      </c>
      <c r="D37" s="2250">
        <v>0</v>
      </c>
      <c r="E37" s="1602" t="e">
        <f t="shared" si="20"/>
        <v>#DIV/0!</v>
      </c>
      <c r="F37" s="2250">
        <v>0</v>
      </c>
      <c r="G37" s="1602" t="e">
        <f t="shared" si="21"/>
        <v>#DIV/0!</v>
      </c>
      <c r="H37" s="2250">
        <v>0</v>
      </c>
      <c r="I37" s="1602" t="e">
        <f t="shared" si="22"/>
        <v>#DIV/0!</v>
      </c>
      <c r="J37" s="2250">
        <v>0</v>
      </c>
      <c r="K37" s="1602" t="e">
        <f t="shared" si="23"/>
        <v>#DIV/0!</v>
      </c>
      <c r="L37" s="2250">
        <v>0</v>
      </c>
      <c r="M37" s="1603" t="e">
        <f t="shared" si="24"/>
        <v>#DIV/0!</v>
      </c>
      <c r="N37" s="1558"/>
    </row>
    <row r="38" spans="1:212" x14ac:dyDescent="0.3">
      <c r="A38" s="1613" t="s">
        <v>1009</v>
      </c>
      <c r="B38" s="2250">
        <v>0</v>
      </c>
      <c r="C38" s="1602" t="e">
        <f t="shared" si="19"/>
        <v>#DIV/0!</v>
      </c>
      <c r="D38" s="2250">
        <v>0</v>
      </c>
      <c r="E38" s="1602" t="e">
        <f t="shared" si="20"/>
        <v>#DIV/0!</v>
      </c>
      <c r="F38" s="2250">
        <v>0</v>
      </c>
      <c r="G38" s="1602" t="e">
        <f t="shared" si="21"/>
        <v>#DIV/0!</v>
      </c>
      <c r="H38" s="2250">
        <v>0</v>
      </c>
      <c r="I38" s="1602" t="e">
        <f>H38/H$46</f>
        <v>#DIV/0!</v>
      </c>
      <c r="J38" s="2250">
        <v>0</v>
      </c>
      <c r="K38" s="1602" t="e">
        <f t="shared" si="23"/>
        <v>#DIV/0!</v>
      </c>
      <c r="L38" s="2250">
        <v>0</v>
      </c>
      <c r="M38" s="1603" t="e">
        <f t="shared" si="24"/>
        <v>#DIV/0!</v>
      </c>
      <c r="N38" s="1558"/>
    </row>
    <row r="39" spans="1:212" x14ac:dyDescent="0.3">
      <c r="A39" s="1613" t="s">
        <v>979</v>
      </c>
      <c r="B39" s="2250">
        <v>0</v>
      </c>
      <c r="C39" s="1602" t="e">
        <f t="shared" si="19"/>
        <v>#DIV/0!</v>
      </c>
      <c r="D39" s="2250">
        <v>0</v>
      </c>
      <c r="E39" s="1602" t="e">
        <f t="shared" si="20"/>
        <v>#DIV/0!</v>
      </c>
      <c r="F39" s="2250">
        <v>0</v>
      </c>
      <c r="G39" s="1602" t="e">
        <f t="shared" si="21"/>
        <v>#DIV/0!</v>
      </c>
      <c r="H39" s="2250">
        <v>0</v>
      </c>
      <c r="I39" s="1602" t="e">
        <f t="shared" si="22"/>
        <v>#DIV/0!</v>
      </c>
      <c r="J39" s="2250">
        <v>0</v>
      </c>
      <c r="K39" s="1602" t="e">
        <f t="shared" si="23"/>
        <v>#DIV/0!</v>
      </c>
      <c r="L39" s="2250">
        <v>0</v>
      </c>
      <c r="M39" s="1603" t="e">
        <f t="shared" si="24"/>
        <v>#DIV/0!</v>
      </c>
      <c r="N39" s="1558"/>
    </row>
    <row r="40" spans="1:212" x14ac:dyDescent="0.3">
      <c r="A40" s="1613" t="s">
        <v>994</v>
      </c>
      <c r="B40" s="2250">
        <v>0</v>
      </c>
      <c r="C40" s="1602" t="e">
        <f t="shared" si="19"/>
        <v>#DIV/0!</v>
      </c>
      <c r="D40" s="2250">
        <v>0</v>
      </c>
      <c r="E40" s="1602" t="e">
        <f t="shared" si="20"/>
        <v>#DIV/0!</v>
      </c>
      <c r="F40" s="2250">
        <v>0</v>
      </c>
      <c r="G40" s="1602" t="e">
        <f t="shared" si="21"/>
        <v>#DIV/0!</v>
      </c>
      <c r="H40" s="2250">
        <v>0</v>
      </c>
      <c r="I40" s="1602" t="e">
        <f t="shared" si="22"/>
        <v>#DIV/0!</v>
      </c>
      <c r="J40" s="2250">
        <v>0</v>
      </c>
      <c r="K40" s="1602" t="e">
        <f t="shared" si="23"/>
        <v>#DIV/0!</v>
      </c>
      <c r="L40" s="2250">
        <v>0</v>
      </c>
      <c r="M40" s="1603" t="e">
        <f t="shared" si="24"/>
        <v>#DIV/0!</v>
      </c>
      <c r="N40" s="1558"/>
    </row>
    <row r="41" spans="1:212" x14ac:dyDescent="0.3">
      <c r="A41" s="1613" t="s">
        <v>115</v>
      </c>
      <c r="B41" s="2250">
        <v>0</v>
      </c>
      <c r="C41" s="1602" t="e">
        <f t="shared" si="19"/>
        <v>#DIV/0!</v>
      </c>
      <c r="D41" s="2250">
        <v>0</v>
      </c>
      <c r="E41" s="1602" t="e">
        <f t="shared" si="20"/>
        <v>#DIV/0!</v>
      </c>
      <c r="F41" s="2250">
        <v>0</v>
      </c>
      <c r="G41" s="1602" t="e">
        <f t="shared" si="21"/>
        <v>#DIV/0!</v>
      </c>
      <c r="H41" s="2250">
        <v>0</v>
      </c>
      <c r="I41" s="1602" t="e">
        <f t="shared" si="22"/>
        <v>#DIV/0!</v>
      </c>
      <c r="J41" s="2250">
        <v>0</v>
      </c>
      <c r="K41" s="1602" t="e">
        <f t="shared" si="23"/>
        <v>#DIV/0!</v>
      </c>
      <c r="L41" s="2250">
        <v>0</v>
      </c>
      <c r="M41" s="1603" t="e">
        <f t="shared" si="24"/>
        <v>#DIV/0!</v>
      </c>
      <c r="N41" s="1558"/>
    </row>
    <row r="42" spans="1:212" x14ac:dyDescent="0.3">
      <c r="A42" s="1613" t="s">
        <v>884</v>
      </c>
      <c r="B42" s="2250">
        <v>0</v>
      </c>
      <c r="C42" s="1602" t="e">
        <f t="shared" si="19"/>
        <v>#DIV/0!</v>
      </c>
      <c r="D42" s="2250">
        <v>0</v>
      </c>
      <c r="E42" s="1602" t="e">
        <f t="shared" si="20"/>
        <v>#DIV/0!</v>
      </c>
      <c r="F42" s="2250">
        <v>0</v>
      </c>
      <c r="G42" s="1602" t="e">
        <f t="shared" si="21"/>
        <v>#DIV/0!</v>
      </c>
      <c r="H42" s="2250">
        <v>0</v>
      </c>
      <c r="I42" s="1602" t="e">
        <f t="shared" si="22"/>
        <v>#DIV/0!</v>
      </c>
      <c r="J42" s="2250">
        <v>0</v>
      </c>
      <c r="K42" s="1602" t="e">
        <f t="shared" si="23"/>
        <v>#DIV/0!</v>
      </c>
      <c r="L42" s="2250">
        <v>0</v>
      </c>
      <c r="M42" s="1603" t="e">
        <f t="shared" si="24"/>
        <v>#DIV/0!</v>
      </c>
      <c r="N42" s="1558"/>
    </row>
    <row r="43" spans="1:212" s="303" customFormat="1" x14ac:dyDescent="0.3">
      <c r="A43" s="1616" t="s">
        <v>896</v>
      </c>
      <c r="B43" s="1617">
        <f>B25+B32</f>
        <v>0</v>
      </c>
      <c r="C43" s="1602" t="e">
        <f t="shared" si="19"/>
        <v>#DIV/0!</v>
      </c>
      <c r="D43" s="1617">
        <f>D25+D32</f>
        <v>0</v>
      </c>
      <c r="E43" s="1602" t="e">
        <f t="shared" si="20"/>
        <v>#DIV/0!</v>
      </c>
      <c r="F43" s="1601">
        <f>F25+F32</f>
        <v>0</v>
      </c>
      <c r="G43" s="1602" t="e">
        <f t="shared" si="21"/>
        <v>#DIV/0!</v>
      </c>
      <c r="H43" s="1601">
        <f>H25+H32</f>
        <v>0</v>
      </c>
      <c r="I43" s="1602" t="e">
        <f t="shared" si="22"/>
        <v>#DIV/0!</v>
      </c>
      <c r="J43" s="1601">
        <f>J25+J32</f>
        <v>0</v>
      </c>
      <c r="K43" s="1602" t="e">
        <f t="shared" si="23"/>
        <v>#DIV/0!</v>
      </c>
      <c r="L43" s="1601">
        <f>L25+L32</f>
        <v>0</v>
      </c>
      <c r="M43" s="1603" t="e">
        <f t="shared" si="24"/>
        <v>#DIV/0!</v>
      </c>
      <c r="N43" s="1572"/>
      <c r="O43" s="1561"/>
      <c r="P43" s="1561"/>
      <c r="Q43" s="1561"/>
      <c r="R43" s="1561"/>
      <c r="S43" s="1561"/>
      <c r="T43" s="1561"/>
      <c r="U43" s="1561"/>
      <c r="V43" s="1561"/>
      <c r="W43" s="1561"/>
      <c r="X43" s="1561"/>
      <c r="Y43" s="1561"/>
      <c r="Z43" s="1561"/>
      <c r="AA43" s="1561"/>
      <c r="AB43" s="1561"/>
      <c r="AC43" s="1561"/>
      <c r="AD43" s="1561"/>
      <c r="AE43" s="1561"/>
      <c r="AF43" s="1561"/>
      <c r="AG43" s="1561"/>
      <c r="AH43" s="1561"/>
      <c r="AI43" s="1561"/>
      <c r="AJ43" s="1561"/>
      <c r="AK43" s="1561"/>
      <c r="AL43" s="1561"/>
      <c r="AM43" s="1561"/>
      <c r="AN43" s="1561"/>
      <c r="AO43" s="1561"/>
      <c r="AP43" s="1561"/>
      <c r="AQ43" s="1561"/>
      <c r="AR43" s="1561"/>
      <c r="AS43" s="1561"/>
      <c r="AT43" s="1561"/>
      <c r="AU43" s="1561"/>
      <c r="AV43" s="1561"/>
      <c r="AW43" s="1561"/>
      <c r="AX43" s="1561"/>
      <c r="AY43" s="1561"/>
      <c r="AZ43" s="1561"/>
      <c r="BA43" s="1561"/>
      <c r="BB43" s="1561"/>
      <c r="BC43" s="1561"/>
      <c r="BD43" s="1561"/>
      <c r="BE43" s="1561"/>
      <c r="BF43" s="1561"/>
      <c r="BG43" s="1561"/>
      <c r="BH43" s="1561"/>
      <c r="BI43" s="1561"/>
      <c r="BJ43" s="1561"/>
      <c r="BK43" s="1561"/>
      <c r="BL43" s="1561"/>
      <c r="BM43" s="1561"/>
      <c r="BN43" s="1561"/>
      <c r="BO43" s="1561"/>
      <c r="BP43" s="1561"/>
      <c r="BQ43" s="1561"/>
      <c r="BR43" s="1561"/>
      <c r="BS43" s="1561"/>
      <c r="BT43" s="1561"/>
      <c r="BU43" s="1561"/>
      <c r="BV43" s="1561"/>
      <c r="BW43" s="1561"/>
      <c r="BX43" s="1561"/>
      <c r="BY43" s="1561"/>
      <c r="BZ43" s="1561"/>
      <c r="CA43" s="1561"/>
      <c r="CB43" s="1561"/>
      <c r="CC43" s="1561"/>
      <c r="CD43" s="1561"/>
      <c r="CE43" s="1561"/>
      <c r="CF43" s="1561"/>
      <c r="CG43" s="1561"/>
      <c r="CH43" s="1561"/>
      <c r="CI43" s="1561"/>
      <c r="CJ43" s="1561"/>
      <c r="CK43" s="1561"/>
      <c r="CL43" s="1561"/>
      <c r="CM43" s="1561"/>
      <c r="CN43" s="1561"/>
      <c r="CO43" s="1561"/>
      <c r="CP43" s="1561"/>
      <c r="CQ43" s="1561"/>
      <c r="CR43" s="1561"/>
      <c r="CS43" s="1561"/>
      <c r="CT43" s="1561"/>
      <c r="CU43" s="1561"/>
      <c r="CV43" s="1561"/>
      <c r="CW43" s="1561"/>
      <c r="CX43" s="1561"/>
      <c r="CY43" s="1561"/>
      <c r="CZ43" s="1561"/>
      <c r="DA43" s="1561"/>
      <c r="DB43" s="1561"/>
      <c r="DC43" s="1561"/>
      <c r="DD43" s="1561"/>
      <c r="DE43" s="1561"/>
      <c r="DF43" s="1561"/>
      <c r="DG43" s="1561"/>
      <c r="DH43" s="1561"/>
      <c r="DI43" s="1561"/>
      <c r="DJ43" s="1561"/>
      <c r="DK43" s="1561"/>
      <c r="DL43" s="1561"/>
      <c r="DM43" s="1561"/>
      <c r="DN43" s="1561"/>
      <c r="DO43" s="1561"/>
      <c r="DP43" s="1561"/>
      <c r="DQ43" s="1561"/>
      <c r="DR43" s="1561"/>
      <c r="DS43" s="1561"/>
      <c r="DT43" s="1561"/>
      <c r="DU43" s="1561"/>
      <c r="DV43" s="1561"/>
      <c r="DW43" s="1561"/>
      <c r="DX43" s="1561"/>
      <c r="DY43" s="1561"/>
      <c r="DZ43" s="1561"/>
      <c r="EA43" s="1561"/>
      <c r="EB43" s="1561"/>
      <c r="EC43" s="1561"/>
      <c r="ED43" s="1561"/>
      <c r="EE43" s="1561"/>
      <c r="EF43" s="1561"/>
      <c r="EG43" s="1561"/>
      <c r="EH43" s="1561"/>
      <c r="EI43" s="1561"/>
      <c r="EJ43" s="1561"/>
      <c r="EK43" s="1561"/>
      <c r="EL43" s="1561"/>
      <c r="EM43" s="1561"/>
      <c r="EN43" s="1561"/>
      <c r="EO43" s="1561"/>
      <c r="EP43" s="1561"/>
      <c r="EQ43" s="1561"/>
      <c r="ER43" s="1561"/>
      <c r="ES43" s="1561"/>
      <c r="ET43" s="1561"/>
      <c r="EU43" s="1561"/>
      <c r="EV43" s="1561"/>
      <c r="EW43" s="1561"/>
      <c r="EX43" s="1561"/>
      <c r="EY43" s="1561"/>
      <c r="EZ43" s="1561"/>
      <c r="FA43" s="1561"/>
      <c r="FB43" s="1561"/>
      <c r="FC43" s="1561"/>
      <c r="FD43" s="1561"/>
      <c r="FE43" s="1561"/>
      <c r="FF43" s="1561"/>
      <c r="FG43" s="1561"/>
      <c r="FH43" s="1561"/>
      <c r="FI43" s="1561"/>
      <c r="FJ43" s="1561"/>
      <c r="FK43" s="1561"/>
      <c r="FL43" s="1561"/>
      <c r="FM43" s="1561"/>
      <c r="FN43" s="1561"/>
      <c r="FO43" s="1561"/>
      <c r="FP43" s="1561"/>
      <c r="FQ43" s="1561"/>
      <c r="FR43" s="1561"/>
      <c r="FS43" s="1561"/>
      <c r="FT43" s="1561"/>
      <c r="FU43" s="1561"/>
      <c r="FV43" s="1561"/>
      <c r="FW43" s="1561"/>
      <c r="FX43" s="1561"/>
      <c r="FY43" s="1561"/>
      <c r="FZ43" s="1561"/>
      <c r="GA43" s="1561"/>
      <c r="GB43" s="1561"/>
      <c r="GC43" s="1561"/>
      <c r="GD43" s="1561"/>
      <c r="GE43" s="1561"/>
      <c r="GF43" s="1561"/>
      <c r="GG43" s="1561"/>
      <c r="GH43" s="1561"/>
      <c r="GI43" s="1561"/>
      <c r="GJ43" s="1561"/>
      <c r="GK43" s="1561"/>
      <c r="GL43" s="1561"/>
      <c r="GM43" s="1561"/>
      <c r="GN43" s="1561"/>
      <c r="GO43" s="1561"/>
      <c r="GP43" s="1561"/>
      <c r="GQ43" s="1561"/>
      <c r="GR43" s="1561"/>
      <c r="GS43" s="1561"/>
      <c r="GT43" s="1561"/>
      <c r="GU43" s="1561"/>
      <c r="GV43" s="1561"/>
      <c r="GW43" s="1561"/>
      <c r="GX43" s="1561"/>
      <c r="GY43" s="1561"/>
      <c r="GZ43" s="1561"/>
      <c r="HA43" s="1561"/>
      <c r="HB43" s="1561"/>
      <c r="HC43" s="1561"/>
      <c r="HD43" s="1561"/>
    </row>
    <row r="44" spans="1:212" s="303" customFormat="1" x14ac:dyDescent="0.3">
      <c r="A44" s="1616" t="s">
        <v>897</v>
      </c>
      <c r="B44" s="1617">
        <f>B32+B36</f>
        <v>0</v>
      </c>
      <c r="C44" s="1602" t="e">
        <f t="shared" si="19"/>
        <v>#DIV/0!</v>
      </c>
      <c r="D44" s="1617">
        <f>D32+D36</f>
        <v>0</v>
      </c>
      <c r="E44" s="1602" t="e">
        <f t="shared" si="20"/>
        <v>#DIV/0!</v>
      </c>
      <c r="F44" s="1601">
        <f>F32+F36</f>
        <v>0</v>
      </c>
      <c r="G44" s="1602" t="e">
        <f t="shared" si="21"/>
        <v>#DIV/0!</v>
      </c>
      <c r="H44" s="1601">
        <f>H32+H36</f>
        <v>0</v>
      </c>
      <c r="I44" s="1602" t="e">
        <f t="shared" si="22"/>
        <v>#DIV/0!</v>
      </c>
      <c r="J44" s="1601">
        <f>J32+J36</f>
        <v>0</v>
      </c>
      <c r="K44" s="1602" t="e">
        <f t="shared" si="23"/>
        <v>#DIV/0!</v>
      </c>
      <c r="L44" s="1601">
        <f>L32+L36</f>
        <v>0</v>
      </c>
      <c r="M44" s="1603" t="e">
        <f t="shared" si="24"/>
        <v>#DIV/0!</v>
      </c>
      <c r="N44" s="1572"/>
      <c r="O44" s="1561"/>
      <c r="P44" s="1561"/>
      <c r="Q44" s="1561"/>
      <c r="R44" s="1561"/>
      <c r="S44" s="1561"/>
      <c r="T44" s="1561"/>
      <c r="U44" s="1561"/>
      <c r="V44" s="1561"/>
      <c r="W44" s="1561"/>
      <c r="X44" s="1561"/>
      <c r="Y44" s="1561"/>
      <c r="Z44" s="1561"/>
      <c r="AA44" s="1561"/>
      <c r="AB44" s="1561"/>
      <c r="AC44" s="1561"/>
      <c r="AD44" s="1561"/>
      <c r="AE44" s="1561"/>
      <c r="AF44" s="1561"/>
      <c r="AG44" s="1561"/>
      <c r="AH44" s="1561"/>
      <c r="AI44" s="1561"/>
      <c r="AJ44" s="1561"/>
      <c r="AK44" s="1561"/>
      <c r="AL44" s="1561"/>
      <c r="AM44" s="1561"/>
      <c r="AN44" s="1561"/>
      <c r="AO44" s="1561"/>
      <c r="AP44" s="1561"/>
      <c r="AQ44" s="1561"/>
      <c r="AR44" s="1561"/>
      <c r="AS44" s="1561"/>
      <c r="AT44" s="1561"/>
      <c r="AU44" s="1561"/>
      <c r="AV44" s="1561"/>
      <c r="AW44" s="1561"/>
      <c r="AX44" s="1561"/>
      <c r="AY44" s="1561"/>
      <c r="AZ44" s="1561"/>
      <c r="BA44" s="1561"/>
      <c r="BB44" s="1561"/>
      <c r="BC44" s="1561"/>
      <c r="BD44" s="1561"/>
      <c r="BE44" s="1561"/>
      <c r="BF44" s="1561"/>
      <c r="BG44" s="1561"/>
      <c r="BH44" s="1561"/>
      <c r="BI44" s="1561"/>
      <c r="BJ44" s="1561"/>
      <c r="BK44" s="1561"/>
      <c r="BL44" s="1561"/>
      <c r="BM44" s="1561"/>
      <c r="BN44" s="1561"/>
      <c r="BO44" s="1561"/>
      <c r="BP44" s="1561"/>
      <c r="BQ44" s="1561"/>
      <c r="BR44" s="1561"/>
      <c r="BS44" s="1561"/>
      <c r="BT44" s="1561"/>
      <c r="BU44" s="1561"/>
      <c r="BV44" s="1561"/>
      <c r="BW44" s="1561"/>
      <c r="BX44" s="1561"/>
      <c r="BY44" s="1561"/>
      <c r="BZ44" s="1561"/>
      <c r="CA44" s="1561"/>
      <c r="CB44" s="1561"/>
      <c r="CC44" s="1561"/>
      <c r="CD44" s="1561"/>
      <c r="CE44" s="1561"/>
      <c r="CF44" s="1561"/>
      <c r="CG44" s="1561"/>
      <c r="CH44" s="1561"/>
      <c r="CI44" s="1561"/>
      <c r="CJ44" s="1561"/>
      <c r="CK44" s="1561"/>
      <c r="CL44" s="1561"/>
      <c r="CM44" s="1561"/>
      <c r="CN44" s="1561"/>
      <c r="CO44" s="1561"/>
      <c r="CP44" s="1561"/>
      <c r="CQ44" s="1561"/>
      <c r="CR44" s="1561"/>
      <c r="CS44" s="1561"/>
      <c r="CT44" s="1561"/>
      <c r="CU44" s="1561"/>
      <c r="CV44" s="1561"/>
      <c r="CW44" s="1561"/>
      <c r="CX44" s="1561"/>
      <c r="CY44" s="1561"/>
      <c r="CZ44" s="1561"/>
      <c r="DA44" s="1561"/>
      <c r="DB44" s="1561"/>
      <c r="DC44" s="1561"/>
      <c r="DD44" s="1561"/>
      <c r="DE44" s="1561"/>
      <c r="DF44" s="1561"/>
      <c r="DG44" s="1561"/>
      <c r="DH44" s="1561"/>
      <c r="DI44" s="1561"/>
      <c r="DJ44" s="1561"/>
      <c r="DK44" s="1561"/>
      <c r="DL44" s="1561"/>
      <c r="DM44" s="1561"/>
      <c r="DN44" s="1561"/>
      <c r="DO44" s="1561"/>
      <c r="DP44" s="1561"/>
      <c r="DQ44" s="1561"/>
      <c r="DR44" s="1561"/>
      <c r="DS44" s="1561"/>
      <c r="DT44" s="1561"/>
      <c r="DU44" s="1561"/>
      <c r="DV44" s="1561"/>
      <c r="DW44" s="1561"/>
      <c r="DX44" s="1561"/>
      <c r="DY44" s="1561"/>
      <c r="DZ44" s="1561"/>
      <c r="EA44" s="1561"/>
      <c r="EB44" s="1561"/>
      <c r="EC44" s="1561"/>
      <c r="ED44" s="1561"/>
      <c r="EE44" s="1561"/>
      <c r="EF44" s="1561"/>
      <c r="EG44" s="1561"/>
      <c r="EH44" s="1561"/>
      <c r="EI44" s="1561"/>
      <c r="EJ44" s="1561"/>
      <c r="EK44" s="1561"/>
      <c r="EL44" s="1561"/>
      <c r="EM44" s="1561"/>
      <c r="EN44" s="1561"/>
      <c r="EO44" s="1561"/>
      <c r="EP44" s="1561"/>
      <c r="EQ44" s="1561"/>
      <c r="ER44" s="1561"/>
      <c r="ES44" s="1561"/>
      <c r="ET44" s="1561"/>
      <c r="EU44" s="1561"/>
      <c r="EV44" s="1561"/>
      <c r="EW44" s="1561"/>
      <c r="EX44" s="1561"/>
      <c r="EY44" s="1561"/>
      <c r="EZ44" s="1561"/>
      <c r="FA44" s="1561"/>
      <c r="FB44" s="1561"/>
      <c r="FC44" s="1561"/>
      <c r="FD44" s="1561"/>
      <c r="FE44" s="1561"/>
      <c r="FF44" s="1561"/>
      <c r="FG44" s="1561"/>
      <c r="FH44" s="1561"/>
      <c r="FI44" s="1561"/>
      <c r="FJ44" s="1561"/>
      <c r="FK44" s="1561"/>
      <c r="FL44" s="1561"/>
      <c r="FM44" s="1561"/>
      <c r="FN44" s="1561"/>
      <c r="FO44" s="1561"/>
      <c r="FP44" s="1561"/>
      <c r="FQ44" s="1561"/>
      <c r="FR44" s="1561"/>
      <c r="FS44" s="1561"/>
      <c r="FT44" s="1561"/>
      <c r="FU44" s="1561"/>
      <c r="FV44" s="1561"/>
      <c r="FW44" s="1561"/>
      <c r="FX44" s="1561"/>
      <c r="FY44" s="1561"/>
      <c r="FZ44" s="1561"/>
      <c r="GA44" s="1561"/>
      <c r="GB44" s="1561"/>
      <c r="GC44" s="1561"/>
      <c r="GD44" s="1561"/>
      <c r="GE44" s="1561"/>
      <c r="GF44" s="1561"/>
      <c r="GG44" s="1561"/>
      <c r="GH44" s="1561"/>
      <c r="GI44" s="1561"/>
      <c r="GJ44" s="1561"/>
      <c r="GK44" s="1561"/>
      <c r="GL44" s="1561"/>
      <c r="GM44" s="1561"/>
      <c r="GN44" s="1561"/>
      <c r="GO44" s="1561"/>
      <c r="GP44" s="1561"/>
      <c r="GQ44" s="1561"/>
      <c r="GR44" s="1561"/>
      <c r="GS44" s="1561"/>
      <c r="GT44" s="1561"/>
      <c r="GU44" s="1561"/>
      <c r="GV44" s="1561"/>
      <c r="GW44" s="1561"/>
      <c r="GX44" s="1561"/>
      <c r="GY44" s="1561"/>
      <c r="GZ44" s="1561"/>
      <c r="HA44" s="1561"/>
      <c r="HB44" s="1561"/>
      <c r="HC44" s="1561"/>
      <c r="HD44" s="1561"/>
    </row>
    <row r="45" spans="1:212" s="303" customFormat="1" x14ac:dyDescent="0.3">
      <c r="A45" s="1620"/>
      <c r="B45" s="1621"/>
      <c r="C45" s="1622"/>
      <c r="D45" s="1621"/>
      <c r="E45" s="1622"/>
      <c r="F45" s="1621"/>
      <c r="G45" s="1622"/>
      <c r="H45" s="1621"/>
      <c r="I45" s="1622"/>
      <c r="J45" s="1621"/>
      <c r="K45" s="1622"/>
      <c r="L45" s="1621"/>
      <c r="M45" s="1623"/>
      <c r="N45" s="1572"/>
      <c r="O45" s="1561"/>
      <c r="P45" s="1561"/>
      <c r="Q45" s="1561"/>
      <c r="R45" s="1561"/>
      <c r="S45" s="1561"/>
      <c r="T45" s="1561"/>
      <c r="U45" s="1561"/>
      <c r="V45" s="1561"/>
      <c r="W45" s="1561"/>
      <c r="X45" s="1561"/>
      <c r="Y45" s="1561"/>
      <c r="Z45" s="1561"/>
      <c r="AA45" s="1561"/>
      <c r="AB45" s="1561"/>
      <c r="AC45" s="1561"/>
      <c r="AD45" s="1561"/>
      <c r="AE45" s="1561"/>
      <c r="AF45" s="1561"/>
      <c r="AG45" s="1561"/>
      <c r="AH45" s="1561"/>
      <c r="AI45" s="1561"/>
      <c r="AJ45" s="1561"/>
      <c r="AK45" s="1561"/>
      <c r="AL45" s="1561"/>
      <c r="AM45" s="1561"/>
      <c r="AN45" s="1561"/>
      <c r="AO45" s="1561"/>
      <c r="AP45" s="1561"/>
      <c r="AQ45" s="1561"/>
      <c r="AR45" s="1561"/>
      <c r="AS45" s="1561"/>
      <c r="AT45" s="1561"/>
      <c r="AU45" s="1561"/>
      <c r="AV45" s="1561"/>
      <c r="AW45" s="1561"/>
      <c r="AX45" s="1561"/>
      <c r="AY45" s="1561"/>
      <c r="AZ45" s="1561"/>
      <c r="BA45" s="1561"/>
      <c r="BB45" s="1561"/>
      <c r="BC45" s="1561"/>
      <c r="BD45" s="1561"/>
      <c r="BE45" s="1561"/>
      <c r="BF45" s="1561"/>
      <c r="BG45" s="1561"/>
      <c r="BH45" s="1561"/>
      <c r="BI45" s="1561"/>
      <c r="BJ45" s="1561"/>
      <c r="BK45" s="1561"/>
      <c r="BL45" s="1561"/>
      <c r="BM45" s="1561"/>
      <c r="BN45" s="1561"/>
      <c r="BO45" s="1561"/>
      <c r="BP45" s="1561"/>
      <c r="BQ45" s="1561"/>
      <c r="BR45" s="1561"/>
      <c r="BS45" s="1561"/>
      <c r="BT45" s="1561"/>
      <c r="BU45" s="1561"/>
      <c r="BV45" s="1561"/>
      <c r="BW45" s="1561"/>
      <c r="BX45" s="1561"/>
      <c r="BY45" s="1561"/>
      <c r="BZ45" s="1561"/>
      <c r="CA45" s="1561"/>
      <c r="CB45" s="1561"/>
      <c r="CC45" s="1561"/>
      <c r="CD45" s="1561"/>
      <c r="CE45" s="1561"/>
      <c r="CF45" s="1561"/>
      <c r="CG45" s="1561"/>
      <c r="CH45" s="1561"/>
      <c r="CI45" s="1561"/>
      <c r="CJ45" s="1561"/>
      <c r="CK45" s="1561"/>
      <c r="CL45" s="1561"/>
      <c r="CM45" s="1561"/>
      <c r="CN45" s="1561"/>
      <c r="CO45" s="1561"/>
      <c r="CP45" s="1561"/>
      <c r="CQ45" s="1561"/>
      <c r="CR45" s="1561"/>
      <c r="CS45" s="1561"/>
      <c r="CT45" s="1561"/>
      <c r="CU45" s="1561"/>
      <c r="CV45" s="1561"/>
      <c r="CW45" s="1561"/>
      <c r="CX45" s="1561"/>
      <c r="CY45" s="1561"/>
      <c r="CZ45" s="1561"/>
      <c r="DA45" s="1561"/>
      <c r="DB45" s="1561"/>
      <c r="DC45" s="1561"/>
      <c r="DD45" s="1561"/>
      <c r="DE45" s="1561"/>
      <c r="DF45" s="1561"/>
      <c r="DG45" s="1561"/>
      <c r="DH45" s="1561"/>
      <c r="DI45" s="1561"/>
      <c r="DJ45" s="1561"/>
      <c r="DK45" s="1561"/>
      <c r="DL45" s="1561"/>
      <c r="DM45" s="1561"/>
      <c r="DN45" s="1561"/>
      <c r="DO45" s="1561"/>
      <c r="DP45" s="1561"/>
      <c r="DQ45" s="1561"/>
      <c r="DR45" s="1561"/>
      <c r="DS45" s="1561"/>
      <c r="DT45" s="1561"/>
      <c r="DU45" s="1561"/>
      <c r="DV45" s="1561"/>
      <c r="DW45" s="1561"/>
      <c r="DX45" s="1561"/>
      <c r="DY45" s="1561"/>
      <c r="DZ45" s="1561"/>
      <c r="EA45" s="1561"/>
      <c r="EB45" s="1561"/>
      <c r="EC45" s="1561"/>
      <c r="ED45" s="1561"/>
      <c r="EE45" s="1561"/>
      <c r="EF45" s="1561"/>
      <c r="EG45" s="1561"/>
      <c r="EH45" s="1561"/>
      <c r="EI45" s="1561"/>
      <c r="EJ45" s="1561"/>
      <c r="EK45" s="1561"/>
      <c r="EL45" s="1561"/>
      <c r="EM45" s="1561"/>
      <c r="EN45" s="1561"/>
      <c r="EO45" s="1561"/>
      <c r="EP45" s="1561"/>
      <c r="EQ45" s="1561"/>
      <c r="ER45" s="1561"/>
      <c r="ES45" s="1561"/>
      <c r="ET45" s="1561"/>
      <c r="EU45" s="1561"/>
      <c r="EV45" s="1561"/>
      <c r="EW45" s="1561"/>
      <c r="EX45" s="1561"/>
      <c r="EY45" s="1561"/>
      <c r="EZ45" s="1561"/>
      <c r="FA45" s="1561"/>
      <c r="FB45" s="1561"/>
      <c r="FC45" s="1561"/>
      <c r="FD45" s="1561"/>
      <c r="FE45" s="1561"/>
      <c r="FF45" s="1561"/>
      <c r="FG45" s="1561"/>
      <c r="FH45" s="1561"/>
      <c r="FI45" s="1561"/>
      <c r="FJ45" s="1561"/>
      <c r="FK45" s="1561"/>
      <c r="FL45" s="1561"/>
      <c r="FM45" s="1561"/>
      <c r="FN45" s="1561"/>
      <c r="FO45" s="1561"/>
      <c r="FP45" s="1561"/>
      <c r="FQ45" s="1561"/>
      <c r="FR45" s="1561"/>
      <c r="FS45" s="1561"/>
      <c r="FT45" s="1561"/>
      <c r="FU45" s="1561"/>
      <c r="FV45" s="1561"/>
      <c r="FW45" s="1561"/>
      <c r="FX45" s="1561"/>
      <c r="FY45" s="1561"/>
      <c r="FZ45" s="1561"/>
      <c r="GA45" s="1561"/>
      <c r="GB45" s="1561"/>
      <c r="GC45" s="1561"/>
      <c r="GD45" s="1561"/>
      <c r="GE45" s="1561"/>
      <c r="GF45" s="1561"/>
      <c r="GG45" s="1561"/>
      <c r="GH45" s="1561"/>
      <c r="GI45" s="1561"/>
      <c r="GJ45" s="1561"/>
      <c r="GK45" s="1561"/>
      <c r="GL45" s="1561"/>
      <c r="GM45" s="1561"/>
      <c r="GN45" s="1561"/>
      <c r="GO45" s="1561"/>
      <c r="GP45" s="1561"/>
      <c r="GQ45" s="1561"/>
      <c r="GR45" s="1561"/>
      <c r="GS45" s="1561"/>
      <c r="GT45" s="1561"/>
      <c r="GU45" s="1561"/>
      <c r="GV45" s="1561"/>
      <c r="GW45" s="1561"/>
      <c r="GX45" s="1561"/>
      <c r="GY45" s="1561"/>
      <c r="GZ45" s="1561"/>
      <c r="HA45" s="1561"/>
      <c r="HB45" s="1561"/>
      <c r="HC45" s="1561"/>
      <c r="HD45" s="1561"/>
    </row>
    <row r="46" spans="1:212" ht="20.25" thickBot="1" x14ac:dyDescent="0.35">
      <c r="A46" s="2111" t="s">
        <v>845</v>
      </c>
      <c r="B46" s="2112">
        <f>B25+B32+B36</f>
        <v>0</v>
      </c>
      <c r="C46" s="2114" t="e">
        <f>C25+C32+C36</f>
        <v>#DIV/0!</v>
      </c>
      <c r="D46" s="2112">
        <f t="shared" ref="D46:I46" si="25">D25+D32+D36</f>
        <v>0</v>
      </c>
      <c r="E46" s="2114" t="e">
        <f t="shared" si="25"/>
        <v>#DIV/0!</v>
      </c>
      <c r="F46" s="2112">
        <f t="shared" si="25"/>
        <v>0</v>
      </c>
      <c r="G46" s="2114" t="e">
        <f t="shared" si="25"/>
        <v>#DIV/0!</v>
      </c>
      <c r="H46" s="2112">
        <f t="shared" si="25"/>
        <v>0</v>
      </c>
      <c r="I46" s="2114" t="e">
        <f t="shared" si="25"/>
        <v>#DIV/0!</v>
      </c>
      <c r="J46" s="2112">
        <f>J25+J32+J36</f>
        <v>0</v>
      </c>
      <c r="K46" s="2114" t="e">
        <f>K25+K32+K36</f>
        <v>#DIV/0!</v>
      </c>
      <c r="L46" s="2112">
        <f>L25+L32+L36</f>
        <v>0</v>
      </c>
      <c r="M46" s="2115" t="e">
        <f>M25+M32+M36</f>
        <v>#DIV/0!</v>
      </c>
      <c r="N46" s="1571"/>
    </row>
    <row r="47" spans="1:212" s="1559" customFormat="1" ht="33" customHeight="1" thickBot="1" x14ac:dyDescent="0.35">
      <c r="A47" s="303"/>
      <c r="B47" s="1557"/>
      <c r="C47" s="1558"/>
      <c r="D47" s="1557"/>
      <c r="E47" s="1558"/>
      <c r="F47" s="1557"/>
      <c r="G47" s="1558"/>
      <c r="H47" s="1557"/>
      <c r="I47" s="1558"/>
      <c r="J47" s="1557"/>
      <c r="K47" s="1558"/>
      <c r="L47" s="1557"/>
      <c r="M47" s="1558"/>
      <c r="N47" s="1558"/>
    </row>
    <row r="48" spans="1:212" ht="20.25" thickBot="1" x14ac:dyDescent="0.35">
      <c r="A48" s="1552" t="s">
        <v>465</v>
      </c>
      <c r="B48" s="1605">
        <f>B43-B7</f>
        <v>0</v>
      </c>
      <c r="C48" s="1606" t="e">
        <f>B48/B23</f>
        <v>#DIV/0!</v>
      </c>
      <c r="D48" s="1605">
        <f>D43-D7</f>
        <v>0</v>
      </c>
      <c r="E48" s="1606" t="e">
        <f>D48/D23</f>
        <v>#DIV/0!</v>
      </c>
      <c r="F48" s="1605">
        <f>F43-F7</f>
        <v>0</v>
      </c>
      <c r="G48" s="1606" t="e">
        <f>F48/F23</f>
        <v>#DIV/0!</v>
      </c>
      <c r="H48" s="1605">
        <f>H43-H7</f>
        <v>0</v>
      </c>
      <c r="I48" s="1606" t="e">
        <f>H48/H23</f>
        <v>#DIV/0!</v>
      </c>
      <c r="J48" s="1605">
        <f>J43-J7</f>
        <v>0</v>
      </c>
      <c r="K48" s="1606" t="e">
        <f>J48/J23</f>
        <v>#DIV/0!</v>
      </c>
      <c r="L48" s="1605">
        <f>L43-L7</f>
        <v>0</v>
      </c>
      <c r="M48" s="1607" t="e">
        <f>L48/L23</f>
        <v>#DIV/0!</v>
      </c>
      <c r="N48" s="1572"/>
    </row>
    <row r="49" spans="1:12" s="1559" customFormat="1" x14ac:dyDescent="0.3">
      <c r="A49" s="1561"/>
      <c r="C49" s="1574"/>
    </row>
    <row r="50" spans="1:12" s="1559" customFormat="1" x14ac:dyDescent="0.3">
      <c r="A50" s="1575" t="str">
        <f>'PyG anuales'!A34</f>
        <v/>
      </c>
      <c r="B50" s="1576" t="str">
        <f>IF(ABS(B46-B23)&gt;0.01,B46-B23,"")</f>
        <v/>
      </c>
      <c r="C50" s="1574"/>
      <c r="D50" s="1576" t="str">
        <f>IF(ABS(D46-D23)&gt;0.01,D46-D23,"")</f>
        <v/>
      </c>
      <c r="F50" s="1576" t="str">
        <f>IF(ABS(F46-F23)&gt;0.01,F46-F23,"")</f>
        <v/>
      </c>
      <c r="H50" s="1576" t="str">
        <f>IF(ABS(H46-H23)&gt;0.01,H46-H23,"")</f>
        <v/>
      </c>
      <c r="J50" s="1576" t="str">
        <f>IF(ABS(J46-J23)&gt;0.01,J46-J23,"")</f>
        <v/>
      </c>
      <c r="L50" s="1576" t="str">
        <f>IF(ABS(L46-L23)&gt;0.01,L46-L23,"")</f>
        <v/>
      </c>
    </row>
    <row r="51" spans="1:12" s="1559" customFormat="1" x14ac:dyDescent="0.3">
      <c r="A51" s="1561"/>
      <c r="C51" s="1574"/>
    </row>
    <row r="52" spans="1:12" s="1559" customFormat="1" x14ac:dyDescent="0.3">
      <c r="A52" s="1561"/>
      <c r="C52" s="1574"/>
    </row>
    <row r="53" spans="1:12" s="1559" customFormat="1" x14ac:dyDescent="0.3">
      <c r="A53" s="1561"/>
      <c r="C53" s="1574"/>
    </row>
    <row r="54" spans="1:12" s="1559" customFormat="1" x14ac:dyDescent="0.3">
      <c r="A54" s="1561"/>
      <c r="C54" s="1574"/>
    </row>
    <row r="55" spans="1:12" s="1559" customFormat="1" x14ac:dyDescent="0.3">
      <c r="A55" s="1561"/>
      <c r="C55" s="1574"/>
    </row>
    <row r="56" spans="1:12" s="1559" customFormat="1" x14ac:dyDescent="0.3">
      <c r="A56" s="1561"/>
      <c r="C56" s="1574"/>
    </row>
    <row r="57" spans="1:12" s="1559" customFormat="1" x14ac:dyDescent="0.3">
      <c r="A57" s="1561"/>
      <c r="C57" s="1574"/>
    </row>
    <row r="58" spans="1:12" s="1559" customFormat="1" x14ac:dyDescent="0.3">
      <c r="A58" s="1561"/>
      <c r="C58" s="1574"/>
    </row>
    <row r="59" spans="1:12" s="1559" customFormat="1" x14ac:dyDescent="0.3">
      <c r="A59" s="1561"/>
      <c r="C59" s="1574"/>
    </row>
    <row r="60" spans="1:12" s="1559" customFormat="1" x14ac:dyDescent="0.3">
      <c r="A60" s="1561"/>
      <c r="C60" s="1574"/>
    </row>
    <row r="61" spans="1:12" s="1559" customFormat="1" x14ac:dyDescent="0.3">
      <c r="A61" s="1561"/>
      <c r="C61" s="1574"/>
    </row>
    <row r="62" spans="1:12" s="1559" customFormat="1" x14ac:dyDescent="0.3">
      <c r="A62" s="1561"/>
      <c r="C62" s="1574"/>
    </row>
    <row r="63" spans="1:12" s="1559" customFormat="1" x14ac:dyDescent="0.3">
      <c r="A63" s="1561"/>
      <c r="C63" s="1574"/>
    </row>
    <row r="64" spans="1:12" s="1559" customFormat="1" x14ac:dyDescent="0.3">
      <c r="A64" s="1561"/>
      <c r="C64" s="1574"/>
    </row>
    <row r="65" spans="1:3" s="1559" customFormat="1" x14ac:dyDescent="0.3">
      <c r="A65" s="1561"/>
      <c r="C65" s="1574"/>
    </row>
    <row r="66" spans="1:3" s="1559" customFormat="1" x14ac:dyDescent="0.3">
      <c r="A66" s="1561"/>
      <c r="C66" s="1574"/>
    </row>
    <row r="67" spans="1:3" s="1559" customFormat="1" x14ac:dyDescent="0.3">
      <c r="A67" s="1561"/>
      <c r="C67" s="1574"/>
    </row>
    <row r="68" spans="1:3" s="1559" customFormat="1" x14ac:dyDescent="0.3">
      <c r="A68" s="1561"/>
      <c r="C68" s="1574"/>
    </row>
    <row r="69" spans="1:3" s="1559" customFormat="1" x14ac:dyDescent="0.3">
      <c r="A69" s="1561"/>
      <c r="C69" s="1574"/>
    </row>
    <row r="70" spans="1:3" s="1559" customFormat="1" x14ac:dyDescent="0.3">
      <c r="A70" s="1561"/>
      <c r="C70" s="1574"/>
    </row>
    <row r="71" spans="1:3" s="1559" customFormat="1" x14ac:dyDescent="0.3">
      <c r="A71" s="1561"/>
      <c r="C71" s="1574"/>
    </row>
    <row r="72" spans="1:3" s="1559" customFormat="1" x14ac:dyDescent="0.3">
      <c r="A72" s="1561"/>
      <c r="C72" s="1574"/>
    </row>
    <row r="73" spans="1:3" s="1559" customFormat="1" x14ac:dyDescent="0.3">
      <c r="A73" s="1561"/>
      <c r="C73" s="1574"/>
    </row>
    <row r="74" spans="1:3" s="1559" customFormat="1" x14ac:dyDescent="0.3">
      <c r="A74" s="1561"/>
      <c r="C74" s="1574"/>
    </row>
    <row r="75" spans="1:3" s="1559" customFormat="1" x14ac:dyDescent="0.3">
      <c r="A75" s="1561"/>
      <c r="C75" s="1574"/>
    </row>
    <row r="76" spans="1:3" s="1559" customFormat="1" x14ac:dyDescent="0.3">
      <c r="A76" s="1561"/>
      <c r="C76" s="1574"/>
    </row>
    <row r="77" spans="1:3" s="1559" customFormat="1" x14ac:dyDescent="0.3">
      <c r="A77" s="1561"/>
      <c r="C77" s="1574"/>
    </row>
    <row r="78" spans="1:3" s="1559" customFormat="1" x14ac:dyDescent="0.3">
      <c r="A78" s="1561"/>
      <c r="C78" s="1574"/>
    </row>
    <row r="79" spans="1:3" s="1559" customFormat="1" x14ac:dyDescent="0.3">
      <c r="A79" s="1561"/>
      <c r="C79" s="1574"/>
    </row>
    <row r="80" spans="1:3" s="1559" customFormat="1" x14ac:dyDescent="0.3">
      <c r="A80" s="1561"/>
      <c r="C80" s="1574"/>
    </row>
    <row r="81" spans="1:3" s="1559" customFormat="1" x14ac:dyDescent="0.3">
      <c r="A81" s="1561"/>
      <c r="C81" s="1574"/>
    </row>
    <row r="82" spans="1:3" s="1559" customFormat="1" x14ac:dyDescent="0.3">
      <c r="A82" s="1561"/>
      <c r="C82" s="1574"/>
    </row>
    <row r="83" spans="1:3" s="1559" customFormat="1" x14ac:dyDescent="0.3">
      <c r="A83" s="1561"/>
      <c r="C83" s="1574"/>
    </row>
    <row r="84" spans="1:3" s="1559" customFormat="1" x14ac:dyDescent="0.3">
      <c r="A84" s="1561"/>
      <c r="C84" s="1574"/>
    </row>
    <row r="85" spans="1:3" s="1559" customFormat="1" x14ac:dyDescent="0.3">
      <c r="A85" s="1561"/>
      <c r="C85" s="1574"/>
    </row>
    <row r="86" spans="1:3" s="1559" customFormat="1" x14ac:dyDescent="0.3">
      <c r="A86" s="1561"/>
      <c r="C86" s="1574"/>
    </row>
    <row r="87" spans="1:3" s="1559" customFormat="1" x14ac:dyDescent="0.3">
      <c r="A87" s="1561"/>
      <c r="C87" s="1574"/>
    </row>
    <row r="88" spans="1:3" s="1559" customFormat="1" x14ac:dyDescent="0.3">
      <c r="A88" s="1561"/>
      <c r="C88" s="1574"/>
    </row>
    <row r="89" spans="1:3" s="1559" customFormat="1" x14ac:dyDescent="0.3">
      <c r="A89" s="1561"/>
      <c r="C89" s="1574"/>
    </row>
    <row r="90" spans="1:3" s="1559" customFormat="1" x14ac:dyDescent="0.3">
      <c r="A90" s="1561"/>
      <c r="C90" s="1574"/>
    </row>
    <row r="91" spans="1:3" s="1559" customFormat="1" x14ac:dyDescent="0.3">
      <c r="A91" s="1561"/>
      <c r="C91" s="1574"/>
    </row>
    <row r="92" spans="1:3" s="1559" customFormat="1" x14ac:dyDescent="0.3">
      <c r="A92" s="1561"/>
      <c r="C92" s="1574"/>
    </row>
    <row r="93" spans="1:3" s="1559" customFormat="1" x14ac:dyDescent="0.3">
      <c r="A93" s="1561"/>
      <c r="C93" s="1574"/>
    </row>
    <row r="94" spans="1:3" s="1559" customFormat="1" x14ac:dyDescent="0.3">
      <c r="A94" s="1561"/>
      <c r="C94" s="1574"/>
    </row>
    <row r="95" spans="1:3" s="1559" customFormat="1" x14ac:dyDescent="0.3">
      <c r="A95" s="1561"/>
      <c r="C95" s="1574"/>
    </row>
    <row r="96" spans="1:3" s="1559" customFormat="1" x14ac:dyDescent="0.3">
      <c r="A96" s="1561"/>
      <c r="C96" s="1574"/>
    </row>
    <row r="97" spans="1:3" s="1559" customFormat="1" x14ac:dyDescent="0.3">
      <c r="A97" s="1561"/>
      <c r="C97" s="1574"/>
    </row>
    <row r="98" spans="1:3" s="1559" customFormat="1" x14ac:dyDescent="0.3">
      <c r="A98" s="1561"/>
      <c r="C98" s="1574"/>
    </row>
    <row r="99" spans="1:3" s="1559" customFormat="1" x14ac:dyDescent="0.3">
      <c r="A99" s="1561"/>
      <c r="C99" s="1574"/>
    </row>
    <row r="100" spans="1:3" s="1559" customFormat="1" x14ac:dyDescent="0.3">
      <c r="A100" s="1561"/>
      <c r="C100" s="1574"/>
    </row>
    <row r="101" spans="1:3" s="1559" customFormat="1" x14ac:dyDescent="0.3">
      <c r="A101" s="1561"/>
      <c r="C101" s="1574"/>
    </row>
    <row r="102" spans="1:3" s="1559" customFormat="1" x14ac:dyDescent="0.3">
      <c r="A102" s="1561"/>
      <c r="C102" s="1574"/>
    </row>
    <row r="103" spans="1:3" s="1559" customFormat="1" x14ac:dyDescent="0.3">
      <c r="A103" s="1561"/>
      <c r="C103" s="1574"/>
    </row>
    <row r="104" spans="1:3" s="1559" customFormat="1" x14ac:dyDescent="0.3">
      <c r="A104" s="1561"/>
      <c r="C104" s="1574"/>
    </row>
    <row r="105" spans="1:3" s="1559" customFormat="1" x14ac:dyDescent="0.3">
      <c r="A105" s="1561"/>
      <c r="C105" s="1574"/>
    </row>
    <row r="106" spans="1:3" s="1559" customFormat="1" x14ac:dyDescent="0.3">
      <c r="A106" s="1561"/>
      <c r="C106" s="1574"/>
    </row>
    <row r="107" spans="1:3" s="1559" customFormat="1" x14ac:dyDescent="0.3">
      <c r="A107" s="1561"/>
      <c r="C107" s="1574"/>
    </row>
    <row r="108" spans="1:3" s="1559" customFormat="1" x14ac:dyDescent="0.3">
      <c r="A108" s="1561"/>
      <c r="C108" s="1574"/>
    </row>
    <row r="109" spans="1:3" s="1559" customFormat="1" x14ac:dyDescent="0.3">
      <c r="A109" s="1561"/>
      <c r="C109" s="1574"/>
    </row>
    <row r="110" spans="1:3" s="1559" customFormat="1" x14ac:dyDescent="0.3">
      <c r="A110" s="1561"/>
      <c r="C110" s="1574"/>
    </row>
    <row r="111" spans="1:3" s="1559" customFormat="1" x14ac:dyDescent="0.3">
      <c r="A111" s="1561"/>
      <c r="C111" s="1574"/>
    </row>
    <row r="112" spans="1:3" s="1559" customFormat="1" x14ac:dyDescent="0.3">
      <c r="A112" s="1561"/>
      <c r="C112" s="1574"/>
    </row>
    <row r="113" spans="1:3" s="1559" customFormat="1" x14ac:dyDescent="0.3">
      <c r="A113" s="1561"/>
      <c r="C113" s="1574"/>
    </row>
    <row r="114" spans="1:3" s="1559" customFormat="1" x14ac:dyDescent="0.3">
      <c r="A114" s="1561"/>
      <c r="C114" s="1574"/>
    </row>
    <row r="115" spans="1:3" s="1559" customFormat="1" x14ac:dyDescent="0.3">
      <c r="A115" s="1561"/>
      <c r="C115" s="1574"/>
    </row>
    <row r="116" spans="1:3" s="1559" customFormat="1" x14ac:dyDescent="0.3">
      <c r="A116" s="1561"/>
      <c r="C116" s="1574"/>
    </row>
    <row r="117" spans="1:3" s="1559" customFormat="1" x14ac:dyDescent="0.3">
      <c r="A117" s="1561"/>
      <c r="C117" s="1574"/>
    </row>
    <row r="118" spans="1:3" s="1559" customFormat="1" x14ac:dyDescent="0.3">
      <c r="A118" s="1561"/>
      <c r="C118" s="1574"/>
    </row>
    <row r="119" spans="1:3" s="1559" customFormat="1" x14ac:dyDescent="0.3">
      <c r="A119" s="1561"/>
      <c r="C119" s="1574"/>
    </row>
    <row r="120" spans="1:3" s="1559" customFormat="1" x14ac:dyDescent="0.3">
      <c r="A120" s="1561"/>
      <c r="C120" s="1574"/>
    </row>
    <row r="121" spans="1:3" s="1559" customFormat="1" x14ac:dyDescent="0.3">
      <c r="A121" s="1561"/>
      <c r="C121" s="1574"/>
    </row>
    <row r="122" spans="1:3" s="1559" customFormat="1" x14ac:dyDescent="0.3">
      <c r="A122" s="1561"/>
      <c r="C122" s="1574"/>
    </row>
    <row r="123" spans="1:3" s="1559" customFormat="1" x14ac:dyDescent="0.3">
      <c r="A123" s="1561"/>
      <c r="C123" s="1574"/>
    </row>
    <row r="124" spans="1:3" s="1559" customFormat="1" x14ac:dyDescent="0.3">
      <c r="A124" s="1561"/>
      <c r="C124" s="1574"/>
    </row>
    <row r="125" spans="1:3" s="1559" customFormat="1" x14ac:dyDescent="0.3">
      <c r="A125" s="1561"/>
      <c r="C125" s="1574"/>
    </row>
    <row r="126" spans="1:3" s="1559" customFormat="1" x14ac:dyDescent="0.3">
      <c r="A126" s="1561"/>
      <c r="C126" s="1574"/>
    </row>
    <row r="127" spans="1:3" s="1559" customFormat="1" x14ac:dyDescent="0.3">
      <c r="A127" s="1561"/>
      <c r="C127" s="1574"/>
    </row>
    <row r="128" spans="1:3" s="1559" customFormat="1" x14ac:dyDescent="0.3">
      <c r="A128" s="1561"/>
      <c r="C128" s="1574"/>
    </row>
    <row r="129" spans="1:3" s="1559" customFormat="1" x14ac:dyDescent="0.3">
      <c r="A129" s="1561"/>
      <c r="C129" s="1574"/>
    </row>
    <row r="130" spans="1:3" s="1559" customFormat="1" x14ac:dyDescent="0.3">
      <c r="A130" s="1561"/>
      <c r="C130" s="1574"/>
    </row>
    <row r="131" spans="1:3" s="1559" customFormat="1" x14ac:dyDescent="0.3">
      <c r="A131" s="1561"/>
      <c r="C131" s="1574"/>
    </row>
    <row r="132" spans="1:3" s="1559" customFormat="1" x14ac:dyDescent="0.3">
      <c r="A132" s="1561"/>
      <c r="C132" s="1574"/>
    </row>
    <row r="133" spans="1:3" s="1559" customFormat="1" x14ac:dyDescent="0.3">
      <c r="A133" s="1561"/>
      <c r="C133" s="1574"/>
    </row>
    <row r="134" spans="1:3" s="1559" customFormat="1" x14ac:dyDescent="0.3">
      <c r="A134" s="1561"/>
      <c r="C134" s="1574"/>
    </row>
    <row r="135" spans="1:3" s="1559" customFormat="1" x14ac:dyDescent="0.3">
      <c r="A135" s="1561"/>
      <c r="C135" s="1574"/>
    </row>
    <row r="136" spans="1:3" s="1559" customFormat="1" x14ac:dyDescent="0.3">
      <c r="A136" s="1561"/>
      <c r="C136" s="1574"/>
    </row>
    <row r="137" spans="1:3" s="1559" customFormat="1" x14ac:dyDescent="0.3">
      <c r="A137" s="1561"/>
      <c r="C137" s="1574"/>
    </row>
    <row r="138" spans="1:3" s="1559" customFormat="1" x14ac:dyDescent="0.3">
      <c r="A138" s="1561"/>
      <c r="C138" s="1574"/>
    </row>
    <row r="139" spans="1:3" s="1559" customFormat="1" x14ac:dyDescent="0.3">
      <c r="A139" s="1561"/>
      <c r="C139" s="1574"/>
    </row>
    <row r="140" spans="1:3" s="1559" customFormat="1" x14ac:dyDescent="0.3">
      <c r="A140" s="1561"/>
      <c r="C140" s="1574"/>
    </row>
    <row r="141" spans="1:3" s="1559" customFormat="1" x14ac:dyDescent="0.3">
      <c r="A141" s="1561"/>
      <c r="C141" s="1574"/>
    </row>
    <row r="142" spans="1:3" s="1559" customFormat="1" x14ac:dyDescent="0.3">
      <c r="A142" s="1561"/>
      <c r="C142" s="1574"/>
    </row>
    <row r="143" spans="1:3" s="1559" customFormat="1" x14ac:dyDescent="0.3">
      <c r="A143" s="1561"/>
      <c r="C143" s="1574"/>
    </row>
    <row r="144" spans="1:3" s="1559" customFormat="1" x14ac:dyDescent="0.3">
      <c r="A144" s="1561"/>
      <c r="C144" s="1574"/>
    </row>
    <row r="145" spans="1:3" s="1559" customFormat="1" x14ac:dyDescent="0.3">
      <c r="A145" s="1561"/>
      <c r="C145" s="1574"/>
    </row>
    <row r="146" spans="1:3" s="1559" customFormat="1" x14ac:dyDescent="0.3">
      <c r="A146" s="1561"/>
      <c r="C146" s="1574"/>
    </row>
    <row r="147" spans="1:3" s="1559" customFormat="1" x14ac:dyDescent="0.3">
      <c r="A147" s="1561"/>
      <c r="C147" s="1574"/>
    </row>
    <row r="148" spans="1:3" s="1559" customFormat="1" x14ac:dyDescent="0.3">
      <c r="A148" s="1561"/>
      <c r="C148" s="1574"/>
    </row>
    <row r="149" spans="1:3" s="1559" customFormat="1" x14ac:dyDescent="0.3">
      <c r="A149" s="1561"/>
      <c r="C149" s="1574"/>
    </row>
    <row r="150" spans="1:3" s="1559" customFormat="1" x14ac:dyDescent="0.3">
      <c r="A150" s="1561"/>
      <c r="C150" s="1574"/>
    </row>
    <row r="151" spans="1:3" s="1559" customFormat="1" x14ac:dyDescent="0.3">
      <c r="A151" s="1561"/>
      <c r="C151" s="1574"/>
    </row>
    <row r="152" spans="1:3" s="1559" customFormat="1" x14ac:dyDescent="0.3">
      <c r="A152" s="1561"/>
      <c r="C152" s="1574"/>
    </row>
    <row r="153" spans="1:3" s="1559" customFormat="1" x14ac:dyDescent="0.3">
      <c r="A153" s="1561"/>
      <c r="C153" s="1574"/>
    </row>
    <row r="154" spans="1:3" s="1559" customFormat="1" x14ac:dyDescent="0.3">
      <c r="A154" s="1561"/>
      <c r="C154" s="1574"/>
    </row>
    <row r="155" spans="1:3" s="1559" customFormat="1" x14ac:dyDescent="0.3">
      <c r="A155" s="1561"/>
      <c r="C155" s="1574"/>
    </row>
    <row r="156" spans="1:3" s="1559" customFormat="1" x14ac:dyDescent="0.3">
      <c r="A156" s="1561"/>
      <c r="C156" s="1574"/>
    </row>
    <row r="157" spans="1:3" s="1559" customFormat="1" x14ac:dyDescent="0.3">
      <c r="A157" s="1561"/>
      <c r="C157" s="1574"/>
    </row>
    <row r="158" spans="1:3" s="1559" customFormat="1" x14ac:dyDescent="0.3">
      <c r="A158" s="1561"/>
      <c r="C158" s="1574"/>
    </row>
    <row r="159" spans="1:3" s="1559" customFormat="1" x14ac:dyDescent="0.3">
      <c r="A159" s="1561"/>
      <c r="C159" s="1574"/>
    </row>
    <row r="160" spans="1:3" s="1559" customFormat="1" x14ac:dyDescent="0.3">
      <c r="A160" s="1561"/>
      <c r="C160" s="1574"/>
    </row>
    <row r="161" spans="1:3" s="1559" customFormat="1" x14ac:dyDescent="0.3">
      <c r="A161" s="1561"/>
      <c r="C161" s="1574"/>
    </row>
    <row r="162" spans="1:3" s="1559" customFormat="1" x14ac:dyDescent="0.3">
      <c r="A162" s="1561"/>
      <c r="C162" s="1574"/>
    </row>
    <row r="163" spans="1:3" s="1559" customFormat="1" x14ac:dyDescent="0.3">
      <c r="A163" s="1561"/>
      <c r="C163" s="1574"/>
    </row>
    <row r="164" spans="1:3" s="1559" customFormat="1" x14ac:dyDescent="0.3">
      <c r="A164" s="1561"/>
      <c r="C164" s="1574"/>
    </row>
    <row r="165" spans="1:3" s="1559" customFormat="1" x14ac:dyDescent="0.3">
      <c r="A165" s="1561"/>
      <c r="C165" s="1574"/>
    </row>
    <row r="166" spans="1:3" s="1559" customFormat="1" x14ac:dyDescent="0.3">
      <c r="A166" s="1561"/>
      <c r="C166" s="1574"/>
    </row>
    <row r="167" spans="1:3" s="1559" customFormat="1" x14ac:dyDescent="0.3">
      <c r="A167" s="1561"/>
      <c r="C167" s="1574"/>
    </row>
    <row r="168" spans="1:3" s="1559" customFormat="1" x14ac:dyDescent="0.3">
      <c r="A168" s="1561"/>
      <c r="C168" s="1574"/>
    </row>
    <row r="169" spans="1:3" s="1559" customFormat="1" x14ac:dyDescent="0.3">
      <c r="A169" s="1561"/>
      <c r="C169" s="1574"/>
    </row>
    <row r="170" spans="1:3" s="1559" customFormat="1" x14ac:dyDescent="0.3">
      <c r="A170" s="1561"/>
      <c r="C170" s="1574"/>
    </row>
    <row r="171" spans="1:3" s="1559" customFormat="1" x14ac:dyDescent="0.3">
      <c r="A171" s="1561"/>
      <c r="C171" s="1574"/>
    </row>
    <row r="172" spans="1:3" s="1559" customFormat="1" x14ac:dyDescent="0.3">
      <c r="A172" s="1561"/>
      <c r="C172" s="1574"/>
    </row>
    <row r="173" spans="1:3" s="1559" customFormat="1" x14ac:dyDescent="0.3">
      <c r="A173" s="1561"/>
      <c r="C173" s="1574"/>
    </row>
    <row r="174" spans="1:3" s="1559" customFormat="1" x14ac:dyDescent="0.3">
      <c r="A174" s="1561"/>
      <c r="C174" s="1574"/>
    </row>
    <row r="175" spans="1:3" s="1559" customFormat="1" x14ac:dyDescent="0.3">
      <c r="A175" s="1561"/>
      <c r="C175" s="1574"/>
    </row>
    <row r="176" spans="1:3" s="1559" customFormat="1" x14ac:dyDescent="0.3">
      <c r="A176" s="1561"/>
      <c r="C176" s="1574"/>
    </row>
    <row r="177" spans="1:3" s="1559" customFormat="1" x14ac:dyDescent="0.3">
      <c r="A177" s="1561"/>
      <c r="C177" s="1574"/>
    </row>
    <row r="178" spans="1:3" s="1559" customFormat="1" x14ac:dyDescent="0.3">
      <c r="A178" s="1561"/>
      <c r="C178" s="1574"/>
    </row>
    <row r="179" spans="1:3" s="1559" customFormat="1" x14ac:dyDescent="0.3">
      <c r="A179" s="1561"/>
      <c r="C179" s="1574"/>
    </row>
    <row r="180" spans="1:3" s="1559" customFormat="1" x14ac:dyDescent="0.3">
      <c r="A180" s="1561"/>
      <c r="C180" s="1574"/>
    </row>
    <row r="181" spans="1:3" s="1559" customFormat="1" x14ac:dyDescent="0.3">
      <c r="A181" s="1561"/>
      <c r="C181" s="1574"/>
    </row>
    <row r="182" spans="1:3" s="1559" customFormat="1" x14ac:dyDescent="0.3">
      <c r="A182" s="1561"/>
      <c r="C182" s="1574"/>
    </row>
    <row r="183" spans="1:3" s="1559" customFormat="1" x14ac:dyDescent="0.3">
      <c r="A183" s="1561"/>
      <c r="C183" s="1574"/>
    </row>
    <row r="184" spans="1:3" s="1559" customFormat="1" x14ac:dyDescent="0.3">
      <c r="A184" s="1561"/>
      <c r="C184" s="1574"/>
    </row>
    <row r="185" spans="1:3" s="1559" customFormat="1" x14ac:dyDescent="0.3">
      <c r="A185" s="1561"/>
      <c r="C185" s="1574"/>
    </row>
    <row r="186" spans="1:3" s="1559" customFormat="1" x14ac:dyDescent="0.3">
      <c r="A186" s="1561"/>
      <c r="C186" s="1574"/>
    </row>
    <row r="187" spans="1:3" s="1559" customFormat="1" x14ac:dyDescent="0.3">
      <c r="A187" s="1561"/>
      <c r="C187" s="1574"/>
    </row>
    <row r="188" spans="1:3" s="1559" customFormat="1" x14ac:dyDescent="0.3">
      <c r="A188" s="1561"/>
      <c r="C188" s="1574"/>
    </row>
    <row r="189" spans="1:3" s="1559" customFormat="1" x14ac:dyDescent="0.3">
      <c r="A189" s="1561"/>
      <c r="C189" s="1574"/>
    </row>
    <row r="190" spans="1:3" s="1559" customFormat="1" x14ac:dyDescent="0.3">
      <c r="A190" s="1561"/>
      <c r="C190" s="1574"/>
    </row>
    <row r="191" spans="1:3" s="1559" customFormat="1" x14ac:dyDescent="0.3">
      <c r="A191" s="1561"/>
      <c r="C191" s="1574"/>
    </row>
    <row r="192" spans="1:3" s="1559" customFormat="1" x14ac:dyDescent="0.3">
      <c r="A192" s="1561"/>
      <c r="C192" s="1574"/>
    </row>
    <row r="193" spans="1:3" s="1559" customFormat="1" x14ac:dyDescent="0.3">
      <c r="A193" s="1561"/>
      <c r="C193" s="1574"/>
    </row>
    <row r="194" spans="1:3" s="1559" customFormat="1" x14ac:dyDescent="0.3">
      <c r="A194" s="1561"/>
      <c r="C194" s="1574"/>
    </row>
    <row r="195" spans="1:3" s="1559" customFormat="1" x14ac:dyDescent="0.3">
      <c r="A195" s="1561"/>
      <c r="C195" s="1574"/>
    </row>
    <row r="196" spans="1:3" s="1559" customFormat="1" x14ac:dyDescent="0.3">
      <c r="A196" s="1561"/>
      <c r="C196" s="1574"/>
    </row>
    <row r="197" spans="1:3" s="1559" customFormat="1" x14ac:dyDescent="0.3">
      <c r="A197" s="1561"/>
      <c r="C197" s="1574"/>
    </row>
    <row r="198" spans="1:3" s="1559" customFormat="1" x14ac:dyDescent="0.3">
      <c r="A198" s="1561"/>
      <c r="C198" s="1574"/>
    </row>
    <row r="199" spans="1:3" s="1559" customFormat="1" x14ac:dyDescent="0.3">
      <c r="A199" s="1561"/>
      <c r="C199" s="1574"/>
    </row>
    <row r="200" spans="1:3" s="1559" customFormat="1" x14ac:dyDescent="0.3">
      <c r="A200" s="1561"/>
      <c r="C200" s="1574"/>
    </row>
    <row r="201" spans="1:3" s="1559" customFormat="1" x14ac:dyDescent="0.3">
      <c r="A201" s="1561"/>
      <c r="C201" s="1574"/>
    </row>
    <row r="202" spans="1:3" s="1559" customFormat="1" x14ac:dyDescent="0.3">
      <c r="A202" s="1561"/>
      <c r="C202" s="1574"/>
    </row>
    <row r="203" spans="1:3" s="1559" customFormat="1" x14ac:dyDescent="0.3">
      <c r="A203" s="1561"/>
      <c r="C203" s="1574"/>
    </row>
    <row r="204" spans="1:3" s="1559" customFormat="1" x14ac:dyDescent="0.3">
      <c r="A204" s="1561"/>
      <c r="C204" s="1574"/>
    </row>
    <row r="205" spans="1:3" s="1559" customFormat="1" x14ac:dyDescent="0.3">
      <c r="A205" s="1561"/>
      <c r="C205" s="1574"/>
    </row>
    <row r="206" spans="1:3" s="1559" customFormat="1" x14ac:dyDescent="0.3">
      <c r="A206" s="1561"/>
      <c r="C206" s="1574"/>
    </row>
    <row r="207" spans="1:3" s="1559" customFormat="1" x14ac:dyDescent="0.3">
      <c r="A207" s="1561"/>
      <c r="C207" s="1574"/>
    </row>
    <row r="208" spans="1:3" s="1559" customFormat="1" x14ac:dyDescent="0.3">
      <c r="A208" s="1561"/>
      <c r="C208" s="1574"/>
    </row>
    <row r="209" spans="1:3" s="1559" customFormat="1" x14ac:dyDescent="0.3">
      <c r="A209" s="1561"/>
      <c r="C209" s="1574"/>
    </row>
    <row r="210" spans="1:3" s="1559" customFormat="1" x14ac:dyDescent="0.3">
      <c r="A210" s="1561"/>
      <c r="C210" s="1574"/>
    </row>
    <row r="211" spans="1:3" s="1559" customFormat="1" x14ac:dyDescent="0.3">
      <c r="A211" s="1561"/>
      <c r="C211" s="1574"/>
    </row>
    <row r="212" spans="1:3" s="1559" customFormat="1" x14ac:dyDescent="0.3">
      <c r="A212" s="1561"/>
      <c r="C212" s="1574"/>
    </row>
    <row r="213" spans="1:3" s="1559" customFormat="1" x14ac:dyDescent="0.3">
      <c r="A213" s="1561"/>
      <c r="C213" s="1574"/>
    </row>
    <row r="214" spans="1:3" s="1559" customFormat="1" x14ac:dyDescent="0.3">
      <c r="A214" s="1561"/>
      <c r="C214" s="1574"/>
    </row>
    <row r="215" spans="1:3" s="1559" customFormat="1" x14ac:dyDescent="0.3">
      <c r="A215" s="1561"/>
      <c r="C215" s="1574"/>
    </row>
    <row r="216" spans="1:3" s="1559" customFormat="1" x14ac:dyDescent="0.3">
      <c r="A216" s="1561"/>
      <c r="C216" s="1574"/>
    </row>
    <row r="217" spans="1:3" s="1559" customFormat="1" x14ac:dyDescent="0.3">
      <c r="A217" s="1561"/>
      <c r="C217" s="1574"/>
    </row>
    <row r="218" spans="1:3" s="1559" customFormat="1" x14ac:dyDescent="0.3">
      <c r="A218" s="1561"/>
      <c r="C218" s="1574"/>
    </row>
    <row r="219" spans="1:3" s="1559" customFormat="1" x14ac:dyDescent="0.3">
      <c r="A219" s="1561"/>
      <c r="C219" s="1574"/>
    </row>
    <row r="220" spans="1:3" s="1559" customFormat="1" x14ac:dyDescent="0.3">
      <c r="A220" s="1561"/>
      <c r="C220" s="1574"/>
    </row>
    <row r="221" spans="1:3" s="1559" customFormat="1" x14ac:dyDescent="0.3">
      <c r="A221" s="1561"/>
      <c r="C221" s="1574"/>
    </row>
    <row r="222" spans="1:3" s="1559" customFormat="1" x14ac:dyDescent="0.3">
      <c r="A222" s="1561"/>
      <c r="C222" s="1574"/>
    </row>
    <row r="223" spans="1:3" s="1559" customFormat="1" x14ac:dyDescent="0.3">
      <c r="A223" s="1561"/>
      <c r="C223" s="1574"/>
    </row>
    <row r="224" spans="1:3" s="1559" customFormat="1" x14ac:dyDescent="0.3">
      <c r="A224" s="1561"/>
      <c r="C224" s="1574"/>
    </row>
    <row r="225" spans="1:3" s="1559" customFormat="1" x14ac:dyDescent="0.3">
      <c r="A225" s="1561"/>
      <c r="C225" s="1574"/>
    </row>
    <row r="226" spans="1:3" s="1559" customFormat="1" x14ac:dyDescent="0.3">
      <c r="A226" s="1561"/>
      <c r="C226" s="1574"/>
    </row>
    <row r="227" spans="1:3" s="1559" customFormat="1" x14ac:dyDescent="0.3">
      <c r="A227" s="1561"/>
      <c r="C227" s="1574"/>
    </row>
    <row r="228" spans="1:3" s="1559" customFormat="1" x14ac:dyDescent="0.3">
      <c r="A228" s="1561"/>
      <c r="C228" s="1574"/>
    </row>
    <row r="229" spans="1:3" s="1559" customFormat="1" x14ac:dyDescent="0.3">
      <c r="A229" s="1561"/>
      <c r="C229" s="1574"/>
    </row>
    <row r="230" spans="1:3" s="1559" customFormat="1" x14ac:dyDescent="0.3">
      <c r="A230" s="1561"/>
      <c r="C230" s="1574"/>
    </row>
    <row r="231" spans="1:3" s="1559" customFormat="1" x14ac:dyDescent="0.3">
      <c r="A231" s="1561"/>
      <c r="C231" s="1574"/>
    </row>
    <row r="232" spans="1:3" s="1559" customFormat="1" x14ac:dyDescent="0.3">
      <c r="A232" s="1561"/>
      <c r="C232" s="1574"/>
    </row>
    <row r="233" spans="1:3" s="1559" customFormat="1" x14ac:dyDescent="0.3">
      <c r="A233" s="1561"/>
      <c r="C233" s="1574"/>
    </row>
    <row r="234" spans="1:3" s="1559" customFormat="1" x14ac:dyDescent="0.3">
      <c r="A234" s="1561"/>
      <c r="C234" s="1574"/>
    </row>
    <row r="235" spans="1:3" s="1559" customFormat="1" x14ac:dyDescent="0.3">
      <c r="A235" s="1561"/>
      <c r="C235" s="1574"/>
    </row>
    <row r="236" spans="1:3" s="1559" customFormat="1" x14ac:dyDescent="0.3">
      <c r="A236" s="1561"/>
      <c r="C236" s="1574"/>
    </row>
    <row r="237" spans="1:3" s="1559" customFormat="1" x14ac:dyDescent="0.3">
      <c r="A237" s="1561"/>
      <c r="C237" s="1574"/>
    </row>
    <row r="238" spans="1:3" s="1559" customFormat="1" x14ac:dyDescent="0.3">
      <c r="A238" s="1561"/>
      <c r="C238" s="1574"/>
    </row>
    <row r="239" spans="1:3" s="1559" customFormat="1" x14ac:dyDescent="0.3">
      <c r="A239" s="1561"/>
      <c r="C239" s="1574"/>
    </row>
    <row r="240" spans="1:3" s="1559" customFormat="1" x14ac:dyDescent="0.3">
      <c r="A240" s="1561"/>
      <c r="C240" s="1574"/>
    </row>
    <row r="241" spans="1:3" s="1559" customFormat="1" x14ac:dyDescent="0.3">
      <c r="A241" s="1561"/>
      <c r="C241" s="1574"/>
    </row>
    <row r="242" spans="1:3" s="1559" customFormat="1" x14ac:dyDescent="0.3">
      <c r="A242" s="1561"/>
      <c r="C242" s="1574"/>
    </row>
    <row r="243" spans="1:3" s="1559" customFormat="1" x14ac:dyDescent="0.3">
      <c r="A243" s="1561"/>
      <c r="C243" s="1574"/>
    </row>
    <row r="244" spans="1:3" s="1559" customFormat="1" x14ac:dyDescent="0.3">
      <c r="A244" s="1561"/>
      <c r="C244" s="1574"/>
    </row>
    <row r="245" spans="1:3" s="1559" customFormat="1" x14ac:dyDescent="0.3">
      <c r="A245" s="1561"/>
      <c r="C245" s="1574"/>
    </row>
    <row r="246" spans="1:3" s="1559" customFormat="1" x14ac:dyDescent="0.3">
      <c r="A246" s="1561"/>
      <c r="C246" s="1574"/>
    </row>
    <row r="247" spans="1:3" s="1559" customFormat="1" x14ac:dyDescent="0.3">
      <c r="A247" s="1561"/>
      <c r="C247" s="1574"/>
    </row>
    <row r="248" spans="1:3" s="1559" customFormat="1" x14ac:dyDescent="0.3">
      <c r="A248" s="1561"/>
      <c r="C248" s="1574"/>
    </row>
    <row r="249" spans="1:3" s="1559" customFormat="1" x14ac:dyDescent="0.3">
      <c r="A249" s="1561"/>
      <c r="C249" s="1574"/>
    </row>
    <row r="250" spans="1:3" s="1559" customFormat="1" x14ac:dyDescent="0.3">
      <c r="A250" s="1561"/>
      <c r="C250" s="1574"/>
    </row>
    <row r="251" spans="1:3" s="1559" customFormat="1" x14ac:dyDescent="0.3">
      <c r="A251" s="1561"/>
      <c r="C251" s="1574"/>
    </row>
    <row r="252" spans="1:3" s="1559" customFormat="1" x14ac:dyDescent="0.3">
      <c r="A252" s="1561"/>
      <c r="C252" s="1574"/>
    </row>
    <row r="253" spans="1:3" s="1559" customFormat="1" x14ac:dyDescent="0.3">
      <c r="A253" s="1561"/>
      <c r="C253" s="1574"/>
    </row>
    <row r="254" spans="1:3" s="1559" customFormat="1" x14ac:dyDescent="0.3">
      <c r="A254" s="1561"/>
      <c r="C254" s="1574"/>
    </row>
    <row r="255" spans="1:3" s="1559" customFormat="1" x14ac:dyDescent="0.3">
      <c r="A255" s="1561"/>
      <c r="C255" s="1574"/>
    </row>
    <row r="256" spans="1:3" s="1559" customFormat="1" x14ac:dyDescent="0.3">
      <c r="A256" s="1561"/>
      <c r="C256" s="1574"/>
    </row>
    <row r="257" spans="1:3" s="1559" customFormat="1" x14ac:dyDescent="0.3">
      <c r="A257" s="1561"/>
      <c r="C257" s="1574"/>
    </row>
    <row r="258" spans="1:3" s="1559" customFormat="1" x14ac:dyDescent="0.3">
      <c r="A258" s="1561"/>
      <c r="C258" s="1574"/>
    </row>
    <row r="259" spans="1:3" s="1559" customFormat="1" x14ac:dyDescent="0.3">
      <c r="A259" s="1561"/>
      <c r="C259" s="1574"/>
    </row>
    <row r="260" spans="1:3" s="1559" customFormat="1" x14ac:dyDescent="0.3">
      <c r="A260" s="1561"/>
      <c r="C260" s="1574"/>
    </row>
    <row r="261" spans="1:3" s="1559" customFormat="1" x14ac:dyDescent="0.3">
      <c r="A261" s="1561"/>
      <c r="C261" s="1574"/>
    </row>
    <row r="262" spans="1:3" s="1559" customFormat="1" x14ac:dyDescent="0.3">
      <c r="A262" s="1561"/>
      <c r="C262" s="1574"/>
    </row>
    <row r="263" spans="1:3" s="1559" customFormat="1" x14ac:dyDescent="0.3">
      <c r="A263" s="1561"/>
      <c r="C263" s="1574"/>
    </row>
    <row r="264" spans="1:3" s="1559" customFormat="1" x14ac:dyDescent="0.3">
      <c r="A264" s="1561"/>
      <c r="C264" s="1574"/>
    </row>
    <row r="265" spans="1:3" s="1559" customFormat="1" x14ac:dyDescent="0.3">
      <c r="A265" s="1561"/>
      <c r="C265" s="1574"/>
    </row>
    <row r="266" spans="1:3" s="1559" customFormat="1" x14ac:dyDescent="0.3">
      <c r="A266" s="1561"/>
      <c r="C266" s="1574"/>
    </row>
    <row r="267" spans="1:3" s="1559" customFormat="1" x14ac:dyDescent="0.3">
      <c r="A267" s="1561"/>
      <c r="C267" s="1574"/>
    </row>
    <row r="268" spans="1:3" s="1559" customFormat="1" x14ac:dyDescent="0.3">
      <c r="A268" s="1561"/>
      <c r="C268" s="1574"/>
    </row>
    <row r="269" spans="1:3" s="1559" customFormat="1" x14ac:dyDescent="0.3">
      <c r="A269" s="1561"/>
      <c r="C269" s="1574"/>
    </row>
    <row r="270" spans="1:3" s="1559" customFormat="1" x14ac:dyDescent="0.3">
      <c r="A270" s="1561"/>
      <c r="C270" s="1574"/>
    </row>
    <row r="271" spans="1:3" s="1559" customFormat="1" x14ac:dyDescent="0.3">
      <c r="A271" s="1561"/>
      <c r="C271" s="1574"/>
    </row>
    <row r="272" spans="1:3" s="1559" customFormat="1" x14ac:dyDescent="0.3">
      <c r="A272" s="1561"/>
      <c r="C272" s="1574"/>
    </row>
    <row r="273" spans="1:3" s="1559" customFormat="1" x14ac:dyDescent="0.3">
      <c r="A273" s="1561"/>
      <c r="C273" s="1574"/>
    </row>
    <row r="274" spans="1:3" s="1559" customFormat="1" x14ac:dyDescent="0.3">
      <c r="A274" s="1561"/>
      <c r="C274" s="1574"/>
    </row>
    <row r="275" spans="1:3" s="1559" customFormat="1" x14ac:dyDescent="0.3">
      <c r="A275" s="1561"/>
      <c r="C275" s="1574"/>
    </row>
    <row r="276" spans="1:3" s="1559" customFormat="1" x14ac:dyDescent="0.3">
      <c r="A276" s="1561"/>
      <c r="C276" s="1574"/>
    </row>
    <row r="277" spans="1:3" s="1559" customFormat="1" x14ac:dyDescent="0.3">
      <c r="A277" s="1561"/>
      <c r="C277" s="1574"/>
    </row>
    <row r="278" spans="1:3" s="1559" customFormat="1" x14ac:dyDescent="0.3">
      <c r="A278" s="1561"/>
      <c r="C278" s="1574"/>
    </row>
    <row r="279" spans="1:3" s="1559" customFormat="1" x14ac:dyDescent="0.3">
      <c r="A279" s="1561"/>
      <c r="C279" s="1574"/>
    </row>
    <row r="280" spans="1:3" s="1559" customFormat="1" x14ac:dyDescent="0.3">
      <c r="A280" s="1561"/>
      <c r="C280" s="1574"/>
    </row>
    <row r="281" spans="1:3" s="1559" customFormat="1" x14ac:dyDescent="0.3">
      <c r="A281" s="1561"/>
      <c r="C281" s="1574"/>
    </row>
    <row r="282" spans="1:3" s="1559" customFormat="1" x14ac:dyDescent="0.3">
      <c r="A282" s="1561"/>
      <c r="C282" s="1574"/>
    </row>
    <row r="283" spans="1:3" s="1559" customFormat="1" x14ac:dyDescent="0.3">
      <c r="A283" s="1561"/>
      <c r="C283" s="1574"/>
    </row>
    <row r="284" spans="1:3" s="1559" customFormat="1" x14ac:dyDescent="0.3">
      <c r="A284" s="1561"/>
      <c r="C284" s="1574"/>
    </row>
    <row r="285" spans="1:3" s="1559" customFormat="1" x14ac:dyDescent="0.3">
      <c r="A285" s="1561"/>
      <c r="C285" s="1574"/>
    </row>
    <row r="286" spans="1:3" s="1559" customFormat="1" x14ac:dyDescent="0.3">
      <c r="A286" s="1561"/>
      <c r="C286" s="1574"/>
    </row>
    <row r="287" spans="1:3" s="1559" customFormat="1" x14ac:dyDescent="0.3">
      <c r="A287" s="1561"/>
      <c r="C287" s="1574"/>
    </row>
    <row r="288" spans="1:3" s="1559" customFormat="1" x14ac:dyDescent="0.3">
      <c r="A288" s="1561"/>
      <c r="C288" s="1574"/>
    </row>
    <row r="289" spans="1:3" s="1559" customFormat="1" x14ac:dyDescent="0.3">
      <c r="A289" s="1561"/>
      <c r="C289" s="1574"/>
    </row>
    <row r="290" spans="1:3" s="1559" customFormat="1" x14ac:dyDescent="0.3">
      <c r="A290" s="1561"/>
      <c r="C290" s="1574"/>
    </row>
    <row r="291" spans="1:3" s="1559" customFormat="1" x14ac:dyDescent="0.3">
      <c r="A291" s="1561"/>
      <c r="C291" s="1574"/>
    </row>
    <row r="292" spans="1:3" s="1559" customFormat="1" x14ac:dyDescent="0.3">
      <c r="A292" s="1561"/>
      <c r="C292" s="1574"/>
    </row>
    <row r="293" spans="1:3" s="1559" customFormat="1" x14ac:dyDescent="0.3">
      <c r="A293" s="1561"/>
      <c r="C293" s="1574"/>
    </row>
    <row r="294" spans="1:3" s="1559" customFormat="1" x14ac:dyDescent="0.3">
      <c r="A294" s="1561"/>
      <c r="C294" s="1574"/>
    </row>
    <row r="295" spans="1:3" s="1559" customFormat="1" x14ac:dyDescent="0.3">
      <c r="A295" s="1561"/>
      <c r="C295" s="1574"/>
    </row>
    <row r="296" spans="1:3" s="1559" customFormat="1" x14ac:dyDescent="0.3">
      <c r="A296" s="1561"/>
      <c r="C296" s="1574"/>
    </row>
    <row r="297" spans="1:3" s="1559" customFormat="1" x14ac:dyDescent="0.3">
      <c r="A297" s="1561"/>
      <c r="C297" s="1574"/>
    </row>
    <row r="298" spans="1:3" s="1559" customFormat="1" x14ac:dyDescent="0.3">
      <c r="A298" s="1561"/>
      <c r="C298" s="1574"/>
    </row>
    <row r="299" spans="1:3" s="1559" customFormat="1" x14ac:dyDescent="0.3">
      <c r="A299" s="1561"/>
      <c r="C299" s="1574"/>
    </row>
    <row r="300" spans="1:3" s="1559" customFormat="1" x14ac:dyDescent="0.3">
      <c r="A300" s="1561"/>
      <c r="C300" s="1574"/>
    </row>
    <row r="301" spans="1:3" s="1559" customFormat="1" x14ac:dyDescent="0.3">
      <c r="A301" s="1561"/>
      <c r="C301" s="1574"/>
    </row>
    <row r="302" spans="1:3" s="1559" customFormat="1" x14ac:dyDescent="0.3">
      <c r="A302" s="1561"/>
      <c r="C302" s="1574"/>
    </row>
    <row r="303" spans="1:3" s="1559" customFormat="1" x14ac:dyDescent="0.3">
      <c r="A303" s="1561"/>
      <c r="C303" s="1574"/>
    </row>
    <row r="304" spans="1:3" s="1559" customFormat="1" x14ac:dyDescent="0.3">
      <c r="A304" s="1561"/>
      <c r="C304" s="1574"/>
    </row>
    <row r="305" spans="1:3" s="1559" customFormat="1" x14ac:dyDescent="0.3">
      <c r="A305" s="1561"/>
      <c r="C305" s="1574"/>
    </row>
    <row r="306" spans="1:3" s="1559" customFormat="1" x14ac:dyDescent="0.3">
      <c r="A306" s="1561"/>
      <c r="C306" s="1574"/>
    </row>
    <row r="307" spans="1:3" s="1559" customFormat="1" x14ac:dyDescent="0.3">
      <c r="A307" s="1561"/>
      <c r="C307" s="1574"/>
    </row>
    <row r="308" spans="1:3" s="1559" customFormat="1" x14ac:dyDescent="0.3">
      <c r="A308" s="1561"/>
      <c r="C308" s="1574"/>
    </row>
    <row r="309" spans="1:3" s="1559" customFormat="1" x14ac:dyDescent="0.3">
      <c r="A309" s="1561"/>
      <c r="C309" s="1574"/>
    </row>
    <row r="310" spans="1:3" s="1559" customFormat="1" x14ac:dyDescent="0.3">
      <c r="A310" s="1561"/>
      <c r="C310" s="1574"/>
    </row>
    <row r="311" spans="1:3" s="1559" customFormat="1" x14ac:dyDescent="0.3">
      <c r="A311" s="1561"/>
      <c r="C311" s="1574"/>
    </row>
    <row r="312" spans="1:3" s="1559" customFormat="1" x14ac:dyDescent="0.3">
      <c r="A312" s="1561"/>
      <c r="C312" s="1574"/>
    </row>
    <row r="313" spans="1:3" s="1559" customFormat="1" x14ac:dyDescent="0.3">
      <c r="A313" s="1561"/>
      <c r="C313" s="1574"/>
    </row>
    <row r="314" spans="1:3" s="1559" customFormat="1" x14ac:dyDescent="0.3">
      <c r="A314" s="1561"/>
      <c r="C314" s="1574"/>
    </row>
    <row r="315" spans="1:3" s="1559" customFormat="1" x14ac:dyDescent="0.3">
      <c r="A315" s="1561"/>
      <c r="C315" s="1574"/>
    </row>
    <row r="316" spans="1:3" s="1559" customFormat="1" x14ac:dyDescent="0.3">
      <c r="A316" s="1561"/>
      <c r="C316" s="1574"/>
    </row>
    <row r="317" spans="1:3" s="1559" customFormat="1" x14ac:dyDescent="0.3">
      <c r="A317" s="1561"/>
      <c r="C317" s="1574"/>
    </row>
    <row r="318" spans="1:3" s="1559" customFormat="1" x14ac:dyDescent="0.3">
      <c r="A318" s="1561"/>
      <c r="C318" s="1574"/>
    </row>
    <row r="319" spans="1:3" s="1559" customFormat="1" x14ac:dyDescent="0.3">
      <c r="A319" s="1561"/>
      <c r="C319" s="1574"/>
    </row>
    <row r="320" spans="1:3" s="1559" customFormat="1" x14ac:dyDescent="0.3">
      <c r="A320" s="1561"/>
      <c r="C320" s="1574"/>
    </row>
    <row r="321" spans="1:3" s="1559" customFormat="1" x14ac:dyDescent="0.3">
      <c r="A321" s="1561"/>
      <c r="C321" s="1574"/>
    </row>
    <row r="322" spans="1:3" s="1559" customFormat="1" x14ac:dyDescent="0.3">
      <c r="A322" s="1561"/>
      <c r="C322" s="1574"/>
    </row>
    <row r="323" spans="1:3" s="1559" customFormat="1" x14ac:dyDescent="0.3">
      <c r="A323" s="1561"/>
      <c r="C323" s="1574"/>
    </row>
    <row r="324" spans="1:3" s="1559" customFormat="1" x14ac:dyDescent="0.3">
      <c r="A324" s="1561"/>
      <c r="C324" s="1574"/>
    </row>
    <row r="325" spans="1:3" s="1559" customFormat="1" x14ac:dyDescent="0.3">
      <c r="A325" s="1561"/>
      <c r="C325" s="1574"/>
    </row>
    <row r="326" spans="1:3" s="1559" customFormat="1" x14ac:dyDescent="0.3">
      <c r="A326" s="1561"/>
      <c r="C326" s="1574"/>
    </row>
    <row r="327" spans="1:3" s="1559" customFormat="1" x14ac:dyDescent="0.3">
      <c r="A327" s="1561"/>
      <c r="C327" s="1574"/>
    </row>
    <row r="328" spans="1:3" s="1559" customFormat="1" x14ac:dyDescent="0.3">
      <c r="A328" s="1561"/>
      <c r="C328" s="1574"/>
    </row>
    <row r="329" spans="1:3" s="1559" customFormat="1" x14ac:dyDescent="0.3">
      <c r="A329" s="1561"/>
      <c r="C329" s="1574"/>
    </row>
    <row r="330" spans="1:3" s="1559" customFormat="1" x14ac:dyDescent="0.3">
      <c r="A330" s="1561"/>
      <c r="C330" s="1574"/>
    </row>
    <row r="331" spans="1:3" s="1559" customFormat="1" x14ac:dyDescent="0.3">
      <c r="A331" s="1561"/>
      <c r="C331" s="1574"/>
    </row>
    <row r="332" spans="1:3" s="1559" customFormat="1" x14ac:dyDescent="0.3">
      <c r="A332" s="1561"/>
      <c r="C332" s="1574"/>
    </row>
    <row r="333" spans="1:3" s="1559" customFormat="1" x14ac:dyDescent="0.3">
      <c r="A333" s="1561"/>
      <c r="C333" s="1574"/>
    </row>
    <row r="334" spans="1:3" s="1559" customFormat="1" x14ac:dyDescent="0.3">
      <c r="A334" s="1561"/>
      <c r="C334" s="1574"/>
    </row>
    <row r="335" spans="1:3" s="1559" customFormat="1" x14ac:dyDescent="0.3">
      <c r="A335" s="1561"/>
      <c r="C335" s="1574"/>
    </row>
    <row r="336" spans="1:3" s="1559" customFormat="1" x14ac:dyDescent="0.3">
      <c r="A336" s="1561"/>
      <c r="C336" s="1574"/>
    </row>
    <row r="337" spans="1:3" s="1559" customFormat="1" x14ac:dyDescent="0.3">
      <c r="A337" s="1561"/>
      <c r="C337" s="1574"/>
    </row>
    <row r="338" spans="1:3" s="1559" customFormat="1" x14ac:dyDescent="0.3">
      <c r="A338" s="1561"/>
      <c r="C338" s="1574"/>
    </row>
    <row r="339" spans="1:3" s="1559" customFormat="1" x14ac:dyDescent="0.3">
      <c r="A339" s="1561"/>
      <c r="C339" s="1574"/>
    </row>
    <row r="340" spans="1:3" s="1559" customFormat="1" x14ac:dyDescent="0.3">
      <c r="A340" s="1561"/>
      <c r="C340" s="1574"/>
    </row>
    <row r="341" spans="1:3" s="1559" customFormat="1" x14ac:dyDescent="0.3">
      <c r="A341" s="1561"/>
      <c r="C341" s="1574"/>
    </row>
    <row r="342" spans="1:3" s="1559" customFormat="1" x14ac:dyDescent="0.3">
      <c r="A342" s="1561"/>
      <c r="C342" s="1574"/>
    </row>
    <row r="343" spans="1:3" s="1559" customFormat="1" x14ac:dyDescent="0.3">
      <c r="A343" s="1561"/>
      <c r="C343" s="1574"/>
    </row>
    <row r="344" spans="1:3" s="1559" customFormat="1" x14ac:dyDescent="0.3">
      <c r="A344" s="1561"/>
      <c r="C344" s="1574"/>
    </row>
    <row r="345" spans="1:3" s="1559" customFormat="1" x14ac:dyDescent="0.3">
      <c r="A345" s="1561"/>
      <c r="C345" s="1574"/>
    </row>
    <row r="346" spans="1:3" s="1559" customFormat="1" x14ac:dyDescent="0.3">
      <c r="A346" s="1561"/>
      <c r="C346" s="1574"/>
    </row>
    <row r="347" spans="1:3" s="1559" customFormat="1" x14ac:dyDescent="0.3">
      <c r="A347" s="1561"/>
      <c r="C347" s="1574"/>
    </row>
    <row r="348" spans="1:3" s="1559" customFormat="1" x14ac:dyDescent="0.3">
      <c r="A348" s="1561"/>
      <c r="C348" s="1574"/>
    </row>
    <row r="349" spans="1:3" s="1559" customFormat="1" x14ac:dyDescent="0.3">
      <c r="A349" s="1561"/>
      <c r="C349" s="1574"/>
    </row>
    <row r="350" spans="1:3" s="1559" customFormat="1" x14ac:dyDescent="0.3">
      <c r="A350" s="1561"/>
      <c r="C350" s="1574"/>
    </row>
    <row r="351" spans="1:3" s="1559" customFormat="1" x14ac:dyDescent="0.3">
      <c r="A351" s="1561"/>
      <c r="C351" s="1574"/>
    </row>
    <row r="352" spans="1:3" s="1559" customFormat="1" x14ac:dyDescent="0.3">
      <c r="A352" s="1561"/>
      <c r="C352" s="1574"/>
    </row>
    <row r="353" spans="1:3" s="1559" customFormat="1" x14ac:dyDescent="0.3">
      <c r="A353" s="1561"/>
      <c r="C353" s="1574"/>
    </row>
    <row r="354" spans="1:3" s="1559" customFormat="1" x14ac:dyDescent="0.3">
      <c r="A354" s="1561"/>
      <c r="C354" s="1574"/>
    </row>
    <row r="355" spans="1:3" s="1559" customFormat="1" x14ac:dyDescent="0.3">
      <c r="A355" s="1561"/>
      <c r="C355" s="1574"/>
    </row>
    <row r="356" spans="1:3" s="1559" customFormat="1" x14ac:dyDescent="0.3">
      <c r="A356" s="1561"/>
      <c r="C356" s="1574"/>
    </row>
    <row r="357" spans="1:3" s="1559" customFormat="1" x14ac:dyDescent="0.3">
      <c r="A357" s="1561"/>
      <c r="C357" s="1574"/>
    </row>
    <row r="358" spans="1:3" s="1559" customFormat="1" x14ac:dyDescent="0.3">
      <c r="A358" s="1561"/>
      <c r="C358" s="1574"/>
    </row>
    <row r="359" spans="1:3" s="1559" customFormat="1" x14ac:dyDescent="0.3">
      <c r="A359" s="1561"/>
      <c r="C359" s="1574"/>
    </row>
    <row r="360" spans="1:3" s="1559" customFormat="1" x14ac:dyDescent="0.3">
      <c r="A360" s="1561"/>
      <c r="C360" s="1574"/>
    </row>
    <row r="361" spans="1:3" s="1559" customFormat="1" x14ac:dyDescent="0.3">
      <c r="A361" s="1561"/>
      <c r="C361" s="1574"/>
    </row>
    <row r="362" spans="1:3" s="1559" customFormat="1" x14ac:dyDescent="0.3">
      <c r="A362" s="1561"/>
      <c r="C362" s="1574"/>
    </row>
    <row r="363" spans="1:3" s="1559" customFormat="1" x14ac:dyDescent="0.3">
      <c r="A363" s="1561"/>
      <c r="C363" s="1574"/>
    </row>
    <row r="364" spans="1:3" s="1559" customFormat="1" x14ac:dyDescent="0.3">
      <c r="A364" s="1561"/>
      <c r="C364" s="1574"/>
    </row>
    <row r="365" spans="1:3" s="1559" customFormat="1" x14ac:dyDescent="0.3">
      <c r="A365" s="1561"/>
      <c r="C365" s="1574"/>
    </row>
    <row r="366" spans="1:3" s="1559" customFormat="1" x14ac:dyDescent="0.3">
      <c r="A366" s="1561"/>
      <c r="C366" s="1574"/>
    </row>
    <row r="367" spans="1:3" s="1559" customFormat="1" x14ac:dyDescent="0.3">
      <c r="A367" s="1561"/>
      <c r="C367" s="1574"/>
    </row>
    <row r="368" spans="1:3" s="1559" customFormat="1" x14ac:dyDescent="0.3">
      <c r="A368" s="1561"/>
      <c r="C368" s="1574"/>
    </row>
    <row r="369" spans="1:3" s="1559" customFormat="1" x14ac:dyDescent="0.3">
      <c r="A369" s="1561"/>
      <c r="C369" s="1574"/>
    </row>
    <row r="370" spans="1:3" s="1559" customFormat="1" x14ac:dyDescent="0.3">
      <c r="A370" s="1561"/>
      <c r="C370" s="1574"/>
    </row>
    <row r="371" spans="1:3" s="1559" customFormat="1" x14ac:dyDescent="0.3">
      <c r="A371" s="1561"/>
      <c r="C371" s="1574"/>
    </row>
    <row r="372" spans="1:3" s="1559" customFormat="1" x14ac:dyDescent="0.3">
      <c r="A372" s="1561"/>
      <c r="C372" s="1574"/>
    </row>
    <row r="373" spans="1:3" s="1559" customFormat="1" x14ac:dyDescent="0.3">
      <c r="A373" s="1561"/>
      <c r="C373" s="1574"/>
    </row>
    <row r="374" spans="1:3" s="1559" customFormat="1" x14ac:dyDescent="0.3">
      <c r="A374" s="1561"/>
      <c r="C374" s="1574"/>
    </row>
    <row r="375" spans="1:3" s="1559" customFormat="1" x14ac:dyDescent="0.3">
      <c r="A375" s="1561"/>
      <c r="C375" s="1574"/>
    </row>
    <row r="376" spans="1:3" s="1559" customFormat="1" x14ac:dyDescent="0.3">
      <c r="A376" s="1561"/>
      <c r="C376" s="1574"/>
    </row>
    <row r="377" spans="1:3" s="1559" customFormat="1" x14ac:dyDescent="0.3">
      <c r="A377" s="1561"/>
      <c r="C377" s="1574"/>
    </row>
    <row r="378" spans="1:3" s="1559" customFormat="1" x14ac:dyDescent="0.3">
      <c r="A378" s="1561"/>
      <c r="C378" s="1574"/>
    </row>
    <row r="379" spans="1:3" s="1559" customFormat="1" x14ac:dyDescent="0.3">
      <c r="A379" s="1561"/>
      <c r="C379" s="1574"/>
    </row>
    <row r="380" spans="1:3" s="1559" customFormat="1" x14ac:dyDescent="0.3">
      <c r="A380" s="1561"/>
      <c r="C380" s="1574"/>
    </row>
    <row r="381" spans="1:3" s="1559" customFormat="1" x14ac:dyDescent="0.3">
      <c r="A381" s="1561"/>
      <c r="C381" s="1574"/>
    </row>
    <row r="382" spans="1:3" s="1559" customFormat="1" x14ac:dyDescent="0.3">
      <c r="A382" s="1561"/>
      <c r="C382" s="1574"/>
    </row>
    <row r="383" spans="1:3" s="1559" customFormat="1" x14ac:dyDescent="0.3">
      <c r="A383" s="1561"/>
      <c r="C383" s="1574"/>
    </row>
    <row r="384" spans="1:3" s="1559" customFormat="1" x14ac:dyDescent="0.3">
      <c r="A384" s="1561"/>
      <c r="C384" s="1574"/>
    </row>
    <row r="385" spans="1:3" s="1559" customFormat="1" x14ac:dyDescent="0.3">
      <c r="A385" s="1561"/>
      <c r="C385" s="1574"/>
    </row>
    <row r="386" spans="1:3" s="1559" customFormat="1" x14ac:dyDescent="0.3">
      <c r="A386" s="1561"/>
      <c r="C386" s="1574"/>
    </row>
    <row r="387" spans="1:3" s="1559" customFormat="1" x14ac:dyDescent="0.3">
      <c r="A387" s="1561"/>
      <c r="C387" s="1574"/>
    </row>
    <row r="388" spans="1:3" s="1559" customFormat="1" x14ac:dyDescent="0.3">
      <c r="A388" s="1561"/>
      <c r="C388" s="1574"/>
    </row>
    <row r="389" spans="1:3" s="1559" customFormat="1" x14ac:dyDescent="0.3">
      <c r="A389" s="1561"/>
      <c r="C389" s="1574"/>
    </row>
    <row r="390" spans="1:3" s="1559" customFormat="1" x14ac:dyDescent="0.3">
      <c r="A390" s="1561"/>
      <c r="C390" s="1574"/>
    </row>
    <row r="391" spans="1:3" s="1559" customFormat="1" x14ac:dyDescent="0.3">
      <c r="A391" s="1561"/>
      <c r="C391" s="1574"/>
    </row>
    <row r="392" spans="1:3" s="1559" customFormat="1" x14ac:dyDescent="0.3">
      <c r="A392" s="1561"/>
      <c r="C392" s="1574"/>
    </row>
    <row r="393" spans="1:3" s="1559" customFormat="1" x14ac:dyDescent="0.3">
      <c r="A393" s="1561"/>
      <c r="C393" s="1574"/>
    </row>
    <row r="394" spans="1:3" s="1559" customFormat="1" x14ac:dyDescent="0.3">
      <c r="A394" s="1561"/>
      <c r="C394" s="1574"/>
    </row>
    <row r="395" spans="1:3" s="1559" customFormat="1" x14ac:dyDescent="0.3">
      <c r="A395" s="1561"/>
      <c r="C395" s="1574"/>
    </row>
    <row r="396" spans="1:3" s="1559" customFormat="1" x14ac:dyDescent="0.3">
      <c r="A396" s="1561"/>
      <c r="C396" s="1574"/>
    </row>
    <row r="397" spans="1:3" s="1559" customFormat="1" x14ac:dyDescent="0.3">
      <c r="A397" s="1561"/>
      <c r="C397" s="1574"/>
    </row>
    <row r="398" spans="1:3" s="1559" customFormat="1" x14ac:dyDescent="0.3">
      <c r="A398" s="1561"/>
      <c r="C398" s="1574"/>
    </row>
    <row r="399" spans="1:3" s="1559" customFormat="1" x14ac:dyDescent="0.3">
      <c r="A399" s="1561"/>
      <c r="C399" s="1574"/>
    </row>
    <row r="400" spans="1:3" s="1559" customFormat="1" x14ac:dyDescent="0.3">
      <c r="A400" s="1561"/>
      <c r="C400" s="1574"/>
    </row>
    <row r="401" spans="1:3" s="1559" customFormat="1" x14ac:dyDescent="0.3">
      <c r="A401" s="1561"/>
      <c r="C401" s="1574"/>
    </row>
    <row r="402" spans="1:3" s="1559" customFormat="1" x14ac:dyDescent="0.3">
      <c r="A402" s="1561"/>
      <c r="C402" s="1574"/>
    </row>
    <row r="403" spans="1:3" s="1559" customFormat="1" x14ac:dyDescent="0.3">
      <c r="A403" s="1561"/>
      <c r="C403" s="1574"/>
    </row>
    <row r="404" spans="1:3" s="1559" customFormat="1" x14ac:dyDescent="0.3">
      <c r="A404" s="1561"/>
      <c r="C404" s="1574"/>
    </row>
    <row r="405" spans="1:3" s="1559" customFormat="1" x14ac:dyDescent="0.3">
      <c r="A405" s="1561"/>
      <c r="C405" s="1574"/>
    </row>
    <row r="406" spans="1:3" s="1559" customFormat="1" x14ac:dyDescent="0.3">
      <c r="A406" s="1561"/>
      <c r="C406" s="1574"/>
    </row>
    <row r="407" spans="1:3" s="1559" customFormat="1" x14ac:dyDescent="0.3">
      <c r="A407" s="1561"/>
      <c r="C407" s="1574"/>
    </row>
    <row r="408" spans="1:3" s="1559" customFormat="1" x14ac:dyDescent="0.3">
      <c r="A408" s="1561"/>
      <c r="C408" s="1574"/>
    </row>
    <row r="409" spans="1:3" s="1559" customFormat="1" x14ac:dyDescent="0.3">
      <c r="A409" s="1561"/>
      <c r="C409" s="1574"/>
    </row>
    <row r="410" spans="1:3" s="1559" customFormat="1" x14ac:dyDescent="0.3">
      <c r="A410" s="1561"/>
      <c r="C410" s="1574"/>
    </row>
    <row r="411" spans="1:3" s="1559" customFormat="1" x14ac:dyDescent="0.3">
      <c r="A411" s="1561"/>
      <c r="C411" s="1574"/>
    </row>
    <row r="412" spans="1:3" s="1559" customFormat="1" x14ac:dyDescent="0.3">
      <c r="A412" s="1561"/>
      <c r="C412" s="1574"/>
    </row>
    <row r="413" spans="1:3" s="1559" customFormat="1" x14ac:dyDescent="0.3">
      <c r="A413" s="1561"/>
      <c r="C413" s="1574"/>
    </row>
    <row r="414" spans="1:3" s="1559" customFormat="1" x14ac:dyDescent="0.3">
      <c r="A414" s="1561"/>
      <c r="C414" s="1574"/>
    </row>
    <row r="415" spans="1:3" s="1559" customFormat="1" x14ac:dyDescent="0.3">
      <c r="A415" s="1561"/>
      <c r="C415" s="1574"/>
    </row>
    <row r="416" spans="1:3" s="1559" customFormat="1" x14ac:dyDescent="0.3">
      <c r="A416" s="1561"/>
      <c r="C416" s="1574"/>
    </row>
    <row r="417" spans="1:3" s="1559" customFormat="1" x14ac:dyDescent="0.3">
      <c r="A417" s="1561"/>
      <c r="C417" s="1574"/>
    </row>
    <row r="418" spans="1:3" s="1559" customFormat="1" x14ac:dyDescent="0.3">
      <c r="A418" s="1561"/>
      <c r="C418" s="1574"/>
    </row>
    <row r="419" spans="1:3" s="1559" customFormat="1" x14ac:dyDescent="0.3">
      <c r="A419" s="1561"/>
      <c r="C419" s="1574"/>
    </row>
    <row r="420" spans="1:3" s="1559" customFormat="1" x14ac:dyDescent="0.3">
      <c r="A420" s="1561"/>
      <c r="C420" s="1574"/>
    </row>
    <row r="421" spans="1:3" s="1559" customFormat="1" x14ac:dyDescent="0.3">
      <c r="A421" s="1561"/>
      <c r="C421" s="1574"/>
    </row>
    <row r="422" spans="1:3" s="1559" customFormat="1" x14ac:dyDescent="0.3">
      <c r="A422" s="1561"/>
      <c r="C422" s="1574"/>
    </row>
    <row r="423" spans="1:3" s="1559" customFormat="1" x14ac:dyDescent="0.3">
      <c r="A423" s="1561"/>
      <c r="C423" s="1574"/>
    </row>
    <row r="424" spans="1:3" s="1559" customFormat="1" x14ac:dyDescent="0.3">
      <c r="A424" s="1561"/>
      <c r="C424" s="1574"/>
    </row>
    <row r="425" spans="1:3" s="1559" customFormat="1" x14ac:dyDescent="0.3">
      <c r="A425" s="1561"/>
      <c r="C425" s="1574"/>
    </row>
    <row r="426" spans="1:3" s="1559" customFormat="1" x14ac:dyDescent="0.3">
      <c r="A426" s="1561"/>
      <c r="C426" s="1574"/>
    </row>
    <row r="427" spans="1:3" s="1559" customFormat="1" x14ac:dyDescent="0.3">
      <c r="A427" s="1561"/>
      <c r="C427" s="1574"/>
    </row>
    <row r="428" spans="1:3" s="1559" customFormat="1" x14ac:dyDescent="0.3">
      <c r="A428" s="1561"/>
      <c r="C428" s="1574"/>
    </row>
    <row r="429" spans="1:3" s="1559" customFormat="1" x14ac:dyDescent="0.3">
      <c r="A429" s="1561"/>
      <c r="C429" s="1574"/>
    </row>
    <row r="430" spans="1:3" s="1559" customFormat="1" x14ac:dyDescent="0.3">
      <c r="A430" s="1561"/>
      <c r="C430" s="1574"/>
    </row>
    <row r="431" spans="1:3" s="1559" customFormat="1" x14ac:dyDescent="0.3">
      <c r="A431" s="1561"/>
      <c r="C431" s="1574"/>
    </row>
    <row r="432" spans="1:3" s="1559" customFormat="1" x14ac:dyDescent="0.3">
      <c r="A432" s="1561"/>
      <c r="C432" s="1574"/>
    </row>
    <row r="433" spans="1:3" s="1559" customFormat="1" x14ac:dyDescent="0.3">
      <c r="A433" s="1561"/>
      <c r="C433" s="1574"/>
    </row>
    <row r="434" spans="1:3" s="1559" customFormat="1" x14ac:dyDescent="0.3">
      <c r="A434" s="1561"/>
      <c r="C434" s="1574"/>
    </row>
    <row r="435" spans="1:3" s="1559" customFormat="1" x14ac:dyDescent="0.3">
      <c r="A435" s="1561"/>
      <c r="C435" s="1574"/>
    </row>
    <row r="436" spans="1:3" s="1559" customFormat="1" x14ac:dyDescent="0.3">
      <c r="A436" s="1561"/>
      <c r="C436" s="1574"/>
    </row>
    <row r="437" spans="1:3" s="1559" customFormat="1" x14ac:dyDescent="0.3">
      <c r="A437" s="1561"/>
      <c r="C437" s="1574"/>
    </row>
    <row r="438" spans="1:3" s="1559" customFormat="1" x14ac:dyDescent="0.3">
      <c r="A438" s="1561"/>
      <c r="C438" s="1574"/>
    </row>
    <row r="439" spans="1:3" s="1559" customFormat="1" x14ac:dyDescent="0.3">
      <c r="A439" s="1561"/>
      <c r="C439" s="1574"/>
    </row>
    <row r="440" spans="1:3" s="1559" customFormat="1" x14ac:dyDescent="0.3">
      <c r="A440" s="1561"/>
      <c r="C440" s="1574"/>
    </row>
    <row r="441" spans="1:3" s="1559" customFormat="1" x14ac:dyDescent="0.3">
      <c r="A441" s="1561"/>
      <c r="C441" s="1574"/>
    </row>
    <row r="442" spans="1:3" s="1559" customFormat="1" x14ac:dyDescent="0.3">
      <c r="A442" s="1561"/>
      <c r="C442" s="1574"/>
    </row>
    <row r="443" spans="1:3" s="1559" customFormat="1" x14ac:dyDescent="0.3">
      <c r="A443" s="1561"/>
      <c r="C443" s="1574"/>
    </row>
    <row r="444" spans="1:3" s="1559" customFormat="1" x14ac:dyDescent="0.3">
      <c r="A444" s="1561"/>
      <c r="C444" s="1574"/>
    </row>
    <row r="445" spans="1:3" s="1559" customFormat="1" x14ac:dyDescent="0.3">
      <c r="A445" s="1561"/>
      <c r="C445" s="1574"/>
    </row>
    <row r="446" spans="1:3" s="1559" customFormat="1" x14ac:dyDescent="0.3">
      <c r="A446" s="1561"/>
      <c r="C446" s="1574"/>
    </row>
    <row r="447" spans="1:3" s="1559" customFormat="1" x14ac:dyDescent="0.3">
      <c r="A447" s="1561"/>
      <c r="C447" s="1574"/>
    </row>
    <row r="448" spans="1:3" s="1559" customFormat="1" x14ac:dyDescent="0.3">
      <c r="A448" s="1561"/>
      <c r="C448" s="1574"/>
    </row>
    <row r="449" spans="1:3" s="1559" customFormat="1" x14ac:dyDescent="0.3">
      <c r="A449" s="1561"/>
      <c r="C449" s="1574"/>
    </row>
    <row r="450" spans="1:3" s="1559" customFormat="1" x14ac:dyDescent="0.3">
      <c r="A450" s="1561"/>
      <c r="C450" s="1574"/>
    </row>
    <row r="451" spans="1:3" s="1559" customFormat="1" x14ac:dyDescent="0.3">
      <c r="A451" s="1561"/>
      <c r="C451" s="1574"/>
    </row>
    <row r="452" spans="1:3" s="1559" customFormat="1" x14ac:dyDescent="0.3">
      <c r="A452" s="1561"/>
      <c r="C452" s="1574"/>
    </row>
    <row r="453" spans="1:3" s="1559" customFormat="1" x14ac:dyDescent="0.3">
      <c r="A453" s="1561"/>
      <c r="C453" s="1574"/>
    </row>
    <row r="454" spans="1:3" s="1559" customFormat="1" x14ac:dyDescent="0.3">
      <c r="A454" s="1561"/>
      <c r="C454" s="1574"/>
    </row>
    <row r="455" spans="1:3" s="1559" customFormat="1" x14ac:dyDescent="0.3">
      <c r="A455" s="1561"/>
      <c r="C455" s="1574"/>
    </row>
    <row r="456" spans="1:3" s="1559" customFormat="1" x14ac:dyDescent="0.3">
      <c r="A456" s="1561"/>
      <c r="C456" s="1574"/>
    </row>
    <row r="457" spans="1:3" s="1559" customFormat="1" x14ac:dyDescent="0.3">
      <c r="A457" s="1561"/>
      <c r="C457" s="1574"/>
    </row>
    <row r="458" spans="1:3" s="1559" customFormat="1" x14ac:dyDescent="0.3">
      <c r="A458" s="1561"/>
      <c r="C458" s="1574"/>
    </row>
    <row r="459" spans="1:3" s="1559" customFormat="1" x14ac:dyDescent="0.3">
      <c r="A459" s="1561"/>
      <c r="C459" s="1574"/>
    </row>
    <row r="460" spans="1:3" s="1559" customFormat="1" x14ac:dyDescent="0.3">
      <c r="A460" s="1561"/>
      <c r="C460" s="1574"/>
    </row>
    <row r="461" spans="1:3" s="1559" customFormat="1" x14ac:dyDescent="0.3">
      <c r="A461" s="1561"/>
      <c r="C461" s="1574"/>
    </row>
    <row r="462" spans="1:3" s="1559" customFormat="1" x14ac:dyDescent="0.3">
      <c r="A462" s="1561"/>
      <c r="C462" s="1574"/>
    </row>
    <row r="463" spans="1:3" s="1559" customFormat="1" x14ac:dyDescent="0.3">
      <c r="A463" s="1561"/>
      <c r="C463" s="1574"/>
    </row>
    <row r="464" spans="1:3" s="1559" customFormat="1" x14ac:dyDescent="0.3">
      <c r="A464" s="1561"/>
      <c r="C464" s="1574"/>
    </row>
    <row r="465" spans="1:3" s="1559" customFormat="1" x14ac:dyDescent="0.3">
      <c r="A465" s="1561"/>
      <c r="C465" s="1574"/>
    </row>
    <row r="466" spans="1:3" s="1559" customFormat="1" x14ac:dyDescent="0.3">
      <c r="A466" s="1561"/>
      <c r="C466" s="1574"/>
    </row>
    <row r="467" spans="1:3" s="1559" customFormat="1" x14ac:dyDescent="0.3">
      <c r="A467" s="1561"/>
      <c r="C467" s="1574"/>
    </row>
    <row r="468" spans="1:3" s="1559" customFormat="1" x14ac:dyDescent="0.3">
      <c r="A468" s="1561"/>
      <c r="C468" s="1574"/>
    </row>
    <row r="469" spans="1:3" s="1559" customFormat="1" x14ac:dyDescent="0.3">
      <c r="A469" s="1561"/>
      <c r="C469" s="1574"/>
    </row>
    <row r="470" spans="1:3" s="1559" customFormat="1" x14ac:dyDescent="0.3">
      <c r="A470" s="1561"/>
      <c r="C470" s="1574"/>
    </row>
    <row r="471" spans="1:3" s="1559" customFormat="1" x14ac:dyDescent="0.3">
      <c r="A471" s="1561"/>
      <c r="C471" s="1574"/>
    </row>
    <row r="472" spans="1:3" s="1559" customFormat="1" x14ac:dyDescent="0.3">
      <c r="A472" s="1561"/>
      <c r="C472" s="1574"/>
    </row>
    <row r="473" spans="1:3" s="1559" customFormat="1" x14ac:dyDescent="0.3">
      <c r="A473" s="1561"/>
      <c r="C473" s="1574"/>
    </row>
    <row r="474" spans="1:3" s="1559" customFormat="1" x14ac:dyDescent="0.3">
      <c r="A474" s="1561"/>
      <c r="C474" s="1574"/>
    </row>
    <row r="475" spans="1:3" s="1559" customFormat="1" x14ac:dyDescent="0.3">
      <c r="A475" s="1561"/>
      <c r="C475" s="1574"/>
    </row>
    <row r="476" spans="1:3" s="1559" customFormat="1" x14ac:dyDescent="0.3">
      <c r="A476" s="1561"/>
      <c r="C476" s="1574"/>
    </row>
    <row r="477" spans="1:3" s="1559" customFormat="1" x14ac:dyDescent="0.3">
      <c r="A477" s="1561"/>
      <c r="C477" s="1574"/>
    </row>
    <row r="478" spans="1:3" s="1559" customFormat="1" x14ac:dyDescent="0.3">
      <c r="A478" s="1561"/>
      <c r="C478" s="1574"/>
    </row>
    <row r="479" spans="1:3" s="1559" customFormat="1" x14ac:dyDescent="0.3">
      <c r="A479" s="1561"/>
      <c r="C479" s="1574"/>
    </row>
    <row r="480" spans="1:3" s="1559" customFormat="1" x14ac:dyDescent="0.3">
      <c r="A480" s="1561"/>
      <c r="C480" s="1574"/>
    </row>
    <row r="481" spans="1:3" s="1559" customFormat="1" x14ac:dyDescent="0.3">
      <c r="A481" s="1561"/>
      <c r="C481" s="1574"/>
    </row>
    <row r="482" spans="1:3" s="1559" customFormat="1" x14ac:dyDescent="0.3">
      <c r="A482" s="1561"/>
      <c r="C482" s="1574"/>
    </row>
    <row r="483" spans="1:3" s="1559" customFormat="1" x14ac:dyDescent="0.3">
      <c r="A483" s="1561"/>
      <c r="C483" s="1574"/>
    </row>
    <row r="484" spans="1:3" s="1559" customFormat="1" x14ac:dyDescent="0.3">
      <c r="A484" s="1561"/>
      <c r="C484" s="1574"/>
    </row>
    <row r="485" spans="1:3" s="1559" customFormat="1" x14ac:dyDescent="0.3">
      <c r="A485" s="1561"/>
      <c r="C485" s="1574"/>
    </row>
    <row r="486" spans="1:3" s="1559" customFormat="1" x14ac:dyDescent="0.3">
      <c r="A486" s="1561"/>
      <c r="C486" s="1574"/>
    </row>
    <row r="487" spans="1:3" s="1559" customFormat="1" x14ac:dyDescent="0.3">
      <c r="A487" s="1561"/>
      <c r="C487" s="1574"/>
    </row>
    <row r="488" spans="1:3" s="1559" customFormat="1" x14ac:dyDescent="0.3">
      <c r="A488" s="1561"/>
      <c r="C488" s="1574"/>
    </row>
    <row r="489" spans="1:3" s="1559" customFormat="1" x14ac:dyDescent="0.3">
      <c r="A489" s="1561"/>
      <c r="C489" s="1574"/>
    </row>
    <row r="490" spans="1:3" s="1559" customFormat="1" x14ac:dyDescent="0.3">
      <c r="A490" s="1561"/>
      <c r="C490" s="1574"/>
    </row>
    <row r="491" spans="1:3" s="1559" customFormat="1" x14ac:dyDescent="0.3">
      <c r="A491" s="1561"/>
      <c r="C491" s="1574"/>
    </row>
    <row r="492" spans="1:3" s="1559" customFormat="1" x14ac:dyDescent="0.3">
      <c r="A492" s="1561"/>
      <c r="C492" s="1574"/>
    </row>
    <row r="493" spans="1:3" s="1559" customFormat="1" x14ac:dyDescent="0.3">
      <c r="A493" s="1561"/>
      <c r="C493" s="1574"/>
    </row>
    <row r="494" spans="1:3" s="1559" customFormat="1" x14ac:dyDescent="0.3">
      <c r="A494" s="1561"/>
      <c r="C494" s="1574"/>
    </row>
    <row r="495" spans="1:3" s="1559" customFormat="1" x14ac:dyDescent="0.3">
      <c r="A495" s="1561"/>
      <c r="C495" s="1574"/>
    </row>
    <row r="496" spans="1:3" s="1559" customFormat="1" x14ac:dyDescent="0.3">
      <c r="A496" s="1561"/>
      <c r="C496" s="1574"/>
    </row>
    <row r="497" spans="1:3" s="1559" customFormat="1" x14ac:dyDescent="0.3">
      <c r="A497" s="1561"/>
      <c r="C497" s="1574"/>
    </row>
    <row r="498" spans="1:3" s="1559" customFormat="1" x14ac:dyDescent="0.3">
      <c r="A498" s="1561"/>
      <c r="C498" s="1574"/>
    </row>
    <row r="499" spans="1:3" s="1559" customFormat="1" x14ac:dyDescent="0.3">
      <c r="A499" s="1561"/>
      <c r="C499" s="1574"/>
    </row>
    <row r="500" spans="1:3" s="1559" customFormat="1" x14ac:dyDescent="0.3">
      <c r="A500" s="1561"/>
      <c r="C500" s="1574"/>
    </row>
    <row r="501" spans="1:3" s="1559" customFormat="1" x14ac:dyDescent="0.3">
      <c r="A501" s="1561"/>
      <c r="C501" s="1574"/>
    </row>
    <row r="502" spans="1:3" s="1559" customFormat="1" x14ac:dyDescent="0.3">
      <c r="A502" s="1561"/>
      <c r="C502" s="1574"/>
    </row>
    <row r="503" spans="1:3" s="1559" customFormat="1" x14ac:dyDescent="0.3">
      <c r="A503" s="1561"/>
      <c r="C503" s="1574"/>
    </row>
    <row r="504" spans="1:3" s="1559" customFormat="1" x14ac:dyDescent="0.3">
      <c r="A504" s="1561"/>
      <c r="C504" s="1574"/>
    </row>
    <row r="505" spans="1:3" s="1559" customFormat="1" x14ac:dyDescent="0.3">
      <c r="A505" s="1561"/>
      <c r="C505" s="1574"/>
    </row>
    <row r="506" spans="1:3" s="1559" customFormat="1" x14ac:dyDescent="0.3">
      <c r="A506" s="1561"/>
      <c r="C506" s="1574"/>
    </row>
    <row r="507" spans="1:3" s="1559" customFormat="1" x14ac:dyDescent="0.3">
      <c r="A507" s="1561"/>
      <c r="C507" s="1574"/>
    </row>
    <row r="508" spans="1:3" s="1559" customFormat="1" x14ac:dyDescent="0.3">
      <c r="A508" s="1561"/>
      <c r="C508" s="1574"/>
    </row>
    <row r="509" spans="1:3" s="1559" customFormat="1" x14ac:dyDescent="0.3">
      <c r="A509" s="1561"/>
      <c r="C509" s="1574"/>
    </row>
    <row r="510" spans="1:3" s="1559" customFormat="1" x14ac:dyDescent="0.3">
      <c r="A510" s="1561"/>
      <c r="C510" s="1574"/>
    </row>
    <row r="511" spans="1:3" s="1559" customFormat="1" x14ac:dyDescent="0.3">
      <c r="A511" s="1561"/>
      <c r="C511" s="1574"/>
    </row>
    <row r="512" spans="1:3" s="1559" customFormat="1" x14ac:dyDescent="0.3">
      <c r="A512" s="1561"/>
      <c r="C512" s="1574"/>
    </row>
    <row r="513" spans="1:3" s="1559" customFormat="1" x14ac:dyDescent="0.3">
      <c r="A513" s="1561"/>
      <c r="C513" s="1574"/>
    </row>
    <row r="514" spans="1:3" s="1559" customFormat="1" x14ac:dyDescent="0.3">
      <c r="A514" s="1561"/>
      <c r="C514" s="1574"/>
    </row>
    <row r="515" spans="1:3" s="1559" customFormat="1" x14ac:dyDescent="0.3">
      <c r="A515" s="1561"/>
      <c r="C515" s="1574"/>
    </row>
    <row r="516" spans="1:3" s="1559" customFormat="1" x14ac:dyDescent="0.3">
      <c r="A516" s="1561"/>
      <c r="C516" s="1574"/>
    </row>
    <row r="517" spans="1:3" s="1559" customFormat="1" x14ac:dyDescent="0.3">
      <c r="A517" s="1561"/>
      <c r="C517" s="1574"/>
    </row>
    <row r="518" spans="1:3" s="1559" customFormat="1" x14ac:dyDescent="0.3">
      <c r="A518" s="1561"/>
      <c r="C518" s="1574"/>
    </row>
    <row r="519" spans="1:3" s="1559" customFormat="1" x14ac:dyDescent="0.3">
      <c r="A519" s="1561"/>
      <c r="C519" s="1574"/>
    </row>
    <row r="520" spans="1:3" s="1559" customFormat="1" x14ac:dyDescent="0.3">
      <c r="A520" s="1561"/>
      <c r="C520" s="1574"/>
    </row>
    <row r="521" spans="1:3" s="1559" customFormat="1" x14ac:dyDescent="0.3">
      <c r="A521" s="1561"/>
      <c r="C521" s="1574"/>
    </row>
    <row r="522" spans="1:3" s="1559" customFormat="1" x14ac:dyDescent="0.3">
      <c r="A522" s="1561"/>
      <c r="C522" s="1574"/>
    </row>
    <row r="523" spans="1:3" s="1559" customFormat="1" x14ac:dyDescent="0.3">
      <c r="A523" s="1561"/>
      <c r="C523" s="1574"/>
    </row>
    <row r="524" spans="1:3" s="1559" customFormat="1" x14ac:dyDescent="0.3">
      <c r="A524" s="1561"/>
      <c r="C524" s="1574"/>
    </row>
    <row r="525" spans="1:3" s="1559" customFormat="1" x14ac:dyDescent="0.3">
      <c r="A525" s="1561"/>
      <c r="C525" s="1574"/>
    </row>
    <row r="526" spans="1:3" s="1559" customFormat="1" x14ac:dyDescent="0.3">
      <c r="A526" s="1561"/>
      <c r="C526" s="1574"/>
    </row>
    <row r="527" spans="1:3" s="1559" customFormat="1" x14ac:dyDescent="0.3">
      <c r="A527" s="1561"/>
      <c r="C527" s="1574"/>
    </row>
    <row r="528" spans="1:3" s="1559" customFormat="1" x14ac:dyDescent="0.3">
      <c r="A528" s="1561"/>
      <c r="C528" s="1574"/>
    </row>
    <row r="529" spans="1:3" s="1559" customFormat="1" x14ac:dyDescent="0.3">
      <c r="A529" s="1561"/>
      <c r="C529" s="1574"/>
    </row>
    <row r="530" spans="1:3" s="1559" customFormat="1" x14ac:dyDescent="0.3">
      <c r="A530" s="1561"/>
      <c r="C530" s="1574"/>
    </row>
    <row r="531" spans="1:3" s="1559" customFormat="1" x14ac:dyDescent="0.3">
      <c r="A531" s="1561"/>
      <c r="C531" s="1574"/>
    </row>
    <row r="532" spans="1:3" s="1559" customFormat="1" x14ac:dyDescent="0.3">
      <c r="A532" s="1561"/>
      <c r="C532" s="1574"/>
    </row>
    <row r="533" spans="1:3" s="1559" customFormat="1" x14ac:dyDescent="0.3">
      <c r="A533" s="1561"/>
      <c r="C533" s="1574"/>
    </row>
    <row r="534" spans="1:3" s="1559" customFormat="1" x14ac:dyDescent="0.3">
      <c r="A534" s="1561"/>
      <c r="C534" s="1574"/>
    </row>
    <row r="535" spans="1:3" s="1559" customFormat="1" x14ac:dyDescent="0.3">
      <c r="A535" s="1561"/>
      <c r="C535" s="1574"/>
    </row>
    <row r="536" spans="1:3" s="1559" customFormat="1" x14ac:dyDescent="0.3">
      <c r="A536" s="1561"/>
      <c r="C536" s="1574"/>
    </row>
    <row r="537" spans="1:3" s="1559" customFormat="1" x14ac:dyDescent="0.3">
      <c r="A537" s="1561"/>
      <c r="C537" s="1574"/>
    </row>
    <row r="538" spans="1:3" s="1559" customFormat="1" x14ac:dyDescent="0.3">
      <c r="A538" s="1561"/>
      <c r="C538" s="1574"/>
    </row>
    <row r="539" spans="1:3" s="1559" customFormat="1" x14ac:dyDescent="0.3">
      <c r="A539" s="1561"/>
      <c r="C539" s="1574"/>
    </row>
    <row r="540" spans="1:3" s="1559" customFormat="1" x14ac:dyDescent="0.3">
      <c r="A540" s="1561"/>
      <c r="C540" s="1574"/>
    </row>
    <row r="541" spans="1:3" s="1559" customFormat="1" x14ac:dyDescent="0.3">
      <c r="A541" s="1561"/>
      <c r="C541" s="1574"/>
    </row>
    <row r="542" spans="1:3" s="1559" customFormat="1" x14ac:dyDescent="0.3">
      <c r="A542" s="1561"/>
      <c r="C542" s="1574"/>
    </row>
    <row r="543" spans="1:3" s="1559" customFormat="1" x14ac:dyDescent="0.3">
      <c r="A543" s="1561"/>
      <c r="C543" s="1574"/>
    </row>
    <row r="544" spans="1:3" s="1559" customFormat="1" x14ac:dyDescent="0.3">
      <c r="A544" s="1561"/>
      <c r="C544" s="1574"/>
    </row>
    <row r="545" spans="1:3" s="1559" customFormat="1" x14ac:dyDescent="0.3">
      <c r="A545" s="1561"/>
      <c r="C545" s="1574"/>
    </row>
    <row r="546" spans="1:3" s="1559" customFormat="1" x14ac:dyDescent="0.3">
      <c r="A546" s="1561"/>
      <c r="C546" s="1574"/>
    </row>
    <row r="547" spans="1:3" s="1559" customFormat="1" x14ac:dyDescent="0.3">
      <c r="A547" s="1561"/>
      <c r="C547" s="1574"/>
    </row>
    <row r="548" spans="1:3" s="1559" customFormat="1" x14ac:dyDescent="0.3">
      <c r="A548" s="1561"/>
      <c r="C548" s="1574"/>
    </row>
    <row r="549" spans="1:3" s="1559" customFormat="1" x14ac:dyDescent="0.3">
      <c r="A549" s="1561"/>
      <c r="C549" s="1574"/>
    </row>
    <row r="550" spans="1:3" s="1559" customFormat="1" x14ac:dyDescent="0.3">
      <c r="A550" s="1561"/>
      <c r="C550" s="1574"/>
    </row>
    <row r="551" spans="1:3" s="1559" customFormat="1" x14ac:dyDescent="0.3">
      <c r="A551" s="1561"/>
      <c r="C551" s="1574"/>
    </row>
    <row r="552" spans="1:3" s="1559" customFormat="1" x14ac:dyDescent="0.3">
      <c r="A552" s="1561"/>
      <c r="C552" s="1574"/>
    </row>
    <row r="553" spans="1:3" s="1559" customFormat="1" x14ac:dyDescent="0.3">
      <c r="A553" s="1561"/>
      <c r="C553" s="1574"/>
    </row>
    <row r="554" spans="1:3" s="1559" customFormat="1" x14ac:dyDescent="0.3">
      <c r="A554" s="1561"/>
      <c r="C554" s="1574"/>
    </row>
    <row r="555" spans="1:3" s="1559" customFormat="1" x14ac:dyDescent="0.3">
      <c r="A555" s="1561"/>
      <c r="C555" s="1574"/>
    </row>
    <row r="556" spans="1:3" s="1559" customFormat="1" x14ac:dyDescent="0.3">
      <c r="A556" s="1561"/>
      <c r="C556" s="1574"/>
    </row>
    <row r="557" spans="1:3" s="1559" customFormat="1" x14ac:dyDescent="0.3">
      <c r="A557" s="1561"/>
      <c r="C557" s="1574"/>
    </row>
    <row r="558" spans="1:3" s="1559" customFormat="1" x14ac:dyDescent="0.3">
      <c r="A558" s="1561"/>
      <c r="C558" s="1574"/>
    </row>
    <row r="559" spans="1:3" s="1559" customFormat="1" x14ac:dyDescent="0.3">
      <c r="A559" s="1561"/>
      <c r="C559" s="1574"/>
    </row>
    <row r="560" spans="1:3" s="1559" customFormat="1" x14ac:dyDescent="0.3">
      <c r="A560" s="1561"/>
      <c r="C560" s="1574"/>
    </row>
    <row r="561" spans="1:3" s="1559" customFormat="1" x14ac:dyDescent="0.3">
      <c r="A561" s="1561"/>
      <c r="C561" s="1574"/>
    </row>
    <row r="562" spans="1:3" s="1559" customFormat="1" x14ac:dyDescent="0.3">
      <c r="A562" s="1561"/>
      <c r="C562" s="1574"/>
    </row>
    <row r="563" spans="1:3" s="1559" customFormat="1" x14ac:dyDescent="0.3">
      <c r="A563" s="1561"/>
      <c r="C563" s="1574"/>
    </row>
    <row r="564" spans="1:3" s="1559" customFormat="1" x14ac:dyDescent="0.3">
      <c r="A564" s="1561"/>
      <c r="C564" s="1574"/>
    </row>
    <row r="565" spans="1:3" s="1559" customFormat="1" x14ac:dyDescent="0.3">
      <c r="A565" s="1561"/>
      <c r="C565" s="1574"/>
    </row>
    <row r="566" spans="1:3" s="1559" customFormat="1" x14ac:dyDescent="0.3">
      <c r="A566" s="1561"/>
      <c r="C566" s="1574"/>
    </row>
    <row r="567" spans="1:3" s="1559" customFormat="1" x14ac:dyDescent="0.3">
      <c r="A567" s="1561"/>
      <c r="C567" s="1574"/>
    </row>
    <row r="568" spans="1:3" s="1559" customFormat="1" x14ac:dyDescent="0.3">
      <c r="A568" s="1561"/>
      <c r="C568" s="1574"/>
    </row>
    <row r="569" spans="1:3" s="1559" customFormat="1" x14ac:dyDescent="0.3">
      <c r="A569" s="1561"/>
      <c r="C569" s="1574"/>
    </row>
    <row r="570" spans="1:3" s="1559" customFormat="1" x14ac:dyDescent="0.3">
      <c r="A570" s="1561"/>
      <c r="C570" s="1574"/>
    </row>
    <row r="571" spans="1:3" s="1559" customFormat="1" x14ac:dyDescent="0.3">
      <c r="A571" s="1561"/>
      <c r="C571" s="1574"/>
    </row>
    <row r="572" spans="1:3" s="1559" customFormat="1" x14ac:dyDescent="0.3">
      <c r="A572" s="1561"/>
      <c r="C572" s="1574"/>
    </row>
    <row r="573" spans="1:3" s="1559" customFormat="1" x14ac:dyDescent="0.3">
      <c r="A573" s="1561"/>
      <c r="C573" s="1574"/>
    </row>
    <row r="574" spans="1:3" s="1559" customFormat="1" x14ac:dyDescent="0.3">
      <c r="A574" s="1561"/>
      <c r="C574" s="1574"/>
    </row>
    <row r="575" spans="1:3" s="1559" customFormat="1" x14ac:dyDescent="0.3">
      <c r="A575" s="1561"/>
      <c r="C575" s="1574"/>
    </row>
    <row r="576" spans="1:3" s="1559" customFormat="1" x14ac:dyDescent="0.3">
      <c r="A576" s="1561"/>
      <c r="C576" s="1574"/>
    </row>
    <row r="577" spans="1:3" s="1559" customFormat="1" x14ac:dyDescent="0.3">
      <c r="A577" s="1561"/>
      <c r="C577" s="1574"/>
    </row>
    <row r="578" spans="1:3" s="1559" customFormat="1" x14ac:dyDescent="0.3">
      <c r="A578" s="1561"/>
      <c r="C578" s="1574"/>
    </row>
    <row r="579" spans="1:3" s="1559" customFormat="1" x14ac:dyDescent="0.3">
      <c r="A579" s="1561"/>
      <c r="C579" s="1574"/>
    </row>
    <row r="580" spans="1:3" s="1559" customFormat="1" x14ac:dyDescent="0.3">
      <c r="A580" s="1561"/>
      <c r="C580" s="1574"/>
    </row>
    <row r="581" spans="1:3" s="1559" customFormat="1" x14ac:dyDescent="0.3">
      <c r="A581" s="1561"/>
      <c r="C581" s="1574"/>
    </row>
    <row r="582" spans="1:3" s="1559" customFormat="1" x14ac:dyDescent="0.3">
      <c r="A582" s="1561"/>
      <c r="C582" s="1574"/>
    </row>
    <row r="583" spans="1:3" s="1559" customFormat="1" x14ac:dyDescent="0.3">
      <c r="A583" s="1561"/>
      <c r="C583" s="1574"/>
    </row>
    <row r="584" spans="1:3" s="1559" customFormat="1" x14ac:dyDescent="0.3">
      <c r="A584" s="1561"/>
      <c r="C584" s="1574"/>
    </row>
    <row r="585" spans="1:3" s="1559" customFormat="1" x14ac:dyDescent="0.3">
      <c r="A585" s="1561"/>
      <c r="C585" s="1574"/>
    </row>
    <row r="586" spans="1:3" s="1559" customFormat="1" x14ac:dyDescent="0.3">
      <c r="A586" s="1561"/>
      <c r="C586" s="1574"/>
    </row>
    <row r="587" spans="1:3" s="1559" customFormat="1" x14ac:dyDescent="0.3">
      <c r="A587" s="1561"/>
      <c r="C587" s="1574"/>
    </row>
    <row r="588" spans="1:3" s="1559" customFormat="1" x14ac:dyDescent="0.3">
      <c r="A588" s="1561"/>
      <c r="C588" s="1574"/>
    </row>
    <row r="589" spans="1:3" s="1559" customFormat="1" x14ac:dyDescent="0.3">
      <c r="A589" s="1561"/>
      <c r="C589" s="1574"/>
    </row>
    <row r="590" spans="1:3" s="1559" customFormat="1" x14ac:dyDescent="0.3">
      <c r="A590" s="1561"/>
      <c r="C590" s="1574"/>
    </row>
    <row r="591" spans="1:3" s="1559" customFormat="1" x14ac:dyDescent="0.3">
      <c r="A591" s="1561"/>
      <c r="C591" s="1574"/>
    </row>
    <row r="592" spans="1:3" s="1559" customFormat="1" x14ac:dyDescent="0.3">
      <c r="A592" s="1561"/>
      <c r="C592" s="1574"/>
    </row>
    <row r="593" spans="1:3" s="1559" customFormat="1" x14ac:dyDescent="0.3">
      <c r="A593" s="1561"/>
      <c r="C593" s="1574"/>
    </row>
    <row r="594" spans="1:3" s="1559" customFormat="1" x14ac:dyDescent="0.3">
      <c r="A594" s="1561"/>
      <c r="C594" s="1574"/>
    </row>
    <row r="595" spans="1:3" s="1559" customFormat="1" x14ac:dyDescent="0.3">
      <c r="A595" s="1561"/>
      <c r="C595" s="1574"/>
    </row>
    <row r="596" spans="1:3" s="1559" customFormat="1" x14ac:dyDescent="0.3">
      <c r="A596" s="1561"/>
      <c r="C596" s="1574"/>
    </row>
    <row r="597" spans="1:3" s="1559" customFormat="1" x14ac:dyDescent="0.3">
      <c r="A597" s="1561"/>
      <c r="C597" s="1574"/>
    </row>
    <row r="598" spans="1:3" s="1559" customFormat="1" x14ac:dyDescent="0.3">
      <c r="A598" s="1561"/>
      <c r="C598" s="1574"/>
    </row>
    <row r="599" spans="1:3" s="1559" customFormat="1" x14ac:dyDescent="0.3">
      <c r="A599" s="1561"/>
      <c r="C599" s="1574"/>
    </row>
    <row r="600" spans="1:3" s="1559" customFormat="1" x14ac:dyDescent="0.3">
      <c r="A600" s="1561"/>
      <c r="C600" s="1574"/>
    </row>
    <row r="601" spans="1:3" s="1559" customFormat="1" x14ac:dyDescent="0.3">
      <c r="A601" s="1561"/>
      <c r="C601" s="1574"/>
    </row>
    <row r="602" spans="1:3" s="1559" customFormat="1" x14ac:dyDescent="0.3">
      <c r="A602" s="1561"/>
      <c r="C602" s="1574"/>
    </row>
    <row r="603" spans="1:3" s="1559" customFormat="1" x14ac:dyDescent="0.3">
      <c r="A603" s="1561"/>
      <c r="C603" s="1574"/>
    </row>
    <row r="604" spans="1:3" s="1559" customFormat="1" x14ac:dyDescent="0.3">
      <c r="A604" s="1561"/>
      <c r="C604" s="1574"/>
    </row>
    <row r="605" spans="1:3" s="1559" customFormat="1" x14ac:dyDescent="0.3">
      <c r="A605" s="1561"/>
      <c r="C605" s="1574"/>
    </row>
    <row r="606" spans="1:3" s="1559" customFormat="1" x14ac:dyDescent="0.3">
      <c r="A606" s="1561"/>
      <c r="C606" s="1574"/>
    </row>
    <row r="607" spans="1:3" s="1559" customFormat="1" x14ac:dyDescent="0.3">
      <c r="A607" s="1561"/>
      <c r="C607" s="1574"/>
    </row>
    <row r="608" spans="1:3" s="1559" customFormat="1" x14ac:dyDescent="0.3">
      <c r="A608" s="1561"/>
      <c r="C608" s="1574"/>
    </row>
    <row r="609" spans="1:3" s="1559" customFormat="1" x14ac:dyDescent="0.3">
      <c r="A609" s="1561"/>
      <c r="C609" s="1574"/>
    </row>
    <row r="610" spans="1:3" s="1559" customFormat="1" x14ac:dyDescent="0.3">
      <c r="A610" s="1561"/>
      <c r="C610" s="1574"/>
    </row>
    <row r="611" spans="1:3" s="1559" customFormat="1" x14ac:dyDescent="0.3">
      <c r="A611" s="1561"/>
      <c r="C611" s="1574"/>
    </row>
    <row r="612" spans="1:3" s="1559" customFormat="1" x14ac:dyDescent="0.3">
      <c r="A612" s="1561"/>
      <c r="C612" s="1574"/>
    </row>
    <row r="613" spans="1:3" s="1559" customFormat="1" x14ac:dyDescent="0.3">
      <c r="A613" s="1561"/>
      <c r="C613" s="1574"/>
    </row>
    <row r="614" spans="1:3" s="1559" customFormat="1" x14ac:dyDescent="0.3">
      <c r="A614" s="1561"/>
      <c r="C614" s="1574"/>
    </row>
    <row r="615" spans="1:3" s="1559" customFormat="1" x14ac:dyDescent="0.3">
      <c r="A615" s="1561"/>
      <c r="C615" s="1574"/>
    </row>
    <row r="616" spans="1:3" s="1559" customFormat="1" x14ac:dyDescent="0.3">
      <c r="A616" s="1561"/>
      <c r="C616" s="1574"/>
    </row>
    <row r="617" spans="1:3" s="1559" customFormat="1" x14ac:dyDescent="0.3">
      <c r="A617" s="1561"/>
      <c r="C617" s="1574"/>
    </row>
    <row r="618" spans="1:3" s="1559" customFormat="1" x14ac:dyDescent="0.3">
      <c r="A618" s="1561"/>
      <c r="C618" s="1574"/>
    </row>
    <row r="619" spans="1:3" s="1559" customFormat="1" x14ac:dyDescent="0.3">
      <c r="A619" s="1561"/>
      <c r="C619" s="1574"/>
    </row>
    <row r="620" spans="1:3" s="1559" customFormat="1" x14ac:dyDescent="0.3">
      <c r="A620" s="1561"/>
      <c r="C620" s="1574"/>
    </row>
    <row r="621" spans="1:3" s="1559" customFormat="1" x14ac:dyDescent="0.3">
      <c r="A621" s="1561"/>
      <c r="C621" s="1574"/>
    </row>
    <row r="622" spans="1:3" s="1559" customFormat="1" x14ac:dyDescent="0.3">
      <c r="A622" s="1561"/>
      <c r="C622" s="1574"/>
    </row>
    <row r="623" spans="1:3" s="1559" customFormat="1" x14ac:dyDescent="0.3">
      <c r="A623" s="1561"/>
      <c r="C623" s="1574"/>
    </row>
    <row r="624" spans="1:3" s="1559" customFormat="1" x14ac:dyDescent="0.3">
      <c r="A624" s="1561"/>
      <c r="C624" s="1574"/>
    </row>
    <row r="625" spans="1:3" s="1559" customFormat="1" x14ac:dyDescent="0.3">
      <c r="A625" s="1561"/>
      <c r="C625" s="1574"/>
    </row>
    <row r="626" spans="1:3" s="1559" customFormat="1" x14ac:dyDescent="0.3">
      <c r="A626" s="1561"/>
      <c r="C626" s="1574"/>
    </row>
    <row r="627" spans="1:3" s="1559" customFormat="1" x14ac:dyDescent="0.3">
      <c r="A627" s="1561"/>
      <c r="C627" s="1574"/>
    </row>
    <row r="628" spans="1:3" s="1559" customFormat="1" x14ac:dyDescent="0.3">
      <c r="A628" s="1561"/>
      <c r="C628" s="1574"/>
    </row>
    <row r="629" spans="1:3" s="1559" customFormat="1" x14ac:dyDescent="0.3">
      <c r="A629" s="1561"/>
      <c r="C629" s="1574"/>
    </row>
    <row r="630" spans="1:3" s="1559" customFormat="1" x14ac:dyDescent="0.3">
      <c r="A630" s="1561"/>
      <c r="C630" s="1574"/>
    </row>
    <row r="631" spans="1:3" s="1559" customFormat="1" x14ac:dyDescent="0.3">
      <c r="A631" s="1561"/>
      <c r="C631" s="1574"/>
    </row>
    <row r="632" spans="1:3" s="1559" customFormat="1" x14ac:dyDescent="0.3">
      <c r="A632" s="1561"/>
      <c r="C632" s="1574"/>
    </row>
    <row r="633" spans="1:3" s="1559" customFormat="1" x14ac:dyDescent="0.3">
      <c r="A633" s="1561"/>
      <c r="C633" s="1574"/>
    </row>
    <row r="634" spans="1:3" s="1559" customFormat="1" x14ac:dyDescent="0.3">
      <c r="A634" s="1561"/>
      <c r="C634" s="1574"/>
    </row>
    <row r="635" spans="1:3" s="1559" customFormat="1" x14ac:dyDescent="0.3">
      <c r="A635" s="1561"/>
      <c r="C635" s="1574"/>
    </row>
    <row r="636" spans="1:3" s="1559" customFormat="1" x14ac:dyDescent="0.3">
      <c r="A636" s="1561"/>
      <c r="C636" s="1574"/>
    </row>
    <row r="637" spans="1:3" s="1559" customFormat="1" x14ac:dyDescent="0.3">
      <c r="A637" s="1561"/>
      <c r="C637" s="1574"/>
    </row>
    <row r="638" spans="1:3" s="1559" customFormat="1" x14ac:dyDescent="0.3">
      <c r="A638" s="1561"/>
      <c r="C638" s="1574"/>
    </row>
    <row r="639" spans="1:3" s="1559" customFormat="1" x14ac:dyDescent="0.3">
      <c r="A639" s="1561"/>
      <c r="C639" s="1574"/>
    </row>
    <row r="640" spans="1:3" s="1559" customFormat="1" x14ac:dyDescent="0.3">
      <c r="A640" s="1561"/>
      <c r="C640" s="1574"/>
    </row>
    <row r="641" spans="1:3" s="1559" customFormat="1" x14ac:dyDescent="0.3">
      <c r="A641" s="1561"/>
      <c r="C641" s="1574"/>
    </row>
    <row r="642" spans="1:3" s="1559" customFormat="1" x14ac:dyDescent="0.3">
      <c r="A642" s="1561"/>
      <c r="C642" s="1574"/>
    </row>
    <row r="643" spans="1:3" s="1559" customFormat="1" x14ac:dyDescent="0.3">
      <c r="A643" s="1561"/>
      <c r="C643" s="1574"/>
    </row>
    <row r="644" spans="1:3" s="1559" customFormat="1" x14ac:dyDescent="0.3">
      <c r="A644" s="1561"/>
      <c r="C644" s="1574"/>
    </row>
    <row r="645" spans="1:3" s="1559" customFormat="1" x14ac:dyDescent="0.3">
      <c r="A645" s="1561"/>
      <c r="C645" s="1574"/>
    </row>
    <row r="646" spans="1:3" s="1559" customFormat="1" x14ac:dyDescent="0.3">
      <c r="A646" s="1561"/>
      <c r="C646" s="1574"/>
    </row>
    <row r="647" spans="1:3" s="1559" customFormat="1" x14ac:dyDescent="0.3">
      <c r="A647" s="1561"/>
      <c r="C647" s="1574"/>
    </row>
    <row r="648" spans="1:3" s="1559" customFormat="1" x14ac:dyDescent="0.3">
      <c r="A648" s="1561"/>
      <c r="C648" s="1574"/>
    </row>
    <row r="649" spans="1:3" s="1559" customFormat="1" x14ac:dyDescent="0.3">
      <c r="A649" s="1561"/>
      <c r="C649" s="1574"/>
    </row>
    <row r="650" spans="1:3" s="1559" customFormat="1" x14ac:dyDescent="0.3">
      <c r="A650" s="1561"/>
      <c r="C650" s="1574"/>
    </row>
    <row r="651" spans="1:3" s="1559" customFormat="1" x14ac:dyDescent="0.3">
      <c r="A651" s="1561"/>
      <c r="C651" s="1574"/>
    </row>
    <row r="652" spans="1:3" s="1559" customFormat="1" x14ac:dyDescent="0.3">
      <c r="A652" s="1561"/>
      <c r="C652" s="1574"/>
    </row>
    <row r="653" spans="1:3" s="1559" customFormat="1" x14ac:dyDescent="0.3">
      <c r="A653" s="1561"/>
      <c r="C653" s="1574"/>
    </row>
    <row r="654" spans="1:3" s="1559" customFormat="1" x14ac:dyDescent="0.3">
      <c r="A654" s="1561"/>
      <c r="C654" s="1574"/>
    </row>
    <row r="655" spans="1:3" s="1559" customFormat="1" x14ac:dyDescent="0.3">
      <c r="A655" s="1561"/>
      <c r="C655" s="1574"/>
    </row>
    <row r="656" spans="1:3" s="1559" customFormat="1" x14ac:dyDescent="0.3">
      <c r="A656" s="1561"/>
      <c r="C656" s="1574"/>
    </row>
    <row r="657" spans="1:3" s="1559" customFormat="1" x14ac:dyDescent="0.3">
      <c r="A657" s="1561"/>
      <c r="C657" s="1574"/>
    </row>
    <row r="658" spans="1:3" s="1559" customFormat="1" x14ac:dyDescent="0.3">
      <c r="A658" s="1561"/>
      <c r="C658" s="1574"/>
    </row>
    <row r="659" spans="1:3" s="1559" customFormat="1" x14ac:dyDescent="0.3">
      <c r="A659" s="1561"/>
      <c r="C659" s="1574"/>
    </row>
    <row r="660" spans="1:3" s="1559" customFormat="1" x14ac:dyDescent="0.3">
      <c r="A660" s="1561"/>
      <c r="C660" s="1574"/>
    </row>
    <row r="661" spans="1:3" s="1559" customFormat="1" x14ac:dyDescent="0.3">
      <c r="A661" s="1561"/>
      <c r="C661" s="1574"/>
    </row>
    <row r="662" spans="1:3" s="1559" customFormat="1" x14ac:dyDescent="0.3">
      <c r="A662" s="1561"/>
      <c r="C662" s="1574"/>
    </row>
    <row r="663" spans="1:3" s="1559" customFormat="1" x14ac:dyDescent="0.3">
      <c r="A663" s="1561"/>
      <c r="C663" s="1574"/>
    </row>
    <row r="664" spans="1:3" s="1559" customFormat="1" x14ac:dyDescent="0.3">
      <c r="A664" s="1561"/>
      <c r="C664" s="1574"/>
    </row>
    <row r="665" spans="1:3" s="1559" customFormat="1" x14ac:dyDescent="0.3">
      <c r="A665" s="1561"/>
      <c r="C665" s="1574"/>
    </row>
    <row r="666" spans="1:3" s="1559" customFormat="1" x14ac:dyDescent="0.3">
      <c r="A666" s="1561"/>
      <c r="C666" s="1574"/>
    </row>
    <row r="667" spans="1:3" s="1559" customFormat="1" x14ac:dyDescent="0.3">
      <c r="A667" s="1561"/>
      <c r="C667" s="1574"/>
    </row>
    <row r="668" spans="1:3" s="1559" customFormat="1" x14ac:dyDescent="0.3">
      <c r="A668" s="1561"/>
      <c r="C668" s="1574"/>
    </row>
    <row r="669" spans="1:3" s="1559" customFormat="1" x14ac:dyDescent="0.3">
      <c r="A669" s="1561"/>
      <c r="C669" s="1574"/>
    </row>
    <row r="670" spans="1:3" s="1559" customFormat="1" x14ac:dyDescent="0.3">
      <c r="A670" s="1561"/>
      <c r="C670" s="1574"/>
    </row>
    <row r="671" spans="1:3" s="1559" customFormat="1" x14ac:dyDescent="0.3">
      <c r="A671" s="1561"/>
      <c r="C671" s="1574"/>
    </row>
    <row r="672" spans="1:3" s="1559" customFormat="1" x14ac:dyDescent="0.3">
      <c r="A672" s="1561"/>
      <c r="C672" s="1574"/>
    </row>
    <row r="673" spans="1:3" s="1559" customFormat="1" x14ac:dyDescent="0.3">
      <c r="A673" s="1561"/>
      <c r="C673" s="1574"/>
    </row>
    <row r="674" spans="1:3" s="1559" customFormat="1" x14ac:dyDescent="0.3">
      <c r="A674" s="1561"/>
      <c r="C674" s="1574"/>
    </row>
    <row r="675" spans="1:3" s="1559" customFormat="1" x14ac:dyDescent="0.3">
      <c r="A675" s="1561"/>
      <c r="C675" s="1574"/>
    </row>
    <row r="676" spans="1:3" s="1559" customFormat="1" x14ac:dyDescent="0.3">
      <c r="A676" s="1561"/>
      <c r="C676" s="1574"/>
    </row>
    <row r="677" spans="1:3" s="1559" customFormat="1" x14ac:dyDescent="0.3">
      <c r="A677" s="1561"/>
      <c r="C677" s="1574"/>
    </row>
    <row r="678" spans="1:3" s="1559" customFormat="1" x14ac:dyDescent="0.3">
      <c r="A678" s="1561"/>
      <c r="C678" s="1574"/>
    </row>
    <row r="679" spans="1:3" s="1559" customFormat="1" x14ac:dyDescent="0.3">
      <c r="A679" s="1561"/>
      <c r="C679" s="1574"/>
    </row>
    <row r="680" spans="1:3" s="1559" customFormat="1" x14ac:dyDescent="0.3">
      <c r="A680" s="1561"/>
      <c r="C680" s="1574"/>
    </row>
    <row r="681" spans="1:3" s="1559" customFormat="1" x14ac:dyDescent="0.3">
      <c r="A681" s="1561"/>
      <c r="C681" s="1574"/>
    </row>
    <row r="682" spans="1:3" s="1559" customFormat="1" x14ac:dyDescent="0.3">
      <c r="A682" s="1561"/>
      <c r="C682" s="1574"/>
    </row>
    <row r="683" spans="1:3" s="1559" customFormat="1" x14ac:dyDescent="0.3">
      <c r="A683" s="1561"/>
      <c r="C683" s="1574"/>
    </row>
    <row r="684" spans="1:3" s="1559" customFormat="1" x14ac:dyDescent="0.3">
      <c r="A684" s="1561"/>
      <c r="C684" s="1574"/>
    </row>
    <row r="685" spans="1:3" s="1559" customFormat="1" x14ac:dyDescent="0.3">
      <c r="A685" s="1561"/>
      <c r="C685" s="1574"/>
    </row>
    <row r="686" spans="1:3" s="1559" customFormat="1" x14ac:dyDescent="0.3">
      <c r="A686" s="1561"/>
      <c r="C686" s="1574"/>
    </row>
    <row r="687" spans="1:3" s="1559" customFormat="1" x14ac:dyDescent="0.3">
      <c r="A687" s="1561"/>
      <c r="C687" s="1574"/>
    </row>
    <row r="688" spans="1:3" s="1559" customFormat="1" x14ac:dyDescent="0.3">
      <c r="A688" s="1561"/>
      <c r="C688" s="1574"/>
    </row>
    <row r="689" spans="1:3" s="1559" customFormat="1" x14ac:dyDescent="0.3">
      <c r="A689" s="1561"/>
      <c r="C689" s="1574"/>
    </row>
    <row r="690" spans="1:3" s="1559" customFormat="1" x14ac:dyDescent="0.3">
      <c r="A690" s="1561"/>
      <c r="C690" s="1574"/>
    </row>
    <row r="691" spans="1:3" s="1559" customFormat="1" x14ac:dyDescent="0.3">
      <c r="A691" s="1561"/>
      <c r="C691" s="1574"/>
    </row>
    <row r="692" spans="1:3" s="1559" customFormat="1" x14ac:dyDescent="0.3">
      <c r="A692" s="1561"/>
      <c r="C692" s="1574"/>
    </row>
    <row r="693" spans="1:3" s="1559" customFormat="1" x14ac:dyDescent="0.3">
      <c r="A693" s="1561"/>
      <c r="C693" s="1574"/>
    </row>
    <row r="694" spans="1:3" s="1559" customFormat="1" x14ac:dyDescent="0.3">
      <c r="A694" s="1561"/>
      <c r="C694" s="1574"/>
    </row>
    <row r="695" spans="1:3" s="1559" customFormat="1" x14ac:dyDescent="0.3">
      <c r="A695" s="1561"/>
      <c r="C695" s="1574"/>
    </row>
    <row r="696" spans="1:3" s="1559" customFormat="1" x14ac:dyDescent="0.3">
      <c r="A696" s="1561"/>
      <c r="C696" s="1574"/>
    </row>
    <row r="697" spans="1:3" s="1559" customFormat="1" x14ac:dyDescent="0.3">
      <c r="A697" s="1561"/>
      <c r="C697" s="1574"/>
    </row>
    <row r="698" spans="1:3" s="1559" customFormat="1" x14ac:dyDescent="0.3">
      <c r="A698" s="1561"/>
      <c r="C698" s="1574"/>
    </row>
    <row r="699" spans="1:3" s="1559" customFormat="1" x14ac:dyDescent="0.3">
      <c r="A699" s="1561"/>
      <c r="C699" s="1574"/>
    </row>
    <row r="700" spans="1:3" s="1559" customFormat="1" x14ac:dyDescent="0.3">
      <c r="A700" s="1561"/>
      <c r="C700" s="1574"/>
    </row>
    <row r="701" spans="1:3" s="1559" customFormat="1" x14ac:dyDescent="0.3">
      <c r="A701" s="1561"/>
      <c r="C701" s="1574"/>
    </row>
    <row r="702" spans="1:3" s="1559" customFormat="1" x14ac:dyDescent="0.3">
      <c r="A702" s="1561"/>
      <c r="C702" s="1574"/>
    </row>
    <row r="703" spans="1:3" s="1559" customFormat="1" x14ac:dyDescent="0.3">
      <c r="A703" s="1561"/>
      <c r="C703" s="1574"/>
    </row>
    <row r="704" spans="1:3" s="1559" customFormat="1" x14ac:dyDescent="0.3">
      <c r="A704" s="1561"/>
      <c r="C704" s="1574"/>
    </row>
    <row r="705" spans="1:3" s="1559" customFormat="1" x14ac:dyDescent="0.3">
      <c r="A705" s="1561"/>
      <c r="C705" s="1574"/>
    </row>
    <row r="706" spans="1:3" s="1559" customFormat="1" x14ac:dyDescent="0.3">
      <c r="A706" s="1561"/>
      <c r="C706" s="1574"/>
    </row>
    <row r="707" spans="1:3" s="1559" customFormat="1" x14ac:dyDescent="0.3">
      <c r="A707" s="1561"/>
      <c r="C707" s="1574"/>
    </row>
    <row r="708" spans="1:3" s="1559" customFormat="1" x14ac:dyDescent="0.3">
      <c r="A708" s="1561"/>
      <c r="C708" s="1574"/>
    </row>
    <row r="709" spans="1:3" s="1559" customFormat="1" x14ac:dyDescent="0.3">
      <c r="A709" s="1561"/>
      <c r="C709" s="1574"/>
    </row>
    <row r="710" spans="1:3" s="1559" customFormat="1" x14ac:dyDescent="0.3">
      <c r="A710" s="1561"/>
      <c r="C710" s="1574"/>
    </row>
    <row r="711" spans="1:3" s="1559" customFormat="1" x14ac:dyDescent="0.3">
      <c r="A711" s="1561"/>
      <c r="C711" s="1574"/>
    </row>
    <row r="712" spans="1:3" s="1559" customFormat="1" x14ac:dyDescent="0.3">
      <c r="A712" s="1561"/>
      <c r="C712" s="1574"/>
    </row>
    <row r="713" spans="1:3" s="1559" customFormat="1" x14ac:dyDescent="0.3">
      <c r="A713" s="1561"/>
      <c r="C713" s="1574"/>
    </row>
    <row r="714" spans="1:3" s="1559" customFormat="1" x14ac:dyDescent="0.3">
      <c r="A714" s="1561"/>
      <c r="C714" s="1574"/>
    </row>
    <row r="715" spans="1:3" s="1559" customFormat="1" x14ac:dyDescent="0.3">
      <c r="A715" s="1561"/>
      <c r="C715" s="1574"/>
    </row>
    <row r="716" spans="1:3" s="1559" customFormat="1" x14ac:dyDescent="0.3">
      <c r="A716" s="1561"/>
      <c r="C716" s="1574"/>
    </row>
    <row r="717" spans="1:3" s="1559" customFormat="1" x14ac:dyDescent="0.3">
      <c r="A717" s="1561"/>
      <c r="C717" s="1574"/>
    </row>
    <row r="718" spans="1:3" s="1559" customFormat="1" x14ac:dyDescent="0.3">
      <c r="A718" s="1561"/>
      <c r="C718" s="1574"/>
    </row>
    <row r="719" spans="1:3" s="1559" customFormat="1" x14ac:dyDescent="0.3">
      <c r="A719" s="1561"/>
      <c r="C719" s="1574"/>
    </row>
    <row r="720" spans="1:3" s="1559" customFormat="1" x14ac:dyDescent="0.3">
      <c r="A720" s="1561"/>
      <c r="C720" s="1574"/>
    </row>
    <row r="721" spans="1:3" s="1559" customFormat="1" x14ac:dyDescent="0.3">
      <c r="A721" s="1561"/>
      <c r="C721" s="1574"/>
    </row>
    <row r="722" spans="1:3" s="1559" customFormat="1" x14ac:dyDescent="0.3">
      <c r="A722" s="1561"/>
      <c r="C722" s="1574"/>
    </row>
    <row r="723" spans="1:3" s="1559" customFormat="1" x14ac:dyDescent="0.3">
      <c r="A723" s="1561"/>
      <c r="C723" s="1574"/>
    </row>
    <row r="724" spans="1:3" s="1559" customFormat="1" x14ac:dyDescent="0.3">
      <c r="A724" s="1561"/>
      <c r="C724" s="1574"/>
    </row>
    <row r="725" spans="1:3" s="1559" customFormat="1" x14ac:dyDescent="0.3">
      <c r="A725" s="1561"/>
      <c r="C725" s="1574"/>
    </row>
    <row r="726" spans="1:3" s="1559" customFormat="1" x14ac:dyDescent="0.3">
      <c r="A726" s="1561"/>
      <c r="C726" s="1574"/>
    </row>
    <row r="727" spans="1:3" s="1559" customFormat="1" x14ac:dyDescent="0.3">
      <c r="A727" s="1561"/>
      <c r="C727" s="1574"/>
    </row>
    <row r="728" spans="1:3" s="1559" customFormat="1" x14ac:dyDescent="0.3">
      <c r="A728" s="1561"/>
      <c r="C728" s="1574"/>
    </row>
    <row r="729" spans="1:3" s="1559" customFormat="1" x14ac:dyDescent="0.3">
      <c r="A729" s="1561"/>
      <c r="C729" s="1574"/>
    </row>
    <row r="730" spans="1:3" s="1559" customFormat="1" x14ac:dyDescent="0.3">
      <c r="A730" s="1561"/>
      <c r="C730" s="1574"/>
    </row>
    <row r="731" spans="1:3" s="1559" customFormat="1" x14ac:dyDescent="0.3">
      <c r="A731" s="1561"/>
      <c r="C731" s="1574"/>
    </row>
    <row r="732" spans="1:3" s="1559" customFormat="1" x14ac:dyDescent="0.3">
      <c r="A732" s="1561"/>
      <c r="C732" s="1574"/>
    </row>
    <row r="733" spans="1:3" s="1559" customFormat="1" x14ac:dyDescent="0.3">
      <c r="A733" s="1561"/>
      <c r="C733" s="1574"/>
    </row>
    <row r="734" spans="1:3" s="1559" customFormat="1" x14ac:dyDescent="0.3">
      <c r="A734" s="1561"/>
      <c r="C734" s="1574"/>
    </row>
    <row r="735" spans="1:3" s="1559" customFormat="1" x14ac:dyDescent="0.3">
      <c r="A735" s="1561"/>
      <c r="C735" s="1574"/>
    </row>
    <row r="736" spans="1:3" s="1559" customFormat="1" x14ac:dyDescent="0.3">
      <c r="A736" s="1561"/>
      <c r="C736" s="1574"/>
    </row>
    <row r="737" spans="1:3" s="1559" customFormat="1" x14ac:dyDescent="0.3">
      <c r="A737" s="1561"/>
      <c r="C737" s="1574"/>
    </row>
    <row r="738" spans="1:3" s="1559" customFormat="1" x14ac:dyDescent="0.3">
      <c r="A738" s="1561"/>
      <c r="C738" s="1574"/>
    </row>
    <row r="739" spans="1:3" s="1559" customFormat="1" x14ac:dyDescent="0.3">
      <c r="A739" s="1561"/>
      <c r="C739" s="1574"/>
    </row>
    <row r="740" spans="1:3" s="1559" customFormat="1" x14ac:dyDescent="0.3">
      <c r="A740" s="1561"/>
      <c r="C740" s="1574"/>
    </row>
    <row r="741" spans="1:3" s="1559" customFormat="1" x14ac:dyDescent="0.3">
      <c r="A741" s="1561"/>
      <c r="C741" s="1574"/>
    </row>
    <row r="742" spans="1:3" s="1559" customFormat="1" x14ac:dyDescent="0.3">
      <c r="A742" s="1561"/>
      <c r="C742" s="1574"/>
    </row>
    <row r="743" spans="1:3" s="1559" customFormat="1" x14ac:dyDescent="0.3">
      <c r="A743" s="1561"/>
      <c r="C743" s="1574"/>
    </row>
    <row r="744" spans="1:3" s="1559" customFormat="1" x14ac:dyDescent="0.3">
      <c r="A744" s="1561"/>
      <c r="C744" s="1574"/>
    </row>
    <row r="745" spans="1:3" s="1559" customFormat="1" x14ac:dyDescent="0.3">
      <c r="A745" s="1561"/>
      <c r="C745" s="1574"/>
    </row>
    <row r="746" spans="1:3" s="1559" customFormat="1" x14ac:dyDescent="0.3">
      <c r="A746" s="1561"/>
      <c r="C746" s="1574"/>
    </row>
    <row r="747" spans="1:3" s="1559" customFormat="1" x14ac:dyDescent="0.3">
      <c r="A747" s="1561"/>
      <c r="C747" s="1574"/>
    </row>
    <row r="748" spans="1:3" s="1559" customFormat="1" x14ac:dyDescent="0.3">
      <c r="A748" s="1561"/>
      <c r="C748" s="1574"/>
    </row>
    <row r="749" spans="1:3" s="1559" customFormat="1" x14ac:dyDescent="0.3">
      <c r="A749" s="1561"/>
      <c r="C749" s="1574"/>
    </row>
    <row r="750" spans="1:3" s="1559" customFormat="1" x14ac:dyDescent="0.3">
      <c r="A750" s="1561"/>
      <c r="C750" s="1574"/>
    </row>
    <row r="751" spans="1:3" s="1559" customFormat="1" x14ac:dyDescent="0.3">
      <c r="A751" s="1561"/>
      <c r="C751" s="1574"/>
    </row>
    <row r="752" spans="1:3" s="1559" customFormat="1" x14ac:dyDescent="0.3">
      <c r="A752" s="1561"/>
      <c r="C752" s="1574"/>
    </row>
    <row r="753" spans="1:3" s="1559" customFormat="1" x14ac:dyDescent="0.3">
      <c r="A753" s="1561"/>
      <c r="C753" s="1574"/>
    </row>
    <row r="754" spans="1:3" s="1559" customFormat="1" x14ac:dyDescent="0.3">
      <c r="A754" s="1561"/>
      <c r="C754" s="1574"/>
    </row>
    <row r="755" spans="1:3" s="1559" customFormat="1" x14ac:dyDescent="0.3">
      <c r="A755" s="1561"/>
      <c r="C755" s="1574"/>
    </row>
    <row r="756" spans="1:3" s="1559" customFormat="1" x14ac:dyDescent="0.3">
      <c r="A756" s="1561"/>
      <c r="C756" s="1574"/>
    </row>
    <row r="757" spans="1:3" s="1559" customFormat="1" x14ac:dyDescent="0.3">
      <c r="A757" s="1561"/>
      <c r="C757" s="1574"/>
    </row>
    <row r="758" spans="1:3" s="1559" customFormat="1" x14ac:dyDescent="0.3">
      <c r="A758" s="1561"/>
      <c r="C758" s="1574"/>
    </row>
    <row r="759" spans="1:3" s="1559" customFormat="1" x14ac:dyDescent="0.3">
      <c r="A759" s="1561"/>
      <c r="C759" s="1574"/>
    </row>
    <row r="760" spans="1:3" s="1559" customFormat="1" x14ac:dyDescent="0.3">
      <c r="A760" s="1561"/>
      <c r="C760" s="1574"/>
    </row>
    <row r="761" spans="1:3" s="1559" customFormat="1" x14ac:dyDescent="0.3">
      <c r="A761" s="1561"/>
      <c r="C761" s="1574"/>
    </row>
    <row r="762" spans="1:3" s="1559" customFormat="1" x14ac:dyDescent="0.3">
      <c r="A762" s="1561"/>
      <c r="C762" s="1574"/>
    </row>
    <row r="763" spans="1:3" s="1559" customFormat="1" x14ac:dyDescent="0.3">
      <c r="A763" s="1561"/>
      <c r="C763" s="1574"/>
    </row>
    <row r="764" spans="1:3" s="1559" customFormat="1" x14ac:dyDescent="0.3">
      <c r="A764" s="1561"/>
      <c r="C764" s="1574"/>
    </row>
    <row r="765" spans="1:3" s="1559" customFormat="1" x14ac:dyDescent="0.3">
      <c r="A765" s="1561"/>
      <c r="C765" s="1574"/>
    </row>
    <row r="766" spans="1:3" s="1559" customFormat="1" x14ac:dyDescent="0.3">
      <c r="A766" s="1561"/>
      <c r="C766" s="1574"/>
    </row>
    <row r="767" spans="1:3" s="1559" customFormat="1" x14ac:dyDescent="0.3">
      <c r="A767" s="1561"/>
      <c r="C767" s="1574"/>
    </row>
    <row r="768" spans="1:3" s="1559" customFormat="1" x14ac:dyDescent="0.3">
      <c r="A768" s="1561"/>
      <c r="C768" s="1574"/>
    </row>
    <row r="769" spans="1:3" s="1559" customFormat="1" x14ac:dyDescent="0.3">
      <c r="A769" s="1561"/>
      <c r="C769" s="1574"/>
    </row>
    <row r="770" spans="1:3" s="1559" customFormat="1" x14ac:dyDescent="0.3">
      <c r="A770" s="1561"/>
      <c r="C770" s="1574"/>
    </row>
    <row r="771" spans="1:3" s="1559" customFormat="1" x14ac:dyDescent="0.3">
      <c r="A771" s="1561"/>
      <c r="C771" s="1574"/>
    </row>
    <row r="772" spans="1:3" s="1559" customFormat="1" x14ac:dyDescent="0.3">
      <c r="A772" s="1561"/>
      <c r="C772" s="1574"/>
    </row>
    <row r="773" spans="1:3" s="1559" customFormat="1" x14ac:dyDescent="0.3">
      <c r="A773" s="1561"/>
      <c r="C773" s="1574"/>
    </row>
    <row r="774" spans="1:3" s="1559" customFormat="1" x14ac:dyDescent="0.3">
      <c r="A774" s="1561"/>
      <c r="C774" s="1574"/>
    </row>
    <row r="775" spans="1:3" s="1559" customFormat="1" x14ac:dyDescent="0.3">
      <c r="A775" s="1561"/>
      <c r="C775" s="1574"/>
    </row>
    <row r="776" spans="1:3" s="1559" customFormat="1" x14ac:dyDescent="0.3">
      <c r="A776" s="1561"/>
      <c r="C776" s="1574"/>
    </row>
    <row r="777" spans="1:3" s="1559" customFormat="1" x14ac:dyDescent="0.3">
      <c r="A777" s="1561"/>
      <c r="C777" s="1574"/>
    </row>
    <row r="778" spans="1:3" s="1559" customFormat="1" x14ac:dyDescent="0.3">
      <c r="A778" s="1561"/>
      <c r="C778" s="1574"/>
    </row>
    <row r="779" spans="1:3" s="1559" customFormat="1" x14ac:dyDescent="0.3">
      <c r="A779" s="1561"/>
      <c r="C779" s="1574"/>
    </row>
    <row r="780" spans="1:3" s="1559" customFormat="1" x14ac:dyDescent="0.3">
      <c r="A780" s="1561"/>
      <c r="C780" s="1574"/>
    </row>
    <row r="781" spans="1:3" s="1559" customFormat="1" x14ac:dyDescent="0.3">
      <c r="A781" s="1561"/>
      <c r="C781" s="1574"/>
    </row>
    <row r="782" spans="1:3" s="1559" customFormat="1" x14ac:dyDescent="0.3">
      <c r="A782" s="1561"/>
      <c r="C782" s="1574"/>
    </row>
    <row r="783" spans="1:3" s="1559" customFormat="1" x14ac:dyDescent="0.3">
      <c r="A783" s="1561"/>
      <c r="C783" s="1574"/>
    </row>
    <row r="784" spans="1:3" s="1559" customFormat="1" x14ac:dyDescent="0.3">
      <c r="A784" s="1561"/>
      <c r="C784" s="1574"/>
    </row>
    <row r="785" spans="1:3" s="1559" customFormat="1" x14ac:dyDescent="0.3">
      <c r="A785" s="1561"/>
      <c r="C785" s="1574"/>
    </row>
    <row r="786" spans="1:3" s="1559" customFormat="1" x14ac:dyDescent="0.3">
      <c r="A786" s="1561"/>
      <c r="C786" s="1574"/>
    </row>
    <row r="787" spans="1:3" s="1559" customFormat="1" x14ac:dyDescent="0.3">
      <c r="A787" s="1561"/>
      <c r="C787" s="1574"/>
    </row>
    <row r="788" spans="1:3" s="1559" customFormat="1" x14ac:dyDescent="0.3">
      <c r="A788" s="1561"/>
      <c r="C788" s="1574"/>
    </row>
    <row r="789" spans="1:3" s="1559" customFormat="1" x14ac:dyDescent="0.3">
      <c r="A789" s="1561"/>
      <c r="C789" s="1574"/>
    </row>
    <row r="790" spans="1:3" s="1559" customFormat="1" x14ac:dyDescent="0.3">
      <c r="A790" s="1561"/>
      <c r="C790" s="1574"/>
    </row>
    <row r="791" spans="1:3" s="1559" customFormat="1" x14ac:dyDescent="0.3">
      <c r="A791" s="1561"/>
      <c r="C791" s="1574"/>
    </row>
    <row r="792" spans="1:3" s="1559" customFormat="1" x14ac:dyDescent="0.3">
      <c r="A792" s="1561"/>
      <c r="C792" s="1574"/>
    </row>
    <row r="793" spans="1:3" s="1559" customFormat="1" x14ac:dyDescent="0.3">
      <c r="A793" s="1561"/>
      <c r="C793" s="1574"/>
    </row>
    <row r="794" spans="1:3" s="1559" customFormat="1" x14ac:dyDescent="0.3">
      <c r="A794" s="1561"/>
      <c r="C794" s="1574"/>
    </row>
    <row r="795" spans="1:3" s="1559" customFormat="1" x14ac:dyDescent="0.3">
      <c r="A795" s="1561"/>
      <c r="C795" s="1574"/>
    </row>
    <row r="796" spans="1:3" s="1559" customFormat="1" x14ac:dyDescent="0.3">
      <c r="A796" s="1561"/>
      <c r="C796" s="1574"/>
    </row>
    <row r="797" spans="1:3" s="1559" customFormat="1" x14ac:dyDescent="0.3">
      <c r="A797" s="1561"/>
      <c r="C797" s="1574"/>
    </row>
    <row r="798" spans="1:3" s="1559" customFormat="1" x14ac:dyDescent="0.3">
      <c r="A798" s="1561"/>
      <c r="C798" s="1574"/>
    </row>
    <row r="799" spans="1:3" s="1559" customFormat="1" x14ac:dyDescent="0.3">
      <c r="A799" s="1561"/>
      <c r="C799" s="1574"/>
    </row>
    <row r="800" spans="1:3" s="1559" customFormat="1" x14ac:dyDescent="0.3">
      <c r="A800" s="1561"/>
      <c r="C800" s="1574"/>
    </row>
    <row r="801" spans="1:3" s="1559" customFormat="1" x14ac:dyDescent="0.3">
      <c r="A801" s="1561"/>
      <c r="C801" s="1574"/>
    </row>
    <row r="802" spans="1:3" s="1559" customFormat="1" x14ac:dyDescent="0.3">
      <c r="A802" s="1561"/>
      <c r="C802" s="1574"/>
    </row>
    <row r="803" spans="1:3" s="1559" customFormat="1" x14ac:dyDescent="0.3">
      <c r="A803" s="1561"/>
      <c r="C803" s="1574"/>
    </row>
    <row r="804" spans="1:3" s="1559" customFormat="1" x14ac:dyDescent="0.3">
      <c r="A804" s="1561"/>
      <c r="C804" s="1574"/>
    </row>
    <row r="805" spans="1:3" s="1559" customFormat="1" x14ac:dyDescent="0.3">
      <c r="A805" s="1561"/>
      <c r="C805" s="1574"/>
    </row>
    <row r="806" spans="1:3" s="1559" customFormat="1" x14ac:dyDescent="0.3">
      <c r="A806" s="1561"/>
      <c r="C806" s="1574"/>
    </row>
    <row r="807" spans="1:3" s="1559" customFormat="1" x14ac:dyDescent="0.3">
      <c r="A807" s="1561"/>
      <c r="C807" s="1574"/>
    </row>
    <row r="808" spans="1:3" s="1559" customFormat="1" x14ac:dyDescent="0.3">
      <c r="A808" s="1561"/>
      <c r="C808" s="1574"/>
    </row>
    <row r="809" spans="1:3" s="1559" customFormat="1" x14ac:dyDescent="0.3">
      <c r="A809" s="1561"/>
      <c r="C809" s="1574"/>
    </row>
    <row r="810" spans="1:3" s="1559" customFormat="1" x14ac:dyDescent="0.3">
      <c r="A810" s="1561"/>
      <c r="C810" s="1574"/>
    </row>
    <row r="811" spans="1:3" s="1559" customFormat="1" x14ac:dyDescent="0.3">
      <c r="A811" s="1561"/>
      <c r="C811" s="1574"/>
    </row>
    <row r="812" spans="1:3" s="1559" customFormat="1" x14ac:dyDescent="0.3">
      <c r="A812" s="1561"/>
      <c r="C812" s="1574"/>
    </row>
    <row r="813" spans="1:3" s="1559" customFormat="1" x14ac:dyDescent="0.3">
      <c r="A813" s="1561"/>
      <c r="C813" s="1574"/>
    </row>
    <row r="814" spans="1:3" s="1559" customFormat="1" x14ac:dyDescent="0.3">
      <c r="A814" s="1561"/>
      <c r="C814" s="1574"/>
    </row>
    <row r="815" spans="1:3" s="1559" customFormat="1" x14ac:dyDescent="0.3">
      <c r="A815" s="1561"/>
      <c r="C815" s="1574"/>
    </row>
    <row r="816" spans="1:3" s="1559" customFormat="1" x14ac:dyDescent="0.3">
      <c r="A816" s="1561"/>
      <c r="C816" s="1574"/>
    </row>
    <row r="817" spans="1:3" s="1559" customFormat="1" x14ac:dyDescent="0.3">
      <c r="A817" s="1561"/>
      <c r="C817" s="1574"/>
    </row>
    <row r="818" spans="1:3" s="1559" customFormat="1" x14ac:dyDescent="0.3">
      <c r="A818" s="1561"/>
      <c r="C818" s="1574"/>
    </row>
    <row r="819" spans="1:3" s="1559" customFormat="1" x14ac:dyDescent="0.3">
      <c r="A819" s="1561"/>
      <c r="C819" s="1574"/>
    </row>
    <row r="820" spans="1:3" s="1559" customFormat="1" x14ac:dyDescent="0.3">
      <c r="A820" s="1561"/>
      <c r="C820" s="1574"/>
    </row>
    <row r="821" spans="1:3" s="1559" customFormat="1" x14ac:dyDescent="0.3">
      <c r="A821" s="1561"/>
      <c r="C821" s="1574"/>
    </row>
    <row r="822" spans="1:3" s="1559" customFormat="1" x14ac:dyDescent="0.3">
      <c r="A822" s="1561"/>
      <c r="C822" s="1574"/>
    </row>
    <row r="823" spans="1:3" s="1559" customFormat="1" x14ac:dyDescent="0.3">
      <c r="A823" s="1561"/>
      <c r="C823" s="1574"/>
    </row>
    <row r="824" spans="1:3" s="1559" customFormat="1" x14ac:dyDescent="0.3">
      <c r="A824" s="1561"/>
      <c r="C824" s="1574"/>
    </row>
    <row r="825" spans="1:3" s="1559" customFormat="1" x14ac:dyDescent="0.3">
      <c r="A825" s="1561"/>
      <c r="C825" s="1574"/>
    </row>
    <row r="826" spans="1:3" s="1559" customFormat="1" x14ac:dyDescent="0.3">
      <c r="A826" s="1561"/>
      <c r="C826" s="1574"/>
    </row>
    <row r="827" spans="1:3" s="1559" customFormat="1" x14ac:dyDescent="0.3">
      <c r="A827" s="1561"/>
      <c r="C827" s="1574"/>
    </row>
    <row r="828" spans="1:3" s="1559" customFormat="1" x14ac:dyDescent="0.3">
      <c r="A828" s="1561"/>
      <c r="C828" s="1574"/>
    </row>
    <row r="829" spans="1:3" s="1559" customFormat="1" x14ac:dyDescent="0.3">
      <c r="A829" s="1561"/>
      <c r="C829" s="1574"/>
    </row>
    <row r="830" spans="1:3" s="1559" customFormat="1" x14ac:dyDescent="0.3">
      <c r="A830" s="1561"/>
      <c r="C830" s="1574"/>
    </row>
    <row r="831" spans="1:3" s="1559" customFormat="1" x14ac:dyDescent="0.3">
      <c r="A831" s="1561"/>
      <c r="C831" s="1574"/>
    </row>
    <row r="832" spans="1:3" s="1559" customFormat="1" x14ac:dyDescent="0.3">
      <c r="A832" s="1561"/>
      <c r="C832" s="1574"/>
    </row>
    <row r="833" spans="1:3" s="1559" customFormat="1" x14ac:dyDescent="0.3">
      <c r="A833" s="1561"/>
      <c r="C833" s="1574"/>
    </row>
    <row r="834" spans="1:3" s="1559" customFormat="1" x14ac:dyDescent="0.3">
      <c r="A834" s="1561"/>
      <c r="C834" s="1574"/>
    </row>
    <row r="835" spans="1:3" s="1559" customFormat="1" x14ac:dyDescent="0.3">
      <c r="A835" s="1561"/>
      <c r="C835" s="1574"/>
    </row>
    <row r="836" spans="1:3" s="1559" customFormat="1" x14ac:dyDescent="0.3">
      <c r="A836" s="1561"/>
      <c r="C836" s="1574"/>
    </row>
    <row r="837" spans="1:3" s="1559" customFormat="1" x14ac:dyDescent="0.3">
      <c r="A837" s="1561"/>
      <c r="C837" s="1574"/>
    </row>
    <row r="838" spans="1:3" s="1559" customFormat="1" x14ac:dyDescent="0.3">
      <c r="A838" s="1561"/>
      <c r="C838" s="1574"/>
    </row>
    <row r="839" spans="1:3" s="1559" customFormat="1" x14ac:dyDescent="0.3">
      <c r="A839" s="1561"/>
      <c r="C839" s="1574"/>
    </row>
    <row r="840" spans="1:3" s="1559" customFormat="1" x14ac:dyDescent="0.3">
      <c r="A840" s="1561"/>
      <c r="C840" s="1574"/>
    </row>
    <row r="841" spans="1:3" s="1559" customFormat="1" x14ac:dyDescent="0.3">
      <c r="A841" s="1561"/>
      <c r="C841" s="1574"/>
    </row>
    <row r="842" spans="1:3" s="1559" customFormat="1" x14ac:dyDescent="0.3">
      <c r="A842" s="1561"/>
      <c r="C842" s="1574"/>
    </row>
    <row r="843" spans="1:3" s="1559" customFormat="1" x14ac:dyDescent="0.3">
      <c r="A843" s="1561"/>
      <c r="C843" s="1574"/>
    </row>
    <row r="844" spans="1:3" s="1559" customFormat="1" x14ac:dyDescent="0.3">
      <c r="A844" s="1561"/>
      <c r="C844" s="1574"/>
    </row>
    <row r="845" spans="1:3" s="1559" customFormat="1" x14ac:dyDescent="0.3">
      <c r="A845" s="1561"/>
      <c r="C845" s="1574"/>
    </row>
    <row r="846" spans="1:3" s="1559" customFormat="1" x14ac:dyDescent="0.3">
      <c r="A846" s="1561"/>
      <c r="C846" s="1574"/>
    </row>
    <row r="847" spans="1:3" s="1559" customFormat="1" x14ac:dyDescent="0.3">
      <c r="A847" s="1561"/>
      <c r="C847" s="1574"/>
    </row>
    <row r="848" spans="1:3" s="1559" customFormat="1" x14ac:dyDescent="0.3">
      <c r="A848" s="1561"/>
      <c r="C848" s="1574"/>
    </row>
    <row r="849" spans="1:3" s="1559" customFormat="1" x14ac:dyDescent="0.3">
      <c r="A849" s="1561"/>
      <c r="C849" s="1574"/>
    </row>
    <row r="850" spans="1:3" s="1559" customFormat="1" x14ac:dyDescent="0.3">
      <c r="A850" s="1561"/>
      <c r="C850" s="1574"/>
    </row>
    <row r="851" spans="1:3" s="1559" customFormat="1" x14ac:dyDescent="0.3">
      <c r="A851" s="1561"/>
      <c r="C851" s="1574"/>
    </row>
    <row r="852" spans="1:3" s="1559" customFormat="1" x14ac:dyDescent="0.3">
      <c r="A852" s="1561"/>
      <c r="C852" s="1574"/>
    </row>
    <row r="853" spans="1:3" s="1559" customFormat="1" x14ac:dyDescent="0.3">
      <c r="A853" s="1561"/>
      <c r="C853" s="1574"/>
    </row>
    <row r="854" spans="1:3" s="1559" customFormat="1" x14ac:dyDescent="0.3">
      <c r="A854" s="1561"/>
      <c r="C854" s="1574"/>
    </row>
    <row r="855" spans="1:3" s="1559" customFormat="1" x14ac:dyDescent="0.3">
      <c r="A855" s="1561"/>
      <c r="C855" s="1574"/>
    </row>
    <row r="856" spans="1:3" s="1559" customFormat="1" x14ac:dyDescent="0.3">
      <c r="A856" s="1561"/>
      <c r="C856" s="1574"/>
    </row>
    <row r="857" spans="1:3" s="1559" customFormat="1" x14ac:dyDescent="0.3">
      <c r="A857" s="1561"/>
      <c r="C857" s="1574"/>
    </row>
    <row r="858" spans="1:3" s="1559" customFormat="1" x14ac:dyDescent="0.3">
      <c r="A858" s="1561"/>
      <c r="C858" s="1574"/>
    </row>
    <row r="859" spans="1:3" s="1559" customFormat="1" x14ac:dyDescent="0.3">
      <c r="A859" s="1561"/>
      <c r="C859" s="1574"/>
    </row>
    <row r="860" spans="1:3" s="1559" customFormat="1" x14ac:dyDescent="0.3">
      <c r="A860" s="1561"/>
      <c r="C860" s="1574"/>
    </row>
    <row r="861" spans="1:3" s="1559" customFormat="1" x14ac:dyDescent="0.3">
      <c r="A861" s="1561"/>
      <c r="C861" s="1574"/>
    </row>
    <row r="862" spans="1:3" s="1559" customFormat="1" x14ac:dyDescent="0.3">
      <c r="A862" s="1561"/>
      <c r="C862" s="1574"/>
    </row>
    <row r="863" spans="1:3" s="1559" customFormat="1" x14ac:dyDescent="0.3">
      <c r="A863" s="1561"/>
      <c r="C863" s="1574"/>
    </row>
    <row r="864" spans="1:3" s="1559" customFormat="1" x14ac:dyDescent="0.3">
      <c r="A864" s="1561"/>
      <c r="C864" s="1574"/>
    </row>
    <row r="865" spans="1:3" s="1559" customFormat="1" x14ac:dyDescent="0.3">
      <c r="A865" s="1561"/>
      <c r="C865" s="1574"/>
    </row>
    <row r="866" spans="1:3" s="1559" customFormat="1" x14ac:dyDescent="0.3">
      <c r="A866" s="1561"/>
      <c r="C866" s="1574"/>
    </row>
    <row r="867" spans="1:3" s="1559" customFormat="1" x14ac:dyDescent="0.3">
      <c r="A867" s="1561"/>
      <c r="C867" s="1574"/>
    </row>
    <row r="868" spans="1:3" s="1559" customFormat="1" x14ac:dyDescent="0.3">
      <c r="A868" s="1561"/>
      <c r="C868" s="1574"/>
    </row>
    <row r="869" spans="1:3" s="1559" customFormat="1" x14ac:dyDescent="0.3">
      <c r="A869" s="1561"/>
      <c r="C869" s="1574"/>
    </row>
    <row r="870" spans="1:3" s="1559" customFormat="1" x14ac:dyDescent="0.3">
      <c r="A870" s="1561"/>
      <c r="C870" s="1574"/>
    </row>
    <row r="871" spans="1:3" s="1559" customFormat="1" x14ac:dyDescent="0.3">
      <c r="A871" s="1561"/>
      <c r="C871" s="1574"/>
    </row>
    <row r="872" spans="1:3" s="1559" customFormat="1" x14ac:dyDescent="0.3">
      <c r="A872" s="1561"/>
      <c r="C872" s="1574"/>
    </row>
    <row r="873" spans="1:3" s="1559" customFormat="1" x14ac:dyDescent="0.3">
      <c r="A873" s="1561"/>
      <c r="C873" s="1574"/>
    </row>
    <row r="874" spans="1:3" s="1559" customFormat="1" x14ac:dyDescent="0.3">
      <c r="A874" s="1561"/>
      <c r="C874" s="1574"/>
    </row>
    <row r="875" spans="1:3" s="1559" customFormat="1" x14ac:dyDescent="0.3">
      <c r="A875" s="1561"/>
      <c r="C875" s="1574"/>
    </row>
    <row r="876" spans="1:3" s="1559" customFormat="1" x14ac:dyDescent="0.3">
      <c r="A876" s="1561"/>
      <c r="C876" s="1574"/>
    </row>
    <row r="877" spans="1:3" s="1559" customFormat="1" x14ac:dyDescent="0.3">
      <c r="A877" s="1561"/>
      <c r="C877" s="1574"/>
    </row>
    <row r="878" spans="1:3" s="1559" customFormat="1" x14ac:dyDescent="0.3">
      <c r="A878" s="1561"/>
      <c r="C878" s="1574"/>
    </row>
    <row r="879" spans="1:3" s="1559" customFormat="1" x14ac:dyDescent="0.3">
      <c r="A879" s="1561"/>
      <c r="C879" s="1574"/>
    </row>
    <row r="880" spans="1:3" s="1559" customFormat="1" x14ac:dyDescent="0.3">
      <c r="A880" s="1561"/>
      <c r="C880" s="1574"/>
    </row>
    <row r="881" spans="1:3" s="1559" customFormat="1" x14ac:dyDescent="0.3">
      <c r="A881" s="1561"/>
      <c r="C881" s="1574"/>
    </row>
    <row r="882" spans="1:3" s="1559" customFormat="1" x14ac:dyDescent="0.3">
      <c r="A882" s="1561"/>
      <c r="C882" s="1574"/>
    </row>
    <row r="883" spans="1:3" s="1559" customFormat="1" x14ac:dyDescent="0.3">
      <c r="A883" s="1561"/>
      <c r="C883" s="1574"/>
    </row>
    <row r="884" spans="1:3" s="1559" customFormat="1" x14ac:dyDescent="0.3">
      <c r="A884" s="1561"/>
      <c r="C884" s="1574"/>
    </row>
    <row r="885" spans="1:3" s="1559" customFormat="1" x14ac:dyDescent="0.3">
      <c r="A885" s="1561"/>
      <c r="C885" s="1574"/>
    </row>
    <row r="886" spans="1:3" s="1559" customFormat="1" x14ac:dyDescent="0.3">
      <c r="A886" s="1561"/>
      <c r="C886" s="1574"/>
    </row>
    <row r="887" spans="1:3" s="1559" customFormat="1" x14ac:dyDescent="0.3">
      <c r="A887" s="1561"/>
      <c r="C887" s="1574"/>
    </row>
    <row r="888" spans="1:3" s="1559" customFormat="1" x14ac:dyDescent="0.3">
      <c r="A888" s="1561"/>
      <c r="C888" s="1574"/>
    </row>
    <row r="889" spans="1:3" s="1559" customFormat="1" x14ac:dyDescent="0.3">
      <c r="A889" s="1561"/>
      <c r="C889" s="1574"/>
    </row>
    <row r="890" spans="1:3" s="1559" customFormat="1" x14ac:dyDescent="0.3">
      <c r="A890" s="1561"/>
      <c r="C890" s="1574"/>
    </row>
    <row r="891" spans="1:3" s="1559" customFormat="1" x14ac:dyDescent="0.3">
      <c r="A891" s="1561"/>
      <c r="C891" s="1574"/>
    </row>
    <row r="892" spans="1:3" s="1559" customFormat="1" x14ac:dyDescent="0.3">
      <c r="A892" s="1561"/>
      <c r="C892" s="1574"/>
    </row>
    <row r="893" spans="1:3" s="1559" customFormat="1" x14ac:dyDescent="0.3">
      <c r="A893" s="1561"/>
      <c r="C893" s="1574"/>
    </row>
    <row r="894" spans="1:3" s="1559" customFormat="1" x14ac:dyDescent="0.3">
      <c r="A894" s="1561"/>
      <c r="C894" s="1574"/>
    </row>
    <row r="895" spans="1:3" s="1559" customFormat="1" x14ac:dyDescent="0.3">
      <c r="A895" s="1561"/>
      <c r="C895" s="1574"/>
    </row>
    <row r="896" spans="1:3" s="1559" customFormat="1" x14ac:dyDescent="0.3">
      <c r="A896" s="1561"/>
      <c r="C896" s="1574"/>
    </row>
    <row r="897" spans="1:3" s="1559" customFormat="1" x14ac:dyDescent="0.3">
      <c r="A897" s="1561"/>
      <c r="C897" s="1574"/>
    </row>
    <row r="898" spans="1:3" s="1559" customFormat="1" x14ac:dyDescent="0.3">
      <c r="A898" s="1561"/>
      <c r="C898" s="1574"/>
    </row>
    <row r="899" spans="1:3" s="1559" customFormat="1" x14ac:dyDescent="0.3">
      <c r="A899" s="1561"/>
      <c r="C899" s="1574"/>
    </row>
    <row r="900" spans="1:3" s="1559" customFormat="1" x14ac:dyDescent="0.3">
      <c r="A900" s="1561"/>
      <c r="C900" s="1574"/>
    </row>
    <row r="901" spans="1:3" s="1559" customFormat="1" x14ac:dyDescent="0.3">
      <c r="A901" s="1561"/>
      <c r="C901" s="1574"/>
    </row>
    <row r="902" spans="1:3" s="1559" customFormat="1" x14ac:dyDescent="0.3">
      <c r="A902" s="1561"/>
      <c r="C902" s="1574"/>
    </row>
    <row r="903" spans="1:3" s="1559" customFormat="1" x14ac:dyDescent="0.3">
      <c r="A903" s="1561"/>
      <c r="C903" s="1574"/>
    </row>
    <row r="904" spans="1:3" s="1559" customFormat="1" x14ac:dyDescent="0.3">
      <c r="A904" s="1561"/>
      <c r="C904" s="1574"/>
    </row>
    <row r="905" spans="1:3" s="1559" customFormat="1" x14ac:dyDescent="0.3">
      <c r="A905" s="1561"/>
      <c r="C905" s="1574"/>
    </row>
    <row r="906" spans="1:3" s="1559" customFormat="1" x14ac:dyDescent="0.3">
      <c r="A906" s="1561"/>
      <c r="C906" s="1574"/>
    </row>
    <row r="907" spans="1:3" s="1559" customFormat="1" x14ac:dyDescent="0.3">
      <c r="A907" s="1561"/>
      <c r="C907" s="1574"/>
    </row>
    <row r="908" spans="1:3" s="1559" customFormat="1" x14ac:dyDescent="0.3">
      <c r="A908" s="1561"/>
      <c r="C908" s="1574"/>
    </row>
    <row r="909" spans="1:3" s="1559" customFormat="1" x14ac:dyDescent="0.3">
      <c r="A909" s="1561"/>
      <c r="C909" s="1574"/>
    </row>
    <row r="910" spans="1:3" s="1559" customFormat="1" x14ac:dyDescent="0.3">
      <c r="A910" s="1561"/>
      <c r="C910" s="1574"/>
    </row>
    <row r="911" spans="1:3" s="1559" customFormat="1" x14ac:dyDescent="0.3">
      <c r="A911" s="1561"/>
      <c r="C911" s="1574"/>
    </row>
    <row r="912" spans="1:3" s="1559" customFormat="1" x14ac:dyDescent="0.3">
      <c r="A912" s="1561"/>
      <c r="C912" s="1574"/>
    </row>
    <row r="913" spans="1:3" s="1559" customFormat="1" x14ac:dyDescent="0.3">
      <c r="A913" s="1561"/>
      <c r="C913" s="1574"/>
    </row>
    <row r="914" spans="1:3" s="1559" customFormat="1" x14ac:dyDescent="0.3">
      <c r="A914" s="1561"/>
      <c r="C914" s="1574"/>
    </row>
    <row r="915" spans="1:3" s="1559" customFormat="1" x14ac:dyDescent="0.3">
      <c r="A915" s="1561"/>
      <c r="C915" s="1574"/>
    </row>
    <row r="916" spans="1:3" s="1559" customFormat="1" x14ac:dyDescent="0.3">
      <c r="A916" s="1561"/>
      <c r="C916" s="1574"/>
    </row>
    <row r="917" spans="1:3" s="1559" customFormat="1" x14ac:dyDescent="0.3">
      <c r="A917" s="1561"/>
      <c r="C917" s="1574"/>
    </row>
    <row r="918" spans="1:3" s="1559" customFormat="1" x14ac:dyDescent="0.3">
      <c r="A918" s="1561"/>
      <c r="C918" s="1574"/>
    </row>
    <row r="919" spans="1:3" s="1559" customFormat="1" x14ac:dyDescent="0.3">
      <c r="A919" s="1561"/>
      <c r="C919" s="1574"/>
    </row>
    <row r="920" spans="1:3" s="1559" customFormat="1" x14ac:dyDescent="0.3">
      <c r="A920" s="1561"/>
      <c r="C920" s="1574"/>
    </row>
    <row r="921" spans="1:3" s="1559" customFormat="1" x14ac:dyDescent="0.3">
      <c r="A921" s="1561"/>
      <c r="C921" s="1574"/>
    </row>
    <row r="922" spans="1:3" s="1559" customFormat="1" x14ac:dyDescent="0.3">
      <c r="A922" s="1561"/>
      <c r="C922" s="1574"/>
    </row>
    <row r="923" spans="1:3" s="1559" customFormat="1" x14ac:dyDescent="0.3">
      <c r="A923" s="1561"/>
      <c r="C923" s="1574"/>
    </row>
    <row r="924" spans="1:3" s="1559" customFormat="1" x14ac:dyDescent="0.3">
      <c r="A924" s="1561"/>
      <c r="C924" s="1574"/>
    </row>
    <row r="925" spans="1:3" s="1559" customFormat="1" x14ac:dyDescent="0.3">
      <c r="A925" s="1561"/>
      <c r="C925" s="1574"/>
    </row>
    <row r="926" spans="1:3" s="1559" customFormat="1" x14ac:dyDescent="0.3">
      <c r="A926" s="1561"/>
      <c r="C926" s="1574"/>
    </row>
    <row r="927" spans="1:3" s="1559" customFormat="1" x14ac:dyDescent="0.3">
      <c r="A927" s="1561"/>
      <c r="C927" s="1574"/>
    </row>
    <row r="928" spans="1:3" s="1559" customFormat="1" x14ac:dyDescent="0.3">
      <c r="A928" s="1561"/>
      <c r="C928" s="1574"/>
    </row>
    <row r="929" spans="1:3" s="1559" customFormat="1" x14ac:dyDescent="0.3">
      <c r="A929" s="1561"/>
      <c r="C929" s="1574"/>
    </row>
    <row r="930" spans="1:3" s="1559" customFormat="1" x14ac:dyDescent="0.3">
      <c r="A930" s="1561"/>
      <c r="C930" s="1574"/>
    </row>
    <row r="931" spans="1:3" s="1559" customFormat="1" x14ac:dyDescent="0.3">
      <c r="A931" s="1561"/>
      <c r="C931" s="1574"/>
    </row>
    <row r="932" spans="1:3" s="1559" customFormat="1" x14ac:dyDescent="0.3">
      <c r="A932" s="1561"/>
      <c r="C932" s="1574"/>
    </row>
    <row r="933" spans="1:3" s="1559" customFormat="1" x14ac:dyDescent="0.3">
      <c r="A933" s="1561"/>
      <c r="C933" s="1574"/>
    </row>
    <row r="934" spans="1:3" s="1559" customFormat="1" x14ac:dyDescent="0.3">
      <c r="A934" s="1561"/>
      <c r="C934" s="1574"/>
    </row>
    <row r="935" spans="1:3" s="1559" customFormat="1" x14ac:dyDescent="0.3">
      <c r="A935" s="1561"/>
      <c r="C935" s="1574"/>
    </row>
    <row r="936" spans="1:3" s="1559" customFormat="1" x14ac:dyDescent="0.3">
      <c r="A936" s="1561"/>
      <c r="C936" s="1574"/>
    </row>
    <row r="937" spans="1:3" s="1559" customFormat="1" x14ac:dyDescent="0.3">
      <c r="A937" s="1561"/>
      <c r="C937" s="1574"/>
    </row>
    <row r="938" spans="1:3" s="1559" customFormat="1" x14ac:dyDescent="0.3">
      <c r="A938" s="1561"/>
      <c r="C938" s="1574"/>
    </row>
    <row r="939" spans="1:3" s="1559" customFormat="1" x14ac:dyDescent="0.3">
      <c r="A939" s="1561"/>
      <c r="C939" s="1574"/>
    </row>
    <row r="940" spans="1:3" s="1559" customFormat="1" x14ac:dyDescent="0.3">
      <c r="A940" s="1561"/>
      <c r="C940" s="1574"/>
    </row>
    <row r="941" spans="1:3" s="1559" customFormat="1" x14ac:dyDescent="0.3">
      <c r="A941" s="1561"/>
      <c r="C941" s="1574"/>
    </row>
    <row r="942" spans="1:3" s="1559" customFormat="1" x14ac:dyDescent="0.3">
      <c r="A942" s="1561"/>
      <c r="C942" s="1574"/>
    </row>
    <row r="943" spans="1:3" s="1559" customFormat="1" x14ac:dyDescent="0.3">
      <c r="A943" s="1561"/>
      <c r="C943" s="1574"/>
    </row>
    <row r="944" spans="1:3" s="1559" customFormat="1" x14ac:dyDescent="0.3">
      <c r="A944" s="1561"/>
      <c r="C944" s="1574"/>
    </row>
    <row r="945" spans="1:3" s="1559" customFormat="1" x14ac:dyDescent="0.3">
      <c r="A945" s="1561"/>
      <c r="C945" s="1574"/>
    </row>
    <row r="946" spans="1:3" s="1559" customFormat="1" x14ac:dyDescent="0.3">
      <c r="A946" s="1561"/>
      <c r="C946" s="1574"/>
    </row>
    <row r="947" spans="1:3" s="1559" customFormat="1" x14ac:dyDescent="0.3">
      <c r="A947" s="1561"/>
      <c r="C947" s="1574"/>
    </row>
    <row r="948" spans="1:3" s="1559" customFormat="1" x14ac:dyDescent="0.3">
      <c r="A948" s="1561"/>
      <c r="C948" s="1574"/>
    </row>
    <row r="949" spans="1:3" s="1559" customFormat="1" x14ac:dyDescent="0.3">
      <c r="A949" s="1561"/>
      <c r="C949" s="1574"/>
    </row>
    <row r="950" spans="1:3" s="1559" customFormat="1" x14ac:dyDescent="0.3">
      <c r="A950" s="1561"/>
      <c r="C950" s="1574"/>
    </row>
    <row r="951" spans="1:3" s="1559" customFormat="1" x14ac:dyDescent="0.3">
      <c r="A951" s="1561"/>
      <c r="C951" s="1574"/>
    </row>
    <row r="952" spans="1:3" s="1559" customFormat="1" x14ac:dyDescent="0.3">
      <c r="A952" s="1561"/>
      <c r="C952" s="1574"/>
    </row>
    <row r="953" spans="1:3" s="1559" customFormat="1" x14ac:dyDescent="0.3">
      <c r="A953" s="1561"/>
      <c r="C953" s="1574"/>
    </row>
    <row r="954" spans="1:3" s="1559" customFormat="1" x14ac:dyDescent="0.3">
      <c r="A954" s="1561"/>
      <c r="C954" s="1574"/>
    </row>
    <row r="955" spans="1:3" s="1559" customFormat="1" x14ac:dyDescent="0.3">
      <c r="A955" s="1561"/>
      <c r="C955" s="1574"/>
    </row>
    <row r="956" spans="1:3" s="1559" customFormat="1" x14ac:dyDescent="0.3">
      <c r="A956" s="1561"/>
      <c r="C956" s="1574"/>
    </row>
    <row r="957" spans="1:3" s="1559" customFormat="1" x14ac:dyDescent="0.3">
      <c r="A957" s="1561"/>
      <c r="C957" s="1574"/>
    </row>
    <row r="958" spans="1:3" s="1559" customFormat="1" x14ac:dyDescent="0.3">
      <c r="A958" s="1561"/>
      <c r="C958" s="1574"/>
    </row>
    <row r="959" spans="1:3" s="1559" customFormat="1" x14ac:dyDescent="0.3">
      <c r="A959" s="1561"/>
      <c r="C959" s="1574"/>
    </row>
    <row r="960" spans="1:3" s="1559" customFormat="1" x14ac:dyDescent="0.3">
      <c r="A960" s="1561"/>
      <c r="C960" s="1574"/>
    </row>
    <row r="961" spans="1:3" s="1559" customFormat="1" x14ac:dyDescent="0.3">
      <c r="A961" s="1561"/>
      <c r="C961" s="1574"/>
    </row>
    <row r="962" spans="1:3" s="1559" customFormat="1" x14ac:dyDescent="0.3">
      <c r="A962" s="1561"/>
      <c r="C962" s="1574"/>
    </row>
    <row r="963" spans="1:3" s="1559" customFormat="1" x14ac:dyDescent="0.3">
      <c r="A963" s="1561"/>
      <c r="C963" s="1574"/>
    </row>
    <row r="964" spans="1:3" s="1559" customFormat="1" x14ac:dyDescent="0.3">
      <c r="A964" s="1561"/>
      <c r="C964" s="1574"/>
    </row>
    <row r="965" spans="1:3" s="1559" customFormat="1" x14ac:dyDescent="0.3">
      <c r="A965" s="1561"/>
      <c r="C965" s="1574"/>
    </row>
    <row r="966" spans="1:3" s="1559" customFormat="1" x14ac:dyDescent="0.3">
      <c r="A966" s="1561"/>
      <c r="C966" s="1574"/>
    </row>
    <row r="967" spans="1:3" s="1559" customFormat="1" x14ac:dyDescent="0.3">
      <c r="A967" s="1561"/>
      <c r="C967" s="1574"/>
    </row>
    <row r="968" spans="1:3" s="1559" customFormat="1" x14ac:dyDescent="0.3">
      <c r="A968" s="1561"/>
      <c r="C968" s="1574"/>
    </row>
    <row r="969" spans="1:3" s="1559" customFormat="1" x14ac:dyDescent="0.3">
      <c r="A969" s="1561"/>
      <c r="C969" s="1574"/>
    </row>
    <row r="970" spans="1:3" s="1559" customFormat="1" x14ac:dyDescent="0.3">
      <c r="A970" s="1561"/>
      <c r="C970" s="1574"/>
    </row>
    <row r="971" spans="1:3" s="1559" customFormat="1" x14ac:dyDescent="0.3">
      <c r="A971" s="1561"/>
      <c r="C971" s="1574"/>
    </row>
    <row r="972" spans="1:3" s="1559" customFormat="1" x14ac:dyDescent="0.3">
      <c r="A972" s="1561"/>
      <c r="C972" s="1574"/>
    </row>
    <row r="973" spans="1:3" s="1559" customFormat="1" x14ac:dyDescent="0.3">
      <c r="A973" s="1561"/>
      <c r="C973" s="1574"/>
    </row>
    <row r="974" spans="1:3" s="1559" customFormat="1" x14ac:dyDescent="0.3">
      <c r="A974" s="1561"/>
      <c r="C974" s="1574"/>
    </row>
    <row r="975" spans="1:3" s="1559" customFormat="1" x14ac:dyDescent="0.3">
      <c r="A975" s="1561"/>
      <c r="C975" s="1574"/>
    </row>
    <row r="976" spans="1:3" s="1559" customFormat="1" x14ac:dyDescent="0.3">
      <c r="A976" s="1561"/>
      <c r="C976" s="1574"/>
    </row>
    <row r="977" spans="1:3" s="1559" customFormat="1" x14ac:dyDescent="0.3">
      <c r="A977" s="1561"/>
      <c r="C977" s="1574"/>
    </row>
    <row r="978" spans="1:3" s="1559" customFormat="1" x14ac:dyDescent="0.3">
      <c r="A978" s="1561"/>
      <c r="C978" s="1574"/>
    </row>
    <row r="979" spans="1:3" s="1559" customFormat="1" x14ac:dyDescent="0.3">
      <c r="A979" s="1561"/>
      <c r="C979" s="1574"/>
    </row>
    <row r="980" spans="1:3" s="1559" customFormat="1" x14ac:dyDescent="0.3">
      <c r="A980" s="1561"/>
      <c r="C980" s="1574"/>
    </row>
    <row r="981" spans="1:3" s="1559" customFormat="1" x14ac:dyDescent="0.3">
      <c r="A981" s="1561"/>
      <c r="C981" s="1574"/>
    </row>
    <row r="982" spans="1:3" s="1559" customFormat="1" x14ac:dyDescent="0.3">
      <c r="A982" s="1561"/>
      <c r="C982" s="1574"/>
    </row>
    <row r="983" spans="1:3" s="1559" customFormat="1" x14ac:dyDescent="0.3">
      <c r="A983" s="1561"/>
      <c r="C983" s="1574"/>
    </row>
    <row r="984" spans="1:3" s="1559" customFormat="1" x14ac:dyDescent="0.3">
      <c r="A984" s="1561"/>
      <c r="C984" s="1574"/>
    </row>
    <row r="985" spans="1:3" s="1559" customFormat="1" x14ac:dyDescent="0.3">
      <c r="A985" s="1561"/>
      <c r="C985" s="1574"/>
    </row>
    <row r="986" spans="1:3" s="1559" customFormat="1" x14ac:dyDescent="0.3">
      <c r="A986" s="1561"/>
      <c r="C986" s="1574"/>
    </row>
    <row r="987" spans="1:3" s="1559" customFormat="1" x14ac:dyDescent="0.3">
      <c r="A987" s="1561"/>
      <c r="C987" s="1574"/>
    </row>
    <row r="988" spans="1:3" s="1559" customFormat="1" x14ac:dyDescent="0.3">
      <c r="A988" s="1561"/>
      <c r="C988" s="1574"/>
    </row>
    <row r="989" spans="1:3" s="1559" customFormat="1" x14ac:dyDescent="0.3">
      <c r="A989" s="1561"/>
      <c r="C989" s="1574"/>
    </row>
    <row r="990" spans="1:3" s="1559" customFormat="1" x14ac:dyDescent="0.3">
      <c r="A990" s="1561"/>
      <c r="C990" s="1574"/>
    </row>
    <row r="991" spans="1:3" s="1559" customFormat="1" x14ac:dyDescent="0.3">
      <c r="A991" s="1561"/>
      <c r="C991" s="1574"/>
    </row>
    <row r="992" spans="1:3" s="1559" customFormat="1" x14ac:dyDescent="0.3">
      <c r="A992" s="1561"/>
      <c r="C992" s="1574"/>
    </row>
    <row r="993" spans="1:3" s="1559" customFormat="1" x14ac:dyDescent="0.3">
      <c r="A993" s="1561"/>
      <c r="C993" s="1574"/>
    </row>
    <row r="994" spans="1:3" s="1559" customFormat="1" x14ac:dyDescent="0.3">
      <c r="A994" s="1561"/>
      <c r="C994" s="1574"/>
    </row>
    <row r="995" spans="1:3" s="1559" customFormat="1" x14ac:dyDescent="0.3">
      <c r="A995" s="1561"/>
      <c r="C995" s="1574"/>
    </row>
    <row r="996" spans="1:3" s="1559" customFormat="1" x14ac:dyDescent="0.3">
      <c r="A996" s="1561"/>
      <c r="C996" s="1574"/>
    </row>
    <row r="997" spans="1:3" s="1559" customFormat="1" x14ac:dyDescent="0.3">
      <c r="A997" s="1561"/>
      <c r="C997" s="1574"/>
    </row>
    <row r="998" spans="1:3" s="1559" customFormat="1" x14ac:dyDescent="0.3">
      <c r="A998" s="1561"/>
      <c r="C998" s="1574"/>
    </row>
    <row r="999" spans="1:3" s="1559" customFormat="1" x14ac:dyDescent="0.3">
      <c r="A999" s="1561"/>
      <c r="C999" s="1574"/>
    </row>
    <row r="1000" spans="1:3" s="1559" customFormat="1" x14ac:dyDescent="0.3">
      <c r="A1000" s="1561"/>
      <c r="C1000" s="1574"/>
    </row>
    <row r="1001" spans="1:3" s="1559" customFormat="1" x14ac:dyDescent="0.3">
      <c r="A1001" s="1561"/>
      <c r="C1001" s="1574"/>
    </row>
    <row r="1002" spans="1:3" s="1559" customFormat="1" x14ac:dyDescent="0.3">
      <c r="A1002" s="1561"/>
      <c r="C1002" s="1574"/>
    </row>
    <row r="1003" spans="1:3" s="1559" customFormat="1" x14ac:dyDescent="0.3">
      <c r="A1003" s="1561"/>
      <c r="C1003" s="1574"/>
    </row>
    <row r="1004" spans="1:3" s="1559" customFormat="1" x14ac:dyDescent="0.3">
      <c r="A1004" s="1561"/>
      <c r="C1004" s="1574"/>
    </row>
    <row r="1005" spans="1:3" s="1559" customFormat="1" x14ac:dyDescent="0.3">
      <c r="A1005" s="1561"/>
      <c r="C1005" s="1574"/>
    </row>
    <row r="1006" spans="1:3" s="1559" customFormat="1" x14ac:dyDescent="0.3">
      <c r="A1006" s="1561"/>
      <c r="C1006" s="1574"/>
    </row>
    <row r="1007" spans="1:3" s="1559" customFormat="1" x14ac:dyDescent="0.3">
      <c r="A1007" s="1561"/>
      <c r="C1007" s="1574"/>
    </row>
    <row r="1008" spans="1:3" s="1559" customFormat="1" x14ac:dyDescent="0.3">
      <c r="A1008" s="1561"/>
      <c r="C1008" s="1574"/>
    </row>
    <row r="1009" spans="1:3" s="1559" customFormat="1" x14ac:dyDescent="0.3">
      <c r="A1009" s="1561"/>
      <c r="C1009" s="1574"/>
    </row>
    <row r="1010" spans="1:3" s="1559" customFormat="1" x14ac:dyDescent="0.3">
      <c r="A1010" s="1561"/>
      <c r="C1010" s="1574"/>
    </row>
    <row r="1011" spans="1:3" s="1559" customFormat="1" x14ac:dyDescent="0.3">
      <c r="A1011" s="1561"/>
      <c r="C1011" s="1574"/>
    </row>
    <row r="1012" spans="1:3" s="1559" customFormat="1" x14ac:dyDescent="0.3">
      <c r="A1012" s="1561"/>
      <c r="C1012" s="1574"/>
    </row>
    <row r="1013" spans="1:3" s="1559" customFormat="1" x14ac:dyDescent="0.3">
      <c r="A1013" s="1561"/>
      <c r="C1013" s="1574"/>
    </row>
    <row r="1014" spans="1:3" s="1559" customFormat="1" x14ac:dyDescent="0.3">
      <c r="A1014" s="1561"/>
      <c r="C1014" s="1574"/>
    </row>
    <row r="1015" spans="1:3" s="1559" customFormat="1" x14ac:dyDescent="0.3">
      <c r="A1015" s="1561"/>
      <c r="C1015" s="1574"/>
    </row>
    <row r="1016" spans="1:3" s="1559" customFormat="1" x14ac:dyDescent="0.3">
      <c r="A1016" s="1561"/>
      <c r="C1016" s="1574"/>
    </row>
    <row r="1017" spans="1:3" s="1559" customFormat="1" x14ac:dyDescent="0.3">
      <c r="A1017" s="1561"/>
      <c r="C1017" s="1574"/>
    </row>
    <row r="1018" spans="1:3" s="1559" customFormat="1" x14ac:dyDescent="0.3">
      <c r="A1018" s="1561"/>
      <c r="C1018" s="1574"/>
    </row>
    <row r="1019" spans="1:3" s="1559" customFormat="1" x14ac:dyDescent="0.3">
      <c r="A1019" s="1561"/>
      <c r="C1019" s="1574"/>
    </row>
    <row r="1020" spans="1:3" s="1559" customFormat="1" x14ac:dyDescent="0.3">
      <c r="A1020" s="1561"/>
      <c r="C1020" s="1574"/>
    </row>
    <row r="1021" spans="1:3" s="1559" customFormat="1" x14ac:dyDescent="0.3">
      <c r="A1021" s="1561"/>
      <c r="C1021" s="1574"/>
    </row>
    <row r="1022" spans="1:3" s="1559" customFormat="1" x14ac:dyDescent="0.3">
      <c r="A1022" s="1561"/>
      <c r="C1022" s="1574"/>
    </row>
    <row r="1023" spans="1:3" s="1559" customFormat="1" x14ac:dyDescent="0.3">
      <c r="A1023" s="1561"/>
      <c r="C1023" s="1574"/>
    </row>
    <row r="1024" spans="1:3" s="1559" customFormat="1" x14ac:dyDescent="0.3">
      <c r="A1024" s="1561"/>
      <c r="C1024" s="1574"/>
    </row>
    <row r="1025" spans="1:3" s="1559" customFormat="1" x14ac:dyDescent="0.3">
      <c r="A1025" s="1561"/>
      <c r="C1025" s="1574"/>
    </row>
    <row r="1026" spans="1:3" s="1559" customFormat="1" x14ac:dyDescent="0.3">
      <c r="A1026" s="1561"/>
      <c r="C1026" s="1574"/>
    </row>
    <row r="1027" spans="1:3" s="1559" customFormat="1" x14ac:dyDescent="0.3">
      <c r="A1027" s="1561"/>
      <c r="C1027" s="1574"/>
    </row>
    <row r="1028" spans="1:3" s="1559" customFormat="1" x14ac:dyDescent="0.3">
      <c r="A1028" s="1561"/>
      <c r="C1028" s="1574"/>
    </row>
    <row r="1029" spans="1:3" s="1559" customFormat="1" x14ac:dyDescent="0.3">
      <c r="A1029" s="1561"/>
      <c r="C1029" s="1574"/>
    </row>
    <row r="1030" spans="1:3" s="1559" customFormat="1" x14ac:dyDescent="0.3">
      <c r="A1030" s="1561"/>
      <c r="C1030" s="1574"/>
    </row>
    <row r="1031" spans="1:3" s="1559" customFormat="1" x14ac:dyDescent="0.3">
      <c r="A1031" s="1561"/>
      <c r="C1031" s="1574"/>
    </row>
    <row r="1032" spans="1:3" s="1559" customFormat="1" x14ac:dyDescent="0.3">
      <c r="A1032" s="1561"/>
      <c r="C1032" s="1574"/>
    </row>
    <row r="1033" spans="1:3" s="1559" customFormat="1" x14ac:dyDescent="0.3">
      <c r="A1033" s="1561"/>
      <c r="C1033" s="1574"/>
    </row>
    <row r="1034" spans="1:3" s="1559" customFormat="1" x14ac:dyDescent="0.3">
      <c r="A1034" s="1561"/>
      <c r="C1034" s="1574"/>
    </row>
    <row r="1035" spans="1:3" s="1559" customFormat="1" x14ac:dyDescent="0.3">
      <c r="A1035" s="1561"/>
      <c r="C1035" s="1574"/>
    </row>
    <row r="1036" spans="1:3" s="1559" customFormat="1" x14ac:dyDescent="0.3">
      <c r="A1036" s="1561"/>
      <c r="C1036" s="1574"/>
    </row>
    <row r="1037" spans="1:3" s="1559" customFormat="1" x14ac:dyDescent="0.3">
      <c r="A1037" s="1561"/>
      <c r="C1037" s="1574"/>
    </row>
    <row r="1038" spans="1:3" s="1559" customFormat="1" x14ac:dyDescent="0.3">
      <c r="A1038" s="1561"/>
      <c r="C1038" s="1574"/>
    </row>
    <row r="1039" spans="1:3" s="1559" customFormat="1" x14ac:dyDescent="0.3">
      <c r="A1039" s="1561"/>
      <c r="C1039" s="1574"/>
    </row>
    <row r="1040" spans="1:3" s="1559" customFormat="1" x14ac:dyDescent="0.3">
      <c r="A1040" s="1561"/>
      <c r="C1040" s="1574"/>
    </row>
    <row r="1041" spans="1:3" s="1559" customFormat="1" x14ac:dyDescent="0.3">
      <c r="A1041" s="1561"/>
      <c r="C1041" s="1574"/>
    </row>
    <row r="1042" spans="1:3" s="1559" customFormat="1" x14ac:dyDescent="0.3">
      <c r="A1042" s="1561"/>
      <c r="C1042" s="1574"/>
    </row>
    <row r="1043" spans="1:3" s="1559" customFormat="1" x14ac:dyDescent="0.3">
      <c r="A1043" s="1561"/>
      <c r="C1043" s="1574"/>
    </row>
    <row r="1044" spans="1:3" s="1559" customFormat="1" x14ac:dyDescent="0.3">
      <c r="A1044" s="1561"/>
      <c r="C1044" s="1574"/>
    </row>
    <row r="1045" spans="1:3" s="1559" customFormat="1" x14ac:dyDescent="0.3">
      <c r="A1045" s="1561"/>
      <c r="C1045" s="1574"/>
    </row>
    <row r="1046" spans="1:3" s="1559" customFormat="1" x14ac:dyDescent="0.3">
      <c r="A1046" s="1561"/>
      <c r="C1046" s="1574"/>
    </row>
    <row r="1047" spans="1:3" s="1559" customFormat="1" x14ac:dyDescent="0.3">
      <c r="A1047" s="1561"/>
      <c r="C1047" s="1574"/>
    </row>
    <row r="1048" spans="1:3" s="1559" customFormat="1" x14ac:dyDescent="0.3">
      <c r="A1048" s="1561"/>
      <c r="C1048" s="1574"/>
    </row>
    <row r="1049" spans="1:3" s="1559" customFormat="1" x14ac:dyDescent="0.3">
      <c r="A1049" s="1561"/>
      <c r="C1049" s="1574"/>
    </row>
    <row r="1050" spans="1:3" s="1559" customFormat="1" x14ac:dyDescent="0.3">
      <c r="A1050" s="1561"/>
      <c r="C1050" s="1574"/>
    </row>
    <row r="1051" spans="1:3" s="1559" customFormat="1" x14ac:dyDescent="0.3">
      <c r="A1051" s="1561"/>
      <c r="C1051" s="1574"/>
    </row>
    <row r="1052" spans="1:3" s="1559" customFormat="1" x14ac:dyDescent="0.3">
      <c r="A1052" s="1561"/>
      <c r="C1052" s="1574"/>
    </row>
    <row r="1053" spans="1:3" s="1559" customFormat="1" x14ac:dyDescent="0.3">
      <c r="A1053" s="1561"/>
      <c r="C1053" s="1574"/>
    </row>
    <row r="1054" spans="1:3" s="1559" customFormat="1" x14ac:dyDescent="0.3">
      <c r="A1054" s="1561"/>
      <c r="C1054" s="1574"/>
    </row>
    <row r="1055" spans="1:3" s="1559" customFormat="1" x14ac:dyDescent="0.3">
      <c r="A1055" s="1561"/>
      <c r="C1055" s="1574"/>
    </row>
    <row r="1056" spans="1:3" s="1559" customFormat="1" x14ac:dyDescent="0.3">
      <c r="A1056" s="1561"/>
      <c r="C1056" s="1574"/>
    </row>
    <row r="1057" spans="1:3" s="1559" customFormat="1" x14ac:dyDescent="0.3">
      <c r="A1057" s="1561"/>
      <c r="C1057" s="1574"/>
    </row>
    <row r="1058" spans="1:3" s="1559" customFormat="1" x14ac:dyDescent="0.3">
      <c r="A1058" s="1561"/>
      <c r="C1058" s="1574"/>
    </row>
    <row r="1059" spans="1:3" s="1559" customFormat="1" x14ac:dyDescent="0.3">
      <c r="A1059" s="1561"/>
      <c r="C1059" s="1574"/>
    </row>
    <row r="1060" spans="1:3" s="1559" customFormat="1" x14ac:dyDescent="0.3">
      <c r="A1060" s="1561"/>
      <c r="C1060" s="1574"/>
    </row>
    <row r="1061" spans="1:3" s="1559" customFormat="1" x14ac:dyDescent="0.3">
      <c r="A1061" s="1561"/>
      <c r="C1061" s="1574"/>
    </row>
    <row r="1062" spans="1:3" s="1559" customFormat="1" x14ac:dyDescent="0.3">
      <c r="A1062" s="1561"/>
      <c r="C1062" s="1574"/>
    </row>
    <row r="1063" spans="1:3" s="1559" customFormat="1" x14ac:dyDescent="0.3">
      <c r="A1063" s="1561"/>
      <c r="C1063" s="1574"/>
    </row>
    <row r="1064" spans="1:3" s="1559" customFormat="1" x14ac:dyDescent="0.3">
      <c r="A1064" s="1561"/>
      <c r="C1064" s="1574"/>
    </row>
    <row r="1065" spans="1:3" s="1559" customFormat="1" x14ac:dyDescent="0.3">
      <c r="A1065" s="1561"/>
      <c r="C1065" s="1574"/>
    </row>
    <row r="1066" spans="1:3" s="1559" customFormat="1" x14ac:dyDescent="0.3">
      <c r="A1066" s="1561"/>
      <c r="C1066" s="1574"/>
    </row>
    <row r="1067" spans="1:3" s="1559" customFormat="1" x14ac:dyDescent="0.3">
      <c r="A1067" s="1561"/>
      <c r="C1067" s="1574"/>
    </row>
    <row r="1068" spans="1:3" s="1559" customFormat="1" x14ac:dyDescent="0.3">
      <c r="A1068" s="1561"/>
      <c r="C1068" s="1574"/>
    </row>
    <row r="1069" spans="1:3" s="1559" customFormat="1" x14ac:dyDescent="0.3">
      <c r="A1069" s="1561"/>
      <c r="C1069" s="1574"/>
    </row>
    <row r="1070" spans="1:3" s="1559" customFormat="1" x14ac:dyDescent="0.3">
      <c r="A1070" s="1561"/>
      <c r="C1070" s="1574"/>
    </row>
    <row r="1071" spans="1:3" s="1559" customFormat="1" x14ac:dyDescent="0.3">
      <c r="A1071" s="1561"/>
      <c r="C1071" s="1574"/>
    </row>
    <row r="1072" spans="1:3" s="1559" customFormat="1" x14ac:dyDescent="0.3">
      <c r="A1072" s="1561"/>
      <c r="C1072" s="1574"/>
    </row>
    <row r="1073" spans="1:3" s="1559" customFormat="1" x14ac:dyDescent="0.3">
      <c r="A1073" s="1561"/>
      <c r="C1073" s="1574"/>
    </row>
    <row r="1074" spans="1:3" s="1559" customFormat="1" x14ac:dyDescent="0.3">
      <c r="A1074" s="1561"/>
      <c r="C1074" s="1574"/>
    </row>
    <row r="1075" spans="1:3" s="1559" customFormat="1" x14ac:dyDescent="0.3">
      <c r="A1075" s="1561"/>
      <c r="C1075" s="1574"/>
    </row>
    <row r="1076" spans="1:3" s="1559" customFormat="1" x14ac:dyDescent="0.3">
      <c r="A1076" s="1561"/>
      <c r="C1076" s="1574"/>
    </row>
    <row r="1077" spans="1:3" s="1559" customFormat="1" x14ac:dyDescent="0.3">
      <c r="A1077" s="1561"/>
      <c r="C1077" s="1574"/>
    </row>
    <row r="1078" spans="1:3" s="1559" customFormat="1" x14ac:dyDescent="0.3">
      <c r="A1078" s="1561"/>
      <c r="C1078" s="1574"/>
    </row>
    <row r="1079" spans="1:3" s="1559" customFormat="1" x14ac:dyDescent="0.3">
      <c r="A1079" s="1561"/>
      <c r="C1079" s="1574"/>
    </row>
    <row r="1080" spans="1:3" s="1559" customFormat="1" x14ac:dyDescent="0.3">
      <c r="A1080" s="1561"/>
      <c r="C1080" s="1574"/>
    </row>
    <row r="1081" spans="1:3" s="1559" customFormat="1" x14ac:dyDescent="0.3">
      <c r="A1081" s="1561"/>
      <c r="C1081" s="1574"/>
    </row>
    <row r="1082" spans="1:3" s="1559" customFormat="1" x14ac:dyDescent="0.3">
      <c r="A1082" s="1561"/>
      <c r="C1082" s="1574"/>
    </row>
    <row r="1083" spans="1:3" s="1559" customFormat="1" x14ac:dyDescent="0.3">
      <c r="A1083" s="1561"/>
      <c r="C1083" s="1574"/>
    </row>
    <row r="1084" spans="1:3" s="1559" customFormat="1" x14ac:dyDescent="0.3">
      <c r="A1084" s="1561"/>
      <c r="C1084" s="1574"/>
    </row>
    <row r="1085" spans="1:3" s="1559" customFormat="1" x14ac:dyDescent="0.3">
      <c r="A1085" s="1561"/>
      <c r="C1085" s="1574"/>
    </row>
    <row r="1086" spans="1:3" s="1559" customFormat="1" x14ac:dyDescent="0.3">
      <c r="A1086" s="1561"/>
      <c r="C1086" s="1574"/>
    </row>
    <row r="1087" spans="1:3" s="1559" customFormat="1" x14ac:dyDescent="0.3">
      <c r="A1087" s="1561"/>
      <c r="C1087" s="1574"/>
    </row>
    <row r="1088" spans="1:3" s="1559" customFormat="1" x14ac:dyDescent="0.3">
      <c r="A1088" s="1561"/>
      <c r="C1088" s="1574"/>
    </row>
    <row r="1089" spans="1:3" s="1559" customFormat="1" x14ac:dyDescent="0.3">
      <c r="A1089" s="1561"/>
      <c r="C1089" s="1574"/>
    </row>
    <row r="1090" spans="1:3" s="1559" customFormat="1" x14ac:dyDescent="0.3">
      <c r="A1090" s="1561"/>
      <c r="C1090" s="1574"/>
    </row>
    <row r="1091" spans="1:3" s="1559" customFormat="1" x14ac:dyDescent="0.3">
      <c r="A1091" s="1561"/>
      <c r="C1091" s="1574"/>
    </row>
    <row r="1092" spans="1:3" s="1559" customFormat="1" x14ac:dyDescent="0.3">
      <c r="A1092" s="1561"/>
      <c r="C1092" s="1574"/>
    </row>
    <row r="1093" spans="1:3" s="1559" customFormat="1" x14ac:dyDescent="0.3">
      <c r="A1093" s="1561"/>
      <c r="C1093" s="1574"/>
    </row>
    <row r="1094" spans="1:3" s="1559" customFormat="1" x14ac:dyDescent="0.3">
      <c r="A1094" s="1561"/>
      <c r="C1094" s="1574"/>
    </row>
    <row r="1095" spans="1:3" s="1559" customFormat="1" x14ac:dyDescent="0.3">
      <c r="A1095" s="1561"/>
      <c r="C1095" s="1574"/>
    </row>
    <row r="1096" spans="1:3" s="1559" customFormat="1" x14ac:dyDescent="0.3">
      <c r="A1096" s="1561"/>
      <c r="C1096" s="1574"/>
    </row>
    <row r="1097" spans="1:3" s="1559" customFormat="1" x14ac:dyDescent="0.3">
      <c r="A1097" s="1561"/>
      <c r="C1097" s="1574"/>
    </row>
    <row r="1098" spans="1:3" s="1559" customFormat="1" x14ac:dyDescent="0.3">
      <c r="A1098" s="1561"/>
      <c r="C1098" s="1574"/>
    </row>
    <row r="1099" spans="1:3" s="1559" customFormat="1" x14ac:dyDescent="0.3">
      <c r="A1099" s="1561"/>
      <c r="C1099" s="1574"/>
    </row>
    <row r="1100" spans="1:3" s="1559" customFormat="1" x14ac:dyDescent="0.3">
      <c r="A1100" s="1561"/>
      <c r="C1100" s="1574"/>
    </row>
    <row r="1101" spans="1:3" s="1559" customFormat="1" x14ac:dyDescent="0.3">
      <c r="A1101" s="1561"/>
      <c r="C1101" s="1574"/>
    </row>
    <row r="1102" spans="1:3" s="1559" customFormat="1" x14ac:dyDescent="0.3">
      <c r="A1102" s="1561"/>
      <c r="C1102" s="1574"/>
    </row>
    <row r="1103" spans="1:3" s="1559" customFormat="1" x14ac:dyDescent="0.3">
      <c r="A1103" s="1561"/>
      <c r="C1103" s="1574"/>
    </row>
    <row r="1104" spans="1:3" s="1559" customFormat="1" x14ac:dyDescent="0.3">
      <c r="A1104" s="1561"/>
      <c r="C1104" s="1574"/>
    </row>
    <row r="1105" spans="1:3" s="1559" customFormat="1" x14ac:dyDescent="0.3">
      <c r="A1105" s="1561"/>
      <c r="C1105" s="1574"/>
    </row>
    <row r="1106" spans="1:3" s="1559" customFormat="1" x14ac:dyDescent="0.3">
      <c r="A1106" s="1561"/>
      <c r="C1106" s="1574"/>
    </row>
    <row r="1107" spans="1:3" s="1559" customFormat="1" x14ac:dyDescent="0.3">
      <c r="A1107" s="1561"/>
      <c r="C1107" s="1574"/>
    </row>
    <row r="1108" spans="1:3" s="1559" customFormat="1" x14ac:dyDescent="0.3">
      <c r="A1108" s="1561"/>
      <c r="C1108" s="1574"/>
    </row>
    <row r="1109" spans="1:3" s="1559" customFormat="1" x14ac:dyDescent="0.3">
      <c r="A1109" s="1561"/>
      <c r="C1109" s="1574"/>
    </row>
    <row r="1110" spans="1:3" s="1559" customFormat="1" x14ac:dyDescent="0.3">
      <c r="A1110" s="1561"/>
      <c r="C1110" s="1574"/>
    </row>
    <row r="1111" spans="1:3" s="1559" customFormat="1" x14ac:dyDescent="0.3">
      <c r="A1111" s="1561"/>
      <c r="C1111" s="1574"/>
    </row>
    <row r="1112" spans="1:3" s="1559" customFormat="1" x14ac:dyDescent="0.3">
      <c r="A1112" s="1561"/>
      <c r="C1112" s="1574"/>
    </row>
    <row r="1113" spans="1:3" s="1559" customFormat="1" x14ac:dyDescent="0.3">
      <c r="A1113" s="1561"/>
      <c r="C1113" s="1574"/>
    </row>
    <row r="1114" spans="1:3" s="1559" customFormat="1" x14ac:dyDescent="0.3">
      <c r="A1114" s="1561"/>
      <c r="C1114" s="1574"/>
    </row>
    <row r="1115" spans="1:3" s="1559" customFormat="1" x14ac:dyDescent="0.3">
      <c r="A1115" s="1561"/>
      <c r="C1115" s="1574"/>
    </row>
    <row r="1116" spans="1:3" s="1559" customFormat="1" x14ac:dyDescent="0.3">
      <c r="A1116" s="1561"/>
      <c r="C1116" s="1574"/>
    </row>
    <row r="1117" spans="1:3" s="1559" customFormat="1" x14ac:dyDescent="0.3">
      <c r="A1117" s="1561"/>
      <c r="C1117" s="1574"/>
    </row>
    <row r="1118" spans="1:3" s="1559" customFormat="1" x14ac:dyDescent="0.3">
      <c r="A1118" s="1561"/>
      <c r="C1118" s="1574"/>
    </row>
    <row r="1119" spans="1:3" s="1559" customFormat="1" x14ac:dyDescent="0.3">
      <c r="A1119" s="1561"/>
      <c r="C1119" s="1574"/>
    </row>
    <row r="1120" spans="1:3" s="1559" customFormat="1" x14ac:dyDescent="0.3">
      <c r="A1120" s="1561"/>
      <c r="C1120" s="1574"/>
    </row>
    <row r="1121" spans="1:3" s="1559" customFormat="1" x14ac:dyDescent="0.3">
      <c r="A1121" s="1561"/>
      <c r="C1121" s="1574"/>
    </row>
    <row r="1122" spans="1:3" s="1559" customFormat="1" x14ac:dyDescent="0.3">
      <c r="A1122" s="1561"/>
      <c r="C1122" s="1574"/>
    </row>
    <row r="1123" spans="1:3" s="1559" customFormat="1" x14ac:dyDescent="0.3">
      <c r="A1123" s="1561"/>
      <c r="C1123" s="1574"/>
    </row>
    <row r="1124" spans="1:3" s="1559" customFormat="1" x14ac:dyDescent="0.3">
      <c r="A1124" s="1561"/>
      <c r="C1124" s="1574"/>
    </row>
    <row r="1125" spans="1:3" s="1559" customFormat="1" x14ac:dyDescent="0.3">
      <c r="A1125" s="1561"/>
      <c r="C1125" s="1574"/>
    </row>
    <row r="1126" spans="1:3" s="1559" customFormat="1" x14ac:dyDescent="0.3">
      <c r="A1126" s="1561"/>
      <c r="C1126" s="1574"/>
    </row>
    <row r="1127" spans="1:3" s="1559" customFormat="1" x14ac:dyDescent="0.3">
      <c r="A1127" s="1561"/>
      <c r="C1127" s="1574"/>
    </row>
    <row r="1128" spans="1:3" s="1559" customFormat="1" x14ac:dyDescent="0.3">
      <c r="A1128" s="1561"/>
      <c r="C1128" s="1574"/>
    </row>
    <row r="1129" spans="1:3" s="1559" customFormat="1" x14ac:dyDescent="0.3">
      <c r="A1129" s="1561"/>
      <c r="C1129" s="1574"/>
    </row>
    <row r="1130" spans="1:3" s="1559" customFormat="1" x14ac:dyDescent="0.3">
      <c r="A1130" s="1561"/>
      <c r="C1130" s="1574"/>
    </row>
    <row r="1131" spans="1:3" s="1559" customFormat="1" x14ac:dyDescent="0.3">
      <c r="A1131" s="1561"/>
      <c r="C1131" s="1574"/>
    </row>
    <row r="1132" spans="1:3" s="1559" customFormat="1" x14ac:dyDescent="0.3">
      <c r="A1132" s="1561"/>
      <c r="C1132" s="1574"/>
    </row>
    <row r="1133" spans="1:3" s="1559" customFormat="1" x14ac:dyDescent="0.3">
      <c r="A1133" s="1561"/>
      <c r="C1133" s="1574"/>
    </row>
    <row r="1134" spans="1:3" s="1559" customFormat="1" x14ac:dyDescent="0.3">
      <c r="A1134" s="1561"/>
      <c r="C1134" s="1574"/>
    </row>
    <row r="1135" spans="1:3" s="1559" customFormat="1" x14ac:dyDescent="0.3">
      <c r="A1135" s="1561"/>
      <c r="C1135" s="1574"/>
    </row>
    <row r="1136" spans="1:3" s="1559" customFormat="1" x14ac:dyDescent="0.3">
      <c r="A1136" s="1561"/>
      <c r="C1136" s="1574"/>
    </row>
    <row r="1137" spans="1:3" s="1559" customFormat="1" x14ac:dyDescent="0.3">
      <c r="A1137" s="1561"/>
      <c r="C1137" s="1574"/>
    </row>
    <row r="1138" spans="1:3" s="1559" customFormat="1" x14ac:dyDescent="0.3">
      <c r="A1138" s="1561"/>
      <c r="C1138" s="1574"/>
    </row>
    <row r="1139" spans="1:3" s="1559" customFormat="1" x14ac:dyDescent="0.3">
      <c r="A1139" s="1561"/>
      <c r="C1139" s="1574"/>
    </row>
    <row r="1140" spans="1:3" s="1559" customFormat="1" x14ac:dyDescent="0.3">
      <c r="A1140" s="1561"/>
      <c r="C1140" s="1574"/>
    </row>
    <row r="1141" spans="1:3" s="1559" customFormat="1" x14ac:dyDescent="0.3">
      <c r="A1141" s="1561"/>
      <c r="C1141" s="1574"/>
    </row>
    <row r="1142" spans="1:3" s="1559" customFormat="1" x14ac:dyDescent="0.3">
      <c r="A1142" s="1561"/>
      <c r="C1142" s="1574"/>
    </row>
    <row r="1143" spans="1:3" s="1559" customFormat="1" x14ac:dyDescent="0.3">
      <c r="A1143" s="1561"/>
      <c r="C1143" s="1574"/>
    </row>
    <row r="1144" spans="1:3" s="1559" customFormat="1" x14ac:dyDescent="0.3">
      <c r="A1144" s="1561"/>
      <c r="C1144" s="1574"/>
    </row>
    <row r="1145" spans="1:3" s="1559" customFormat="1" x14ac:dyDescent="0.3">
      <c r="A1145" s="1561"/>
      <c r="C1145" s="1574"/>
    </row>
    <row r="1146" spans="1:3" s="1559" customFormat="1" x14ac:dyDescent="0.3">
      <c r="A1146" s="1561"/>
      <c r="C1146" s="1574"/>
    </row>
    <row r="1147" spans="1:3" s="1559" customFormat="1" x14ac:dyDescent="0.3">
      <c r="A1147" s="1561"/>
      <c r="C1147" s="1574"/>
    </row>
    <row r="1148" spans="1:3" s="1559" customFormat="1" x14ac:dyDescent="0.3">
      <c r="A1148" s="1561"/>
      <c r="C1148" s="1574"/>
    </row>
    <row r="1149" spans="1:3" s="1559" customFormat="1" x14ac:dyDescent="0.3">
      <c r="A1149" s="1561"/>
      <c r="C1149" s="1574"/>
    </row>
    <row r="1150" spans="1:3" s="1559" customFormat="1" x14ac:dyDescent="0.3">
      <c r="A1150" s="1561"/>
      <c r="C1150" s="1574"/>
    </row>
    <row r="1151" spans="1:3" s="1559" customFormat="1" x14ac:dyDescent="0.3">
      <c r="A1151" s="1561"/>
      <c r="C1151" s="1574"/>
    </row>
    <row r="1152" spans="1:3" s="1559" customFormat="1" x14ac:dyDescent="0.3">
      <c r="A1152" s="1561"/>
      <c r="C1152" s="1574"/>
    </row>
    <row r="1153" spans="1:3" s="1559" customFormat="1" x14ac:dyDescent="0.3">
      <c r="A1153" s="1561"/>
      <c r="C1153" s="1574"/>
    </row>
    <row r="1154" spans="1:3" s="1559" customFormat="1" x14ac:dyDescent="0.3">
      <c r="A1154" s="1561"/>
      <c r="C1154" s="1574"/>
    </row>
    <row r="1155" spans="1:3" s="1559" customFormat="1" x14ac:dyDescent="0.3">
      <c r="A1155" s="1561"/>
      <c r="C1155" s="1574"/>
    </row>
    <row r="1156" spans="1:3" s="1559" customFormat="1" x14ac:dyDescent="0.3">
      <c r="A1156" s="1561"/>
      <c r="C1156" s="1574"/>
    </row>
    <row r="1157" spans="1:3" s="1559" customFormat="1" x14ac:dyDescent="0.3">
      <c r="A1157" s="1561"/>
      <c r="C1157" s="1574"/>
    </row>
    <row r="1158" spans="1:3" s="1559" customFormat="1" x14ac:dyDescent="0.3">
      <c r="A1158" s="1561"/>
      <c r="C1158" s="1574"/>
    </row>
    <row r="1159" spans="1:3" s="1559" customFormat="1" x14ac:dyDescent="0.3">
      <c r="A1159" s="1561"/>
      <c r="C1159" s="1574"/>
    </row>
    <row r="1160" spans="1:3" s="1559" customFormat="1" x14ac:dyDescent="0.3">
      <c r="A1160" s="1561"/>
      <c r="C1160" s="1574"/>
    </row>
    <row r="1161" spans="1:3" s="1559" customFormat="1" x14ac:dyDescent="0.3">
      <c r="A1161" s="1561"/>
      <c r="C1161" s="1574"/>
    </row>
    <row r="1162" spans="1:3" s="1559" customFormat="1" x14ac:dyDescent="0.3">
      <c r="A1162" s="1561"/>
      <c r="C1162" s="1574"/>
    </row>
    <row r="1163" spans="1:3" s="1559" customFormat="1" x14ac:dyDescent="0.3">
      <c r="A1163" s="1561"/>
      <c r="C1163" s="1574"/>
    </row>
    <row r="1164" spans="1:3" s="1559" customFormat="1" x14ac:dyDescent="0.3">
      <c r="A1164" s="1561"/>
      <c r="C1164" s="1574"/>
    </row>
    <row r="1165" spans="1:3" s="1559" customFormat="1" x14ac:dyDescent="0.3">
      <c r="A1165" s="1561"/>
      <c r="C1165" s="1574"/>
    </row>
    <row r="1166" spans="1:3" s="1559" customFormat="1" x14ac:dyDescent="0.3">
      <c r="A1166" s="1561"/>
      <c r="C1166" s="1574"/>
    </row>
    <row r="1167" spans="1:3" s="1559" customFormat="1" x14ac:dyDescent="0.3">
      <c r="A1167" s="1561"/>
      <c r="C1167" s="1574"/>
    </row>
    <row r="1168" spans="1:3" s="1559" customFormat="1" x14ac:dyDescent="0.3">
      <c r="A1168" s="1561"/>
      <c r="C1168" s="1574"/>
    </row>
    <row r="1169" spans="1:3" s="1559" customFormat="1" x14ac:dyDescent="0.3">
      <c r="A1169" s="1561"/>
      <c r="C1169" s="1574"/>
    </row>
    <row r="1170" spans="1:3" s="1559" customFormat="1" x14ac:dyDescent="0.3">
      <c r="A1170" s="1561"/>
      <c r="C1170" s="1574"/>
    </row>
    <row r="1171" spans="1:3" s="1559" customFormat="1" x14ac:dyDescent="0.3">
      <c r="A1171" s="1561"/>
      <c r="C1171" s="1574"/>
    </row>
    <row r="1172" spans="1:3" s="1559" customFormat="1" x14ac:dyDescent="0.3">
      <c r="A1172" s="1561"/>
      <c r="C1172" s="1574"/>
    </row>
    <row r="1173" spans="1:3" s="1559" customFormat="1" x14ac:dyDescent="0.3">
      <c r="A1173" s="1561"/>
      <c r="C1173" s="1574"/>
    </row>
    <row r="1174" spans="1:3" s="1559" customFormat="1" x14ac:dyDescent="0.3">
      <c r="A1174" s="1561"/>
      <c r="C1174" s="1574"/>
    </row>
    <row r="1175" spans="1:3" s="1559" customFormat="1" x14ac:dyDescent="0.3">
      <c r="A1175" s="1561"/>
      <c r="C1175" s="1574"/>
    </row>
    <row r="1176" spans="1:3" s="1559" customFormat="1" x14ac:dyDescent="0.3">
      <c r="A1176" s="1561"/>
      <c r="C1176" s="1574"/>
    </row>
    <row r="1177" spans="1:3" s="1559" customFormat="1" x14ac:dyDescent="0.3">
      <c r="A1177" s="1561"/>
      <c r="C1177" s="1574"/>
    </row>
    <row r="1178" spans="1:3" s="1559" customFormat="1" x14ac:dyDescent="0.3">
      <c r="A1178" s="1561"/>
      <c r="C1178" s="1574"/>
    </row>
    <row r="1179" spans="1:3" s="1559" customFormat="1" x14ac:dyDescent="0.3">
      <c r="A1179" s="1561"/>
      <c r="C1179" s="1574"/>
    </row>
    <row r="1180" spans="1:3" s="1559" customFormat="1" x14ac:dyDescent="0.3">
      <c r="A1180" s="1561"/>
      <c r="C1180" s="1574"/>
    </row>
    <row r="1181" spans="1:3" s="1559" customFormat="1" x14ac:dyDescent="0.3">
      <c r="A1181" s="1561"/>
      <c r="C1181" s="1574"/>
    </row>
    <row r="1182" spans="1:3" s="1559" customFormat="1" x14ac:dyDescent="0.3">
      <c r="A1182" s="1561"/>
      <c r="C1182" s="1574"/>
    </row>
    <row r="1183" spans="1:3" s="1559" customFormat="1" x14ac:dyDescent="0.3">
      <c r="A1183" s="1561"/>
      <c r="C1183" s="1574"/>
    </row>
    <row r="1184" spans="1:3" s="1559" customFormat="1" x14ac:dyDescent="0.3">
      <c r="A1184" s="1561"/>
      <c r="C1184" s="1574"/>
    </row>
    <row r="1185" spans="1:3" s="1559" customFormat="1" x14ac:dyDescent="0.3">
      <c r="A1185" s="1561"/>
      <c r="C1185" s="1574"/>
    </row>
    <row r="1186" spans="1:3" s="1559" customFormat="1" x14ac:dyDescent="0.3">
      <c r="A1186" s="1561"/>
      <c r="C1186" s="1574"/>
    </row>
    <row r="1187" spans="1:3" s="1559" customFormat="1" x14ac:dyDescent="0.3">
      <c r="A1187" s="1561"/>
      <c r="C1187" s="1574"/>
    </row>
    <row r="1188" spans="1:3" s="1559" customFormat="1" x14ac:dyDescent="0.3">
      <c r="A1188" s="1561"/>
      <c r="C1188" s="1574"/>
    </row>
    <row r="1189" spans="1:3" s="1559" customFormat="1" x14ac:dyDescent="0.3">
      <c r="A1189" s="1561"/>
      <c r="C1189" s="1574"/>
    </row>
    <row r="1190" spans="1:3" s="1559" customFormat="1" x14ac:dyDescent="0.3">
      <c r="A1190" s="1561"/>
      <c r="C1190" s="1574"/>
    </row>
    <row r="1191" spans="1:3" s="1559" customFormat="1" x14ac:dyDescent="0.3">
      <c r="A1191" s="1561"/>
      <c r="C1191" s="1574"/>
    </row>
    <row r="1192" spans="1:3" s="1559" customFormat="1" x14ac:dyDescent="0.3">
      <c r="A1192" s="1561"/>
      <c r="C1192" s="1574"/>
    </row>
    <row r="1193" spans="1:3" s="1559" customFormat="1" x14ac:dyDescent="0.3">
      <c r="A1193" s="1561"/>
      <c r="C1193" s="1574"/>
    </row>
    <row r="1194" spans="1:3" s="1559" customFormat="1" x14ac:dyDescent="0.3">
      <c r="A1194" s="1561"/>
      <c r="C1194" s="1574"/>
    </row>
    <row r="1195" spans="1:3" s="1559" customFormat="1" x14ac:dyDescent="0.3">
      <c r="A1195" s="1561"/>
      <c r="C1195" s="1574"/>
    </row>
    <row r="1196" spans="1:3" s="1559" customFormat="1" x14ac:dyDescent="0.3">
      <c r="A1196" s="1561"/>
      <c r="C1196" s="1574"/>
    </row>
    <row r="1197" spans="1:3" s="1559" customFormat="1" x14ac:dyDescent="0.3">
      <c r="A1197" s="1561"/>
      <c r="C1197" s="1574"/>
    </row>
    <row r="1198" spans="1:3" s="1559" customFormat="1" x14ac:dyDescent="0.3">
      <c r="A1198" s="1561"/>
      <c r="C1198" s="1574"/>
    </row>
    <row r="1199" spans="1:3" s="1559" customFormat="1" x14ac:dyDescent="0.3">
      <c r="A1199" s="1561"/>
      <c r="C1199" s="1574"/>
    </row>
    <row r="1200" spans="1:3" s="1559" customFormat="1" x14ac:dyDescent="0.3">
      <c r="A1200" s="1561"/>
      <c r="C1200" s="1574"/>
    </row>
    <row r="1201" spans="1:3" s="1559" customFormat="1" x14ac:dyDescent="0.3">
      <c r="A1201" s="1561"/>
      <c r="C1201" s="1574"/>
    </row>
    <row r="1202" spans="1:3" s="1559" customFormat="1" x14ac:dyDescent="0.3">
      <c r="A1202" s="1561"/>
      <c r="C1202" s="1574"/>
    </row>
    <row r="1203" spans="1:3" s="1559" customFormat="1" x14ac:dyDescent="0.3">
      <c r="A1203" s="1561"/>
      <c r="C1203" s="1574"/>
    </row>
    <row r="1204" spans="1:3" s="1559" customFormat="1" x14ac:dyDescent="0.3">
      <c r="A1204" s="1561"/>
      <c r="C1204" s="1574"/>
    </row>
    <row r="1205" spans="1:3" s="1559" customFormat="1" x14ac:dyDescent="0.3">
      <c r="A1205" s="1561"/>
      <c r="C1205" s="1574"/>
    </row>
    <row r="1206" spans="1:3" s="1559" customFormat="1" x14ac:dyDescent="0.3">
      <c r="A1206" s="1561"/>
      <c r="C1206" s="1574"/>
    </row>
    <row r="1207" spans="1:3" s="1559" customFormat="1" x14ac:dyDescent="0.3">
      <c r="A1207" s="1561"/>
      <c r="C1207" s="1574"/>
    </row>
    <row r="1208" spans="1:3" s="1559" customFormat="1" x14ac:dyDescent="0.3">
      <c r="A1208" s="1561"/>
      <c r="C1208" s="1574"/>
    </row>
    <row r="1209" spans="1:3" s="1559" customFormat="1" x14ac:dyDescent="0.3">
      <c r="A1209" s="1561"/>
      <c r="C1209" s="1574"/>
    </row>
    <row r="1210" spans="1:3" s="1559" customFormat="1" x14ac:dyDescent="0.3">
      <c r="A1210" s="1561"/>
      <c r="C1210" s="1574"/>
    </row>
    <row r="1211" spans="1:3" s="1559" customFormat="1" x14ac:dyDescent="0.3">
      <c r="A1211" s="1561"/>
      <c r="C1211" s="1574"/>
    </row>
    <row r="1212" spans="1:3" s="1559" customFormat="1" x14ac:dyDescent="0.3">
      <c r="A1212" s="1561"/>
      <c r="C1212" s="1574"/>
    </row>
    <row r="1213" spans="1:3" s="1559" customFormat="1" x14ac:dyDescent="0.3">
      <c r="A1213" s="1561"/>
      <c r="C1213" s="1574"/>
    </row>
    <row r="1214" spans="1:3" s="1559" customFormat="1" x14ac:dyDescent="0.3">
      <c r="A1214" s="1561"/>
      <c r="C1214" s="1574"/>
    </row>
    <row r="1215" spans="1:3" s="1559" customFormat="1" x14ac:dyDescent="0.3">
      <c r="A1215" s="1561"/>
      <c r="C1215" s="1574"/>
    </row>
    <row r="1216" spans="1:3" s="1559" customFormat="1" x14ac:dyDescent="0.3">
      <c r="A1216" s="1561"/>
      <c r="C1216" s="1574"/>
    </row>
    <row r="1217" spans="1:3" s="1559" customFormat="1" x14ac:dyDescent="0.3">
      <c r="A1217" s="1561"/>
      <c r="C1217" s="1574"/>
    </row>
    <row r="1218" spans="1:3" s="1559" customFormat="1" x14ac:dyDescent="0.3">
      <c r="A1218" s="1561"/>
      <c r="C1218" s="1574"/>
    </row>
    <row r="1219" spans="1:3" s="1559" customFormat="1" x14ac:dyDescent="0.3">
      <c r="A1219" s="1561"/>
      <c r="C1219" s="1574"/>
    </row>
    <row r="1220" spans="1:3" s="1559" customFormat="1" x14ac:dyDescent="0.3">
      <c r="A1220" s="1561"/>
      <c r="C1220" s="1574"/>
    </row>
    <row r="1221" spans="1:3" s="1559" customFormat="1" x14ac:dyDescent="0.3">
      <c r="A1221" s="1561"/>
      <c r="C1221" s="1574"/>
    </row>
    <row r="1222" spans="1:3" s="1559" customFormat="1" x14ac:dyDescent="0.3">
      <c r="A1222" s="1561"/>
      <c r="C1222" s="1574"/>
    </row>
    <row r="1223" spans="1:3" s="1559" customFormat="1" x14ac:dyDescent="0.3">
      <c r="A1223" s="1561"/>
      <c r="C1223" s="1574"/>
    </row>
    <row r="1224" spans="1:3" s="1559" customFormat="1" x14ac:dyDescent="0.3">
      <c r="A1224" s="1561"/>
      <c r="C1224" s="1574"/>
    </row>
    <row r="1225" spans="1:3" s="1559" customFormat="1" x14ac:dyDescent="0.3">
      <c r="A1225" s="1561"/>
      <c r="C1225" s="1574"/>
    </row>
    <row r="1226" spans="1:3" s="1559" customFormat="1" x14ac:dyDescent="0.3">
      <c r="A1226" s="1561"/>
      <c r="C1226" s="1574"/>
    </row>
    <row r="1227" spans="1:3" s="1559" customFormat="1" x14ac:dyDescent="0.3">
      <c r="A1227" s="1561"/>
      <c r="C1227" s="1574"/>
    </row>
    <row r="1228" spans="1:3" s="1559" customFormat="1" x14ac:dyDescent="0.3">
      <c r="A1228" s="1561"/>
      <c r="C1228" s="1574"/>
    </row>
    <row r="1229" spans="1:3" s="1559" customFormat="1" x14ac:dyDescent="0.3">
      <c r="A1229" s="1561"/>
      <c r="C1229" s="1574"/>
    </row>
    <row r="1230" spans="1:3" s="1559" customFormat="1" x14ac:dyDescent="0.3">
      <c r="A1230" s="1561"/>
      <c r="C1230" s="1574"/>
    </row>
    <row r="1231" spans="1:3" s="1559" customFormat="1" x14ac:dyDescent="0.3">
      <c r="A1231" s="1561"/>
      <c r="C1231" s="1574"/>
    </row>
    <row r="1232" spans="1:3" s="1559" customFormat="1" x14ac:dyDescent="0.3">
      <c r="A1232" s="1561"/>
      <c r="C1232" s="1574"/>
    </row>
    <row r="1233" spans="1:3" s="1559" customFormat="1" x14ac:dyDescent="0.3">
      <c r="A1233" s="1561"/>
      <c r="C1233" s="1574"/>
    </row>
    <row r="1234" spans="1:3" s="1559" customFormat="1" x14ac:dyDescent="0.3">
      <c r="A1234" s="1561"/>
      <c r="C1234" s="1574"/>
    </row>
    <row r="1235" spans="1:3" s="1559" customFormat="1" x14ac:dyDescent="0.3">
      <c r="A1235" s="1561"/>
      <c r="C1235" s="1574"/>
    </row>
    <row r="1236" spans="1:3" s="1559" customFormat="1" x14ac:dyDescent="0.3">
      <c r="A1236" s="1561"/>
      <c r="C1236" s="1574"/>
    </row>
    <row r="1237" spans="1:3" s="1559" customFormat="1" x14ac:dyDescent="0.3">
      <c r="A1237" s="1561"/>
      <c r="C1237" s="1574"/>
    </row>
    <row r="1238" spans="1:3" s="1559" customFormat="1" x14ac:dyDescent="0.3">
      <c r="A1238" s="1561"/>
      <c r="C1238" s="1574"/>
    </row>
    <row r="1239" spans="1:3" s="1559" customFormat="1" x14ac:dyDescent="0.3">
      <c r="A1239" s="1561"/>
      <c r="C1239" s="1574"/>
    </row>
    <row r="1240" spans="1:3" s="1559" customFormat="1" x14ac:dyDescent="0.3">
      <c r="A1240" s="1561"/>
      <c r="C1240" s="1574"/>
    </row>
    <row r="1241" spans="1:3" s="1559" customFormat="1" x14ac:dyDescent="0.3">
      <c r="A1241" s="1561"/>
      <c r="C1241" s="1574"/>
    </row>
    <row r="1242" spans="1:3" s="1559" customFormat="1" x14ac:dyDescent="0.3">
      <c r="A1242" s="1561"/>
      <c r="C1242" s="1574"/>
    </row>
    <row r="1243" spans="1:3" s="1559" customFormat="1" x14ac:dyDescent="0.3">
      <c r="A1243" s="1561"/>
      <c r="C1243" s="1574"/>
    </row>
    <row r="1244" spans="1:3" s="1559" customFormat="1" x14ac:dyDescent="0.3">
      <c r="A1244" s="1561"/>
      <c r="C1244" s="1574"/>
    </row>
    <row r="1245" spans="1:3" s="1559" customFormat="1" x14ac:dyDescent="0.3">
      <c r="A1245" s="1561"/>
      <c r="C1245" s="1574"/>
    </row>
    <row r="1246" spans="1:3" s="1559" customFormat="1" x14ac:dyDescent="0.3">
      <c r="A1246" s="1561"/>
      <c r="C1246" s="1574"/>
    </row>
    <row r="1247" spans="1:3" s="1559" customFormat="1" x14ac:dyDescent="0.3">
      <c r="A1247" s="1561"/>
      <c r="C1247" s="1574"/>
    </row>
    <row r="1248" spans="1:3" s="1559" customFormat="1" x14ac:dyDescent="0.3">
      <c r="A1248" s="1561"/>
      <c r="C1248" s="1574"/>
    </row>
    <row r="1249" spans="1:3" s="1559" customFormat="1" x14ac:dyDescent="0.3">
      <c r="A1249" s="1561"/>
      <c r="C1249" s="1574"/>
    </row>
    <row r="1250" spans="1:3" s="1559" customFormat="1" x14ac:dyDescent="0.3">
      <c r="A1250" s="1561"/>
      <c r="C1250" s="1574"/>
    </row>
    <row r="1251" spans="1:3" s="1559" customFormat="1" x14ac:dyDescent="0.3">
      <c r="A1251" s="1561"/>
      <c r="C1251" s="1574"/>
    </row>
    <row r="1252" spans="1:3" s="1559" customFormat="1" x14ac:dyDescent="0.3">
      <c r="A1252" s="1561"/>
      <c r="C1252" s="1574"/>
    </row>
    <row r="1253" spans="1:3" s="1559" customFormat="1" x14ac:dyDescent="0.3">
      <c r="A1253" s="1561"/>
      <c r="C1253" s="1574"/>
    </row>
    <row r="1254" spans="1:3" s="1559" customFormat="1" x14ac:dyDescent="0.3">
      <c r="A1254" s="1561"/>
      <c r="C1254" s="1574"/>
    </row>
    <row r="1255" spans="1:3" s="1559" customFormat="1" x14ac:dyDescent="0.3">
      <c r="A1255" s="1561"/>
      <c r="C1255" s="1574"/>
    </row>
    <row r="1256" spans="1:3" s="1559" customFormat="1" x14ac:dyDescent="0.3">
      <c r="A1256" s="1561"/>
      <c r="C1256" s="1574"/>
    </row>
    <row r="1257" spans="1:3" s="1559" customFormat="1" x14ac:dyDescent="0.3">
      <c r="A1257" s="1561"/>
      <c r="C1257" s="1574"/>
    </row>
    <row r="1258" spans="1:3" s="1559" customFormat="1" x14ac:dyDescent="0.3">
      <c r="A1258" s="1561"/>
      <c r="C1258" s="1574"/>
    </row>
    <row r="1259" spans="1:3" s="1559" customFormat="1" x14ac:dyDescent="0.3">
      <c r="A1259" s="1561"/>
      <c r="C1259" s="1574"/>
    </row>
    <row r="1260" spans="1:3" s="1559" customFormat="1" x14ac:dyDescent="0.3">
      <c r="A1260" s="1561"/>
      <c r="C1260" s="1574"/>
    </row>
    <row r="1261" spans="1:3" s="1559" customFormat="1" x14ac:dyDescent="0.3">
      <c r="A1261" s="1561"/>
      <c r="C1261" s="1574"/>
    </row>
    <row r="1262" spans="1:3" s="1559" customFormat="1" x14ac:dyDescent="0.3">
      <c r="A1262" s="1561"/>
      <c r="C1262" s="1574"/>
    </row>
    <row r="1263" spans="1:3" s="1559" customFormat="1" x14ac:dyDescent="0.3">
      <c r="A1263" s="1561"/>
      <c r="C1263" s="1574"/>
    </row>
    <row r="1264" spans="1:3" s="1559" customFormat="1" x14ac:dyDescent="0.3">
      <c r="A1264" s="1561"/>
      <c r="C1264" s="1574"/>
    </row>
    <row r="1265" spans="1:3" s="1559" customFormat="1" x14ac:dyDescent="0.3">
      <c r="A1265" s="1561"/>
      <c r="C1265" s="1574"/>
    </row>
    <row r="1266" spans="1:3" s="1559" customFormat="1" x14ac:dyDescent="0.3">
      <c r="A1266" s="1561"/>
      <c r="C1266" s="1574"/>
    </row>
    <row r="1267" spans="1:3" s="1559" customFormat="1" x14ac:dyDescent="0.3">
      <c r="A1267" s="1561"/>
      <c r="C1267" s="1574"/>
    </row>
    <row r="1268" spans="1:3" s="1559" customFormat="1" x14ac:dyDescent="0.3">
      <c r="A1268" s="1561"/>
      <c r="C1268" s="1574"/>
    </row>
    <row r="1269" spans="1:3" s="1559" customFormat="1" x14ac:dyDescent="0.3">
      <c r="A1269" s="1561"/>
      <c r="C1269" s="1574"/>
    </row>
    <row r="1270" spans="1:3" s="1559" customFormat="1" x14ac:dyDescent="0.3">
      <c r="A1270" s="1561"/>
      <c r="C1270" s="1574"/>
    </row>
    <row r="1271" spans="1:3" s="1559" customFormat="1" x14ac:dyDescent="0.3">
      <c r="A1271" s="1561"/>
      <c r="C1271" s="1574"/>
    </row>
    <row r="1272" spans="1:3" s="1559" customFormat="1" x14ac:dyDescent="0.3">
      <c r="A1272" s="1561"/>
      <c r="C1272" s="1574"/>
    </row>
    <row r="1273" spans="1:3" s="1559" customFormat="1" x14ac:dyDescent="0.3">
      <c r="A1273" s="1561"/>
      <c r="C1273" s="1574"/>
    </row>
    <row r="1274" spans="1:3" s="1559" customFormat="1" x14ac:dyDescent="0.3">
      <c r="A1274" s="1561"/>
      <c r="C1274" s="1574"/>
    </row>
    <row r="1275" spans="1:3" s="1559" customFormat="1" x14ac:dyDescent="0.3">
      <c r="A1275" s="1561"/>
      <c r="C1275" s="1574"/>
    </row>
    <row r="1276" spans="1:3" s="1559" customFormat="1" x14ac:dyDescent="0.3">
      <c r="A1276" s="1561"/>
      <c r="C1276" s="1574"/>
    </row>
    <row r="1277" spans="1:3" s="1559" customFormat="1" x14ac:dyDescent="0.3">
      <c r="A1277" s="1561"/>
      <c r="C1277" s="1574"/>
    </row>
    <row r="1278" spans="1:3" s="1559" customFormat="1" x14ac:dyDescent="0.3">
      <c r="A1278" s="1561"/>
      <c r="C1278" s="1574"/>
    </row>
    <row r="1279" spans="1:3" s="1559" customFormat="1" x14ac:dyDescent="0.3">
      <c r="A1279" s="1561"/>
      <c r="C1279" s="1574"/>
    </row>
    <row r="1280" spans="1:3" s="1559" customFormat="1" x14ac:dyDescent="0.3">
      <c r="A1280" s="1561"/>
      <c r="C1280" s="1574"/>
    </row>
    <row r="1281" spans="1:3" s="1559" customFormat="1" x14ac:dyDescent="0.3">
      <c r="A1281" s="1561"/>
      <c r="C1281" s="1574"/>
    </row>
    <row r="1282" spans="1:3" s="1559" customFormat="1" x14ac:dyDescent="0.3">
      <c r="A1282" s="1561"/>
      <c r="C1282" s="1574"/>
    </row>
    <row r="1283" spans="1:3" s="1559" customFormat="1" x14ac:dyDescent="0.3">
      <c r="A1283" s="1561"/>
      <c r="C1283" s="1574"/>
    </row>
    <row r="1284" spans="1:3" s="1559" customFormat="1" x14ac:dyDescent="0.3">
      <c r="A1284" s="1561"/>
      <c r="C1284" s="1574"/>
    </row>
    <row r="1285" spans="1:3" s="1559" customFormat="1" x14ac:dyDescent="0.3">
      <c r="A1285" s="1561"/>
      <c r="C1285" s="1574"/>
    </row>
    <row r="1286" spans="1:3" s="1559" customFormat="1" x14ac:dyDescent="0.3">
      <c r="A1286" s="1561"/>
      <c r="C1286" s="1574"/>
    </row>
    <row r="1287" spans="1:3" s="1559" customFormat="1" x14ac:dyDescent="0.3">
      <c r="A1287" s="1561"/>
      <c r="C1287" s="1574"/>
    </row>
    <row r="1288" spans="1:3" s="1559" customFormat="1" x14ac:dyDescent="0.3">
      <c r="A1288" s="1561"/>
      <c r="C1288" s="1574"/>
    </row>
    <row r="1289" spans="1:3" s="1559" customFormat="1" x14ac:dyDescent="0.3">
      <c r="A1289" s="1561"/>
      <c r="C1289" s="1574"/>
    </row>
    <row r="1290" spans="1:3" s="1559" customFormat="1" x14ac:dyDescent="0.3">
      <c r="A1290" s="1561"/>
      <c r="C1290" s="1574"/>
    </row>
    <row r="1291" spans="1:3" s="1559" customFormat="1" x14ac:dyDescent="0.3">
      <c r="A1291" s="1561"/>
      <c r="C1291" s="1574"/>
    </row>
    <row r="1292" spans="1:3" s="1559" customFormat="1" x14ac:dyDescent="0.3">
      <c r="A1292" s="1561"/>
      <c r="C1292" s="1574"/>
    </row>
    <row r="1293" spans="1:3" s="1559" customFormat="1" x14ac:dyDescent="0.3">
      <c r="A1293" s="1561"/>
      <c r="C1293" s="1574"/>
    </row>
    <row r="1294" spans="1:3" s="1559" customFormat="1" x14ac:dyDescent="0.3">
      <c r="A1294" s="1561"/>
      <c r="C1294" s="1574"/>
    </row>
    <row r="1295" spans="1:3" s="1559" customFormat="1" x14ac:dyDescent="0.3">
      <c r="A1295" s="1561"/>
      <c r="C1295" s="1574"/>
    </row>
    <row r="1296" spans="1:3" s="1559" customFormat="1" x14ac:dyDescent="0.3">
      <c r="A1296" s="1561"/>
      <c r="C1296" s="1574"/>
    </row>
    <row r="1297" spans="1:3" s="1559" customFormat="1" x14ac:dyDescent="0.3">
      <c r="A1297" s="1561"/>
      <c r="C1297" s="1574"/>
    </row>
    <row r="1298" spans="1:3" s="1559" customFormat="1" x14ac:dyDescent="0.3">
      <c r="A1298" s="1561"/>
      <c r="C1298" s="1574"/>
    </row>
    <row r="1299" spans="1:3" s="1559" customFormat="1" x14ac:dyDescent="0.3">
      <c r="A1299" s="1561"/>
      <c r="C1299" s="1574"/>
    </row>
    <row r="1300" spans="1:3" s="1559" customFormat="1" x14ac:dyDescent="0.3">
      <c r="A1300" s="1561"/>
      <c r="C1300" s="1574"/>
    </row>
    <row r="1301" spans="1:3" s="1559" customFormat="1" x14ac:dyDescent="0.3">
      <c r="A1301" s="1561"/>
      <c r="C1301" s="1574"/>
    </row>
    <row r="1302" spans="1:3" s="1559" customFormat="1" x14ac:dyDescent="0.3">
      <c r="A1302" s="1561"/>
      <c r="C1302" s="1574"/>
    </row>
    <row r="1303" spans="1:3" s="1559" customFormat="1" x14ac:dyDescent="0.3">
      <c r="A1303" s="1561"/>
      <c r="C1303" s="1574"/>
    </row>
    <row r="1304" spans="1:3" s="1559" customFormat="1" x14ac:dyDescent="0.3">
      <c r="A1304" s="1561"/>
      <c r="C1304" s="1574"/>
    </row>
    <row r="1305" spans="1:3" s="1559" customFormat="1" x14ac:dyDescent="0.3">
      <c r="A1305" s="1561"/>
      <c r="C1305" s="1574"/>
    </row>
    <row r="1306" spans="1:3" s="1559" customFormat="1" x14ac:dyDescent="0.3">
      <c r="A1306" s="1561"/>
      <c r="C1306" s="1574"/>
    </row>
    <row r="1307" spans="1:3" s="1559" customFormat="1" x14ac:dyDescent="0.3">
      <c r="A1307" s="1561"/>
      <c r="C1307" s="1574"/>
    </row>
    <row r="1308" spans="1:3" s="1559" customFormat="1" x14ac:dyDescent="0.3">
      <c r="A1308" s="1561"/>
      <c r="C1308" s="1574"/>
    </row>
    <row r="1309" spans="1:3" s="1559" customFormat="1" x14ac:dyDescent="0.3">
      <c r="A1309" s="1561"/>
      <c r="C1309" s="1574"/>
    </row>
    <row r="1310" spans="1:3" s="1559" customFormat="1" x14ac:dyDescent="0.3">
      <c r="A1310" s="1561"/>
      <c r="C1310" s="1574"/>
    </row>
    <row r="1311" spans="1:3" s="1559" customFormat="1" x14ac:dyDescent="0.3">
      <c r="A1311" s="1561"/>
      <c r="C1311" s="1574"/>
    </row>
    <row r="1312" spans="1:3" s="1559" customFormat="1" x14ac:dyDescent="0.3">
      <c r="A1312" s="1561"/>
      <c r="C1312" s="1574"/>
    </row>
    <row r="1313" spans="1:3" s="1559" customFormat="1" x14ac:dyDescent="0.3">
      <c r="A1313" s="1561"/>
      <c r="C1313" s="1574"/>
    </row>
    <row r="1314" spans="1:3" s="1559" customFormat="1" x14ac:dyDescent="0.3">
      <c r="A1314" s="1561"/>
      <c r="C1314" s="1574"/>
    </row>
    <row r="1315" spans="1:3" s="1559" customFormat="1" x14ac:dyDescent="0.3">
      <c r="A1315" s="1561"/>
      <c r="C1315" s="1574"/>
    </row>
    <row r="1316" spans="1:3" s="1559" customFormat="1" x14ac:dyDescent="0.3">
      <c r="A1316" s="1561"/>
      <c r="C1316" s="1574"/>
    </row>
    <row r="1317" spans="1:3" s="1559" customFormat="1" x14ac:dyDescent="0.3">
      <c r="A1317" s="1561"/>
      <c r="C1317" s="1574"/>
    </row>
    <row r="1318" spans="1:3" s="1559" customFormat="1" x14ac:dyDescent="0.3">
      <c r="A1318" s="1561"/>
      <c r="C1318" s="1574"/>
    </row>
    <row r="1319" spans="1:3" s="1559" customFormat="1" x14ac:dyDescent="0.3">
      <c r="A1319" s="1561"/>
      <c r="C1319" s="1574"/>
    </row>
    <row r="1320" spans="1:3" s="1559" customFormat="1" x14ac:dyDescent="0.3">
      <c r="A1320" s="1561"/>
      <c r="C1320" s="1574"/>
    </row>
    <row r="1321" spans="1:3" s="1559" customFormat="1" x14ac:dyDescent="0.3">
      <c r="A1321" s="1561"/>
      <c r="C1321" s="1574"/>
    </row>
    <row r="1322" spans="1:3" s="1559" customFormat="1" x14ac:dyDescent="0.3">
      <c r="A1322" s="1561"/>
      <c r="C1322" s="1574"/>
    </row>
    <row r="1323" spans="1:3" s="1559" customFormat="1" x14ac:dyDescent="0.3">
      <c r="A1323" s="1561"/>
      <c r="C1323" s="1574"/>
    </row>
    <row r="1324" spans="1:3" s="1559" customFormat="1" x14ac:dyDescent="0.3">
      <c r="A1324" s="1561"/>
      <c r="C1324" s="1574"/>
    </row>
    <row r="1325" spans="1:3" s="1559" customFormat="1" x14ac:dyDescent="0.3">
      <c r="A1325" s="1561"/>
      <c r="C1325" s="1574"/>
    </row>
    <row r="1326" spans="1:3" s="1559" customFormat="1" x14ac:dyDescent="0.3">
      <c r="A1326" s="1561"/>
      <c r="C1326" s="1574"/>
    </row>
    <row r="1327" spans="1:3" s="1559" customFormat="1" x14ac:dyDescent="0.3">
      <c r="A1327" s="1561"/>
      <c r="C1327" s="1574"/>
    </row>
    <row r="1328" spans="1:3" s="1559" customFormat="1" x14ac:dyDescent="0.3">
      <c r="A1328" s="1561"/>
      <c r="C1328" s="1574"/>
    </row>
    <row r="1329" spans="1:3" s="1559" customFormat="1" x14ac:dyDescent="0.3">
      <c r="A1329" s="1561"/>
      <c r="C1329" s="1574"/>
    </row>
    <row r="1330" spans="1:3" s="1559" customFormat="1" x14ac:dyDescent="0.3">
      <c r="A1330" s="1561"/>
      <c r="C1330" s="1574"/>
    </row>
    <row r="1331" spans="1:3" s="1559" customFormat="1" x14ac:dyDescent="0.3">
      <c r="A1331" s="1561"/>
      <c r="C1331" s="1574"/>
    </row>
    <row r="1332" spans="1:3" s="1559" customFormat="1" x14ac:dyDescent="0.3">
      <c r="A1332" s="1561"/>
      <c r="C1332" s="1574"/>
    </row>
    <row r="1333" spans="1:3" s="1559" customFormat="1" x14ac:dyDescent="0.3">
      <c r="A1333" s="1561"/>
      <c r="C1333" s="1574"/>
    </row>
    <row r="1334" spans="1:3" s="1559" customFormat="1" x14ac:dyDescent="0.3">
      <c r="A1334" s="1561"/>
      <c r="C1334" s="1574"/>
    </row>
    <row r="1335" spans="1:3" s="1559" customFormat="1" x14ac:dyDescent="0.3">
      <c r="A1335" s="1561"/>
      <c r="C1335" s="1574"/>
    </row>
    <row r="1336" spans="1:3" s="1559" customFormat="1" x14ac:dyDescent="0.3">
      <c r="A1336" s="1561"/>
      <c r="C1336" s="1574"/>
    </row>
    <row r="1337" spans="1:3" s="1559" customFormat="1" x14ac:dyDescent="0.3">
      <c r="A1337" s="1561"/>
      <c r="C1337" s="1574"/>
    </row>
    <row r="1338" spans="1:3" s="1559" customFormat="1" x14ac:dyDescent="0.3">
      <c r="A1338" s="1561"/>
      <c r="C1338" s="1574"/>
    </row>
    <row r="1339" spans="1:3" s="1559" customFormat="1" x14ac:dyDescent="0.3">
      <c r="A1339" s="1561"/>
      <c r="C1339" s="1574"/>
    </row>
    <row r="1340" spans="1:3" s="1559" customFormat="1" x14ac:dyDescent="0.3">
      <c r="A1340" s="1561"/>
      <c r="C1340" s="1574"/>
    </row>
    <row r="1341" spans="1:3" s="1559" customFormat="1" x14ac:dyDescent="0.3">
      <c r="A1341" s="1561"/>
      <c r="C1341" s="1574"/>
    </row>
    <row r="1342" spans="1:3" s="1559" customFormat="1" x14ac:dyDescent="0.3">
      <c r="A1342" s="1561"/>
      <c r="C1342" s="1574"/>
    </row>
    <row r="1343" spans="1:3" s="1559" customFormat="1" x14ac:dyDescent="0.3">
      <c r="A1343" s="1561"/>
      <c r="C1343" s="1574"/>
    </row>
    <row r="1344" spans="1:3" s="1559" customFormat="1" x14ac:dyDescent="0.3">
      <c r="A1344" s="1561"/>
      <c r="C1344" s="1574"/>
    </row>
    <row r="1345" spans="1:3" s="1559" customFormat="1" x14ac:dyDescent="0.3">
      <c r="A1345" s="1561"/>
      <c r="C1345" s="1574"/>
    </row>
    <row r="1346" spans="1:3" s="1559" customFormat="1" x14ac:dyDescent="0.3">
      <c r="A1346" s="1561"/>
      <c r="C1346" s="1574"/>
    </row>
    <row r="1347" spans="1:3" s="1559" customFormat="1" x14ac:dyDescent="0.3">
      <c r="A1347" s="1561"/>
      <c r="C1347" s="1574"/>
    </row>
    <row r="1348" spans="1:3" s="1559" customFormat="1" x14ac:dyDescent="0.3">
      <c r="A1348" s="1561"/>
      <c r="C1348" s="1574"/>
    </row>
    <row r="1349" spans="1:3" s="1559" customFormat="1" x14ac:dyDescent="0.3">
      <c r="A1349" s="1561"/>
      <c r="C1349" s="1574"/>
    </row>
    <row r="1350" spans="1:3" s="1559" customFormat="1" x14ac:dyDescent="0.3">
      <c r="A1350" s="1561"/>
      <c r="C1350" s="1574"/>
    </row>
    <row r="1351" spans="1:3" s="1559" customFormat="1" x14ac:dyDescent="0.3">
      <c r="A1351" s="1561"/>
      <c r="C1351" s="1574"/>
    </row>
    <row r="1352" spans="1:3" s="1559" customFormat="1" x14ac:dyDescent="0.3">
      <c r="A1352" s="1561"/>
      <c r="C1352" s="1574"/>
    </row>
    <row r="1353" spans="1:3" s="1559" customFormat="1" x14ac:dyDescent="0.3">
      <c r="A1353" s="1561"/>
      <c r="C1353" s="1574"/>
    </row>
    <row r="1354" spans="1:3" s="1559" customFormat="1" x14ac:dyDescent="0.3">
      <c r="A1354" s="1561"/>
      <c r="C1354" s="1574"/>
    </row>
    <row r="1355" spans="1:3" s="1559" customFormat="1" x14ac:dyDescent="0.3">
      <c r="A1355" s="1561"/>
      <c r="C1355" s="1574"/>
    </row>
    <row r="1356" spans="1:3" s="1559" customFormat="1" x14ac:dyDescent="0.3">
      <c r="A1356" s="1561"/>
      <c r="C1356" s="1574"/>
    </row>
    <row r="1357" spans="1:3" s="1559" customFormat="1" x14ac:dyDescent="0.3">
      <c r="A1357" s="1561"/>
      <c r="C1357" s="1574"/>
    </row>
    <row r="1358" spans="1:3" s="1559" customFormat="1" x14ac:dyDescent="0.3">
      <c r="A1358" s="1561"/>
      <c r="C1358" s="1574"/>
    </row>
    <row r="1359" spans="1:3" s="1559" customFormat="1" x14ac:dyDescent="0.3">
      <c r="A1359" s="1561"/>
      <c r="C1359" s="1574"/>
    </row>
    <row r="1360" spans="1:3" s="1559" customFormat="1" x14ac:dyDescent="0.3">
      <c r="A1360" s="1561"/>
      <c r="C1360" s="1574"/>
    </row>
    <row r="1361" spans="1:3" s="1559" customFormat="1" x14ac:dyDescent="0.3">
      <c r="A1361" s="1561"/>
      <c r="C1361" s="1574"/>
    </row>
    <row r="1362" spans="1:3" s="1559" customFormat="1" x14ac:dyDescent="0.3">
      <c r="A1362" s="1561"/>
      <c r="C1362" s="1574"/>
    </row>
    <row r="1363" spans="1:3" s="1559" customFormat="1" x14ac:dyDescent="0.3">
      <c r="A1363" s="1561"/>
      <c r="C1363" s="1574"/>
    </row>
    <row r="1364" spans="1:3" s="1559" customFormat="1" x14ac:dyDescent="0.3">
      <c r="A1364" s="1561"/>
      <c r="C1364" s="1574"/>
    </row>
    <row r="1365" spans="1:3" s="1559" customFormat="1" x14ac:dyDescent="0.3">
      <c r="A1365" s="1561"/>
      <c r="C1365" s="1574"/>
    </row>
    <row r="1366" spans="1:3" s="1559" customFormat="1" x14ac:dyDescent="0.3">
      <c r="A1366" s="1561"/>
      <c r="C1366" s="1574"/>
    </row>
    <row r="1367" spans="1:3" s="1559" customFormat="1" x14ac:dyDescent="0.3">
      <c r="A1367" s="1561"/>
      <c r="C1367" s="1574"/>
    </row>
    <row r="1368" spans="1:3" s="1559" customFormat="1" x14ac:dyDescent="0.3">
      <c r="A1368" s="1561"/>
      <c r="C1368" s="1574"/>
    </row>
    <row r="1369" spans="1:3" s="1559" customFormat="1" x14ac:dyDescent="0.3">
      <c r="A1369" s="1561"/>
      <c r="C1369" s="1574"/>
    </row>
    <row r="1370" spans="1:3" s="1559" customFormat="1" x14ac:dyDescent="0.3">
      <c r="A1370" s="1561"/>
      <c r="C1370" s="1574"/>
    </row>
    <row r="1371" spans="1:3" s="1559" customFormat="1" x14ac:dyDescent="0.3">
      <c r="A1371" s="1561"/>
      <c r="C1371" s="1574"/>
    </row>
    <row r="1372" spans="1:3" s="1559" customFormat="1" x14ac:dyDescent="0.3">
      <c r="A1372" s="1561"/>
      <c r="C1372" s="1574"/>
    </row>
    <row r="1373" spans="1:3" s="1559" customFormat="1" x14ac:dyDescent="0.3">
      <c r="A1373" s="1561"/>
      <c r="C1373" s="1574"/>
    </row>
    <row r="1374" spans="1:3" s="1559" customFormat="1" x14ac:dyDescent="0.3">
      <c r="A1374" s="1561"/>
      <c r="C1374" s="1574"/>
    </row>
    <row r="1375" spans="1:3" s="1559" customFormat="1" x14ac:dyDescent="0.3">
      <c r="A1375" s="1561"/>
      <c r="C1375" s="1574"/>
    </row>
    <row r="1376" spans="1:3" s="1559" customFormat="1" x14ac:dyDescent="0.3">
      <c r="A1376" s="1561"/>
      <c r="C1376" s="1574"/>
    </row>
    <row r="1377" spans="1:3" s="1559" customFormat="1" x14ac:dyDescent="0.3">
      <c r="A1377" s="1561"/>
      <c r="C1377" s="1574"/>
    </row>
    <row r="1378" spans="1:3" s="1559" customFormat="1" x14ac:dyDescent="0.3">
      <c r="A1378" s="1561"/>
      <c r="C1378" s="1574"/>
    </row>
    <row r="1379" spans="1:3" s="1559" customFormat="1" x14ac:dyDescent="0.3">
      <c r="A1379" s="1561"/>
      <c r="C1379" s="1574"/>
    </row>
    <row r="1380" spans="1:3" s="1559" customFormat="1" x14ac:dyDescent="0.3">
      <c r="A1380" s="1561"/>
      <c r="C1380" s="1574"/>
    </row>
    <row r="1381" spans="1:3" s="1559" customFormat="1" x14ac:dyDescent="0.3">
      <c r="A1381" s="1561"/>
      <c r="C1381" s="1574"/>
    </row>
    <row r="1382" spans="1:3" s="1559" customFormat="1" x14ac:dyDescent="0.3">
      <c r="A1382" s="1561"/>
      <c r="C1382" s="1574"/>
    </row>
    <row r="1383" spans="1:3" s="1559" customFormat="1" x14ac:dyDescent="0.3">
      <c r="A1383" s="1561"/>
      <c r="C1383" s="1574"/>
    </row>
    <row r="1384" spans="1:3" s="1559" customFormat="1" x14ac:dyDescent="0.3">
      <c r="A1384" s="1561"/>
      <c r="C1384" s="1574"/>
    </row>
    <row r="1385" spans="1:3" s="1559" customFormat="1" x14ac:dyDescent="0.3">
      <c r="A1385" s="1561"/>
      <c r="C1385" s="1574"/>
    </row>
    <row r="1386" spans="1:3" s="1559" customFormat="1" x14ac:dyDescent="0.3">
      <c r="A1386" s="1561"/>
      <c r="C1386" s="1574"/>
    </row>
    <row r="1387" spans="1:3" s="1559" customFormat="1" x14ac:dyDescent="0.3">
      <c r="A1387" s="1561"/>
      <c r="C1387" s="1574"/>
    </row>
    <row r="1388" spans="1:3" s="1559" customFormat="1" x14ac:dyDescent="0.3">
      <c r="A1388" s="1561"/>
      <c r="C1388" s="1574"/>
    </row>
    <row r="1389" spans="1:3" s="1559" customFormat="1" x14ac:dyDescent="0.3">
      <c r="A1389" s="1561"/>
      <c r="C1389" s="1574"/>
    </row>
    <row r="1390" spans="1:3" s="1559" customFormat="1" x14ac:dyDescent="0.3">
      <c r="A1390" s="1561"/>
      <c r="C1390" s="1574"/>
    </row>
    <row r="1391" spans="1:3" s="1559" customFormat="1" x14ac:dyDescent="0.3">
      <c r="A1391" s="1561"/>
      <c r="C1391" s="1574"/>
    </row>
    <row r="1392" spans="1:3" s="1559" customFormat="1" x14ac:dyDescent="0.3">
      <c r="A1392" s="1561"/>
      <c r="C1392" s="1574"/>
    </row>
    <row r="1393" spans="1:3" s="1559" customFormat="1" x14ac:dyDescent="0.3">
      <c r="A1393" s="1561"/>
      <c r="C1393" s="1574"/>
    </row>
    <row r="1394" spans="1:3" s="1559" customFormat="1" x14ac:dyDescent="0.3">
      <c r="A1394" s="1561"/>
      <c r="C1394" s="1574"/>
    </row>
    <row r="1395" spans="1:3" s="1559" customFormat="1" x14ac:dyDescent="0.3">
      <c r="A1395" s="1561"/>
      <c r="C1395" s="1574"/>
    </row>
    <row r="1396" spans="1:3" s="1559" customFormat="1" x14ac:dyDescent="0.3">
      <c r="A1396" s="1561"/>
      <c r="C1396" s="1574"/>
    </row>
    <row r="1397" spans="1:3" s="1559" customFormat="1" x14ac:dyDescent="0.3">
      <c r="A1397" s="1561"/>
      <c r="C1397" s="1574"/>
    </row>
    <row r="1398" spans="1:3" s="1559" customFormat="1" x14ac:dyDescent="0.3">
      <c r="A1398" s="1561"/>
      <c r="C1398" s="1574"/>
    </row>
    <row r="1399" spans="1:3" s="1559" customFormat="1" x14ac:dyDescent="0.3">
      <c r="A1399" s="1561"/>
      <c r="C1399" s="1574"/>
    </row>
    <row r="1400" spans="1:3" s="1559" customFormat="1" x14ac:dyDescent="0.3">
      <c r="A1400" s="1561"/>
      <c r="C1400" s="1574"/>
    </row>
    <row r="1401" spans="1:3" s="1559" customFormat="1" x14ac:dyDescent="0.3">
      <c r="A1401" s="1561"/>
      <c r="C1401" s="1574"/>
    </row>
    <row r="1402" spans="1:3" s="1559" customFormat="1" x14ac:dyDescent="0.3">
      <c r="A1402" s="1561"/>
      <c r="C1402" s="1574"/>
    </row>
    <row r="1403" spans="1:3" s="1559" customFormat="1" x14ac:dyDescent="0.3">
      <c r="A1403" s="1561"/>
      <c r="C1403" s="1574"/>
    </row>
    <row r="1404" spans="1:3" s="1559" customFormat="1" x14ac:dyDescent="0.3">
      <c r="A1404" s="1561"/>
      <c r="C1404" s="1574"/>
    </row>
    <row r="1405" spans="1:3" s="1559" customFormat="1" x14ac:dyDescent="0.3">
      <c r="A1405" s="1561"/>
      <c r="C1405" s="1574"/>
    </row>
    <row r="1406" spans="1:3" s="1559" customFormat="1" x14ac:dyDescent="0.3">
      <c r="A1406" s="1561"/>
      <c r="C1406" s="1574"/>
    </row>
    <row r="1407" spans="1:3" s="1559" customFormat="1" x14ac:dyDescent="0.3">
      <c r="A1407" s="1561"/>
      <c r="C1407" s="1574"/>
    </row>
    <row r="1408" spans="1:3" s="1559" customFormat="1" x14ac:dyDescent="0.3">
      <c r="A1408" s="1561"/>
      <c r="C1408" s="1574"/>
    </row>
    <row r="1409" spans="1:3" s="1559" customFormat="1" x14ac:dyDescent="0.3">
      <c r="A1409" s="1561"/>
      <c r="C1409" s="1574"/>
    </row>
    <row r="1410" spans="1:3" s="1559" customFormat="1" x14ac:dyDescent="0.3">
      <c r="A1410" s="1561"/>
      <c r="C1410" s="1574"/>
    </row>
    <row r="1411" spans="1:3" s="1559" customFormat="1" x14ac:dyDescent="0.3">
      <c r="A1411" s="1561"/>
      <c r="C1411" s="1574"/>
    </row>
    <row r="1412" spans="1:3" s="1559" customFormat="1" x14ac:dyDescent="0.3">
      <c r="A1412" s="1561"/>
      <c r="C1412" s="1574"/>
    </row>
    <row r="1413" spans="1:3" s="1559" customFormat="1" x14ac:dyDescent="0.3">
      <c r="A1413" s="1561"/>
      <c r="C1413" s="1574"/>
    </row>
    <row r="1414" spans="1:3" s="1559" customFormat="1" x14ac:dyDescent="0.3">
      <c r="A1414" s="1561"/>
      <c r="C1414" s="1574"/>
    </row>
    <row r="1415" spans="1:3" s="1559" customFormat="1" x14ac:dyDescent="0.3">
      <c r="A1415" s="1561"/>
      <c r="C1415" s="1574"/>
    </row>
    <row r="1416" spans="1:3" s="1559" customFormat="1" x14ac:dyDescent="0.3">
      <c r="A1416" s="1561"/>
      <c r="C1416" s="1574"/>
    </row>
    <row r="1417" spans="1:3" s="1559" customFormat="1" x14ac:dyDescent="0.3">
      <c r="A1417" s="1561"/>
      <c r="C1417" s="1574"/>
    </row>
    <row r="1418" spans="1:3" s="1559" customFormat="1" x14ac:dyDescent="0.3">
      <c r="A1418" s="1561"/>
      <c r="C1418" s="1574"/>
    </row>
    <row r="1419" spans="1:3" s="1559" customFormat="1" x14ac:dyDescent="0.3">
      <c r="A1419" s="1561"/>
      <c r="C1419" s="1574"/>
    </row>
    <row r="1420" spans="1:3" s="1559" customFormat="1" x14ac:dyDescent="0.3">
      <c r="A1420" s="1561"/>
      <c r="C1420" s="1574"/>
    </row>
    <row r="1421" spans="1:3" s="1559" customFormat="1" x14ac:dyDescent="0.3">
      <c r="A1421" s="1561"/>
      <c r="C1421" s="1574"/>
    </row>
    <row r="1422" spans="1:3" s="1559" customFormat="1" x14ac:dyDescent="0.3">
      <c r="A1422" s="1561"/>
      <c r="C1422" s="1574"/>
    </row>
    <row r="1423" spans="1:3" s="1559" customFormat="1" x14ac:dyDescent="0.3">
      <c r="A1423" s="1561"/>
      <c r="C1423" s="1574"/>
    </row>
    <row r="1424" spans="1:3" s="1559" customFormat="1" x14ac:dyDescent="0.3">
      <c r="A1424" s="1561"/>
      <c r="C1424" s="1574"/>
    </row>
    <row r="1425" spans="1:3" s="1559" customFormat="1" x14ac:dyDescent="0.3">
      <c r="A1425" s="1561"/>
      <c r="C1425" s="1574"/>
    </row>
    <row r="1426" spans="1:3" s="1559" customFormat="1" x14ac:dyDescent="0.3">
      <c r="A1426" s="1561"/>
      <c r="C1426" s="1574"/>
    </row>
    <row r="1427" spans="1:3" s="1559" customFormat="1" x14ac:dyDescent="0.3">
      <c r="A1427" s="1561"/>
      <c r="C1427" s="1574"/>
    </row>
    <row r="1428" spans="1:3" s="1559" customFormat="1" x14ac:dyDescent="0.3">
      <c r="A1428" s="1561"/>
      <c r="C1428" s="1574"/>
    </row>
    <row r="1429" spans="1:3" s="1559" customFormat="1" x14ac:dyDescent="0.3">
      <c r="A1429" s="1561"/>
      <c r="C1429" s="1574"/>
    </row>
    <row r="1430" spans="1:3" s="1559" customFormat="1" x14ac:dyDescent="0.3">
      <c r="A1430" s="1561"/>
      <c r="C1430" s="1574"/>
    </row>
    <row r="1431" spans="1:3" s="1559" customFormat="1" x14ac:dyDescent="0.3">
      <c r="A1431" s="1561"/>
      <c r="C1431" s="1574"/>
    </row>
    <row r="1432" spans="1:3" s="1559" customFormat="1" x14ac:dyDescent="0.3">
      <c r="A1432" s="1561"/>
      <c r="C1432" s="1574"/>
    </row>
    <row r="1433" spans="1:3" s="1559" customFormat="1" x14ac:dyDescent="0.3">
      <c r="A1433" s="1561"/>
      <c r="C1433" s="1574"/>
    </row>
    <row r="1434" spans="1:3" s="1559" customFormat="1" x14ac:dyDescent="0.3">
      <c r="A1434" s="1561"/>
      <c r="C1434" s="1574"/>
    </row>
    <row r="1435" spans="1:3" s="1559" customFormat="1" x14ac:dyDescent="0.3">
      <c r="A1435" s="1561"/>
      <c r="C1435" s="1574"/>
    </row>
    <row r="1436" spans="1:3" s="1559" customFormat="1" x14ac:dyDescent="0.3">
      <c r="A1436" s="1561"/>
      <c r="C1436" s="1574"/>
    </row>
    <row r="1437" spans="1:3" s="1559" customFormat="1" x14ac:dyDescent="0.3">
      <c r="A1437" s="1561"/>
      <c r="C1437" s="1574"/>
    </row>
    <row r="1438" spans="1:3" s="1559" customFormat="1" x14ac:dyDescent="0.3">
      <c r="A1438" s="1561"/>
      <c r="C1438" s="1574"/>
    </row>
    <row r="1439" spans="1:3" s="1559" customFormat="1" x14ac:dyDescent="0.3">
      <c r="A1439" s="1561"/>
      <c r="C1439" s="1574"/>
    </row>
    <row r="1440" spans="1:3" s="1559" customFormat="1" x14ac:dyDescent="0.3">
      <c r="A1440" s="1561"/>
      <c r="C1440" s="1574"/>
    </row>
    <row r="1441" spans="1:3" s="1559" customFormat="1" x14ac:dyDescent="0.3">
      <c r="A1441" s="1561"/>
      <c r="C1441" s="1574"/>
    </row>
    <row r="1442" spans="1:3" s="1559" customFormat="1" x14ac:dyDescent="0.3">
      <c r="A1442" s="1561"/>
      <c r="C1442" s="1574"/>
    </row>
    <row r="1443" spans="1:3" s="1559" customFormat="1" x14ac:dyDescent="0.3">
      <c r="A1443" s="1561"/>
      <c r="C1443" s="1574"/>
    </row>
    <row r="1444" spans="1:3" s="1559" customFormat="1" x14ac:dyDescent="0.3">
      <c r="A1444" s="1561"/>
      <c r="C1444" s="1574"/>
    </row>
    <row r="1445" spans="1:3" s="1559" customFormat="1" x14ac:dyDescent="0.3">
      <c r="A1445" s="1561"/>
      <c r="C1445" s="1574"/>
    </row>
    <row r="1446" spans="1:3" s="1559" customFormat="1" x14ac:dyDescent="0.3">
      <c r="A1446" s="1561"/>
      <c r="C1446" s="1574"/>
    </row>
    <row r="1447" spans="1:3" s="1559" customFormat="1" x14ac:dyDescent="0.3">
      <c r="A1447" s="1561"/>
      <c r="C1447" s="1574"/>
    </row>
    <row r="1448" spans="1:3" s="1559" customFormat="1" x14ac:dyDescent="0.3">
      <c r="A1448" s="1561"/>
      <c r="C1448" s="1574"/>
    </row>
    <row r="1449" spans="1:3" s="1559" customFormat="1" x14ac:dyDescent="0.3">
      <c r="A1449" s="1561"/>
      <c r="C1449" s="1574"/>
    </row>
    <row r="1450" spans="1:3" s="1559" customFormat="1" x14ac:dyDescent="0.3">
      <c r="A1450" s="1561"/>
      <c r="C1450" s="1574"/>
    </row>
    <row r="1451" spans="1:3" s="1559" customFormat="1" x14ac:dyDescent="0.3">
      <c r="A1451" s="1561"/>
      <c r="C1451" s="1574"/>
    </row>
    <row r="1452" spans="1:3" s="1559" customFormat="1" x14ac:dyDescent="0.3">
      <c r="A1452" s="1561"/>
      <c r="C1452" s="1574"/>
    </row>
    <row r="1453" spans="1:3" s="1559" customFormat="1" x14ac:dyDescent="0.3">
      <c r="A1453" s="1561"/>
      <c r="C1453" s="1574"/>
    </row>
    <row r="1454" spans="1:3" s="1559" customFormat="1" x14ac:dyDescent="0.3">
      <c r="A1454" s="1561"/>
      <c r="C1454" s="1574"/>
    </row>
    <row r="1455" spans="1:3" s="1559" customFormat="1" x14ac:dyDescent="0.3">
      <c r="A1455" s="1561"/>
      <c r="C1455" s="1574"/>
    </row>
    <row r="1456" spans="1:3" s="1559" customFormat="1" x14ac:dyDescent="0.3">
      <c r="A1456" s="1561"/>
      <c r="C1456" s="1574"/>
    </row>
    <row r="1457" spans="1:3" s="1559" customFormat="1" x14ac:dyDescent="0.3">
      <c r="A1457" s="1561"/>
      <c r="C1457" s="1574"/>
    </row>
    <row r="1458" spans="1:3" s="1559" customFormat="1" x14ac:dyDescent="0.3">
      <c r="A1458" s="1561"/>
      <c r="C1458" s="1574"/>
    </row>
    <row r="1459" spans="1:3" s="1559" customFormat="1" x14ac:dyDescent="0.3">
      <c r="A1459" s="1561"/>
      <c r="C1459" s="1574"/>
    </row>
    <row r="1460" spans="1:3" s="1559" customFormat="1" x14ac:dyDescent="0.3">
      <c r="A1460" s="1561"/>
      <c r="C1460" s="1574"/>
    </row>
    <row r="1461" spans="1:3" s="1559" customFormat="1" x14ac:dyDescent="0.3">
      <c r="A1461" s="1561"/>
      <c r="C1461" s="1574"/>
    </row>
    <row r="1462" spans="1:3" s="1559" customFormat="1" x14ac:dyDescent="0.3">
      <c r="A1462" s="1561"/>
      <c r="C1462" s="1574"/>
    </row>
    <row r="1463" spans="1:3" s="1559" customFormat="1" x14ac:dyDescent="0.3">
      <c r="A1463" s="1561"/>
      <c r="C1463" s="1574"/>
    </row>
    <row r="1464" spans="1:3" s="1559" customFormat="1" x14ac:dyDescent="0.3">
      <c r="A1464" s="1561"/>
      <c r="C1464" s="1574"/>
    </row>
    <row r="1465" spans="1:3" s="1559" customFormat="1" x14ac:dyDescent="0.3">
      <c r="A1465" s="1561"/>
      <c r="C1465" s="1574"/>
    </row>
    <row r="1466" spans="1:3" s="1559" customFormat="1" x14ac:dyDescent="0.3">
      <c r="A1466" s="1561"/>
      <c r="C1466" s="1574"/>
    </row>
    <row r="1467" spans="1:3" s="1559" customFormat="1" x14ac:dyDescent="0.3">
      <c r="A1467" s="1561"/>
      <c r="C1467" s="1574"/>
    </row>
    <row r="1468" spans="1:3" s="1559" customFormat="1" x14ac:dyDescent="0.3">
      <c r="A1468" s="1561"/>
      <c r="C1468" s="1574"/>
    </row>
    <row r="1469" spans="1:3" s="1559" customFormat="1" x14ac:dyDescent="0.3">
      <c r="A1469" s="1561"/>
      <c r="C1469" s="1574"/>
    </row>
    <row r="1470" spans="1:3" s="1559" customFormat="1" x14ac:dyDescent="0.3">
      <c r="A1470" s="1561"/>
      <c r="C1470" s="1574"/>
    </row>
    <row r="1471" spans="1:3" s="1559" customFormat="1" x14ac:dyDescent="0.3">
      <c r="A1471" s="1561"/>
      <c r="C1471" s="1574"/>
    </row>
    <row r="1472" spans="1:3" s="1559" customFormat="1" x14ac:dyDescent="0.3">
      <c r="A1472" s="1561"/>
      <c r="C1472" s="1574"/>
    </row>
    <row r="1473" spans="1:3" s="1559" customFormat="1" x14ac:dyDescent="0.3">
      <c r="A1473" s="1561"/>
      <c r="C1473" s="1574"/>
    </row>
    <row r="1474" spans="1:3" s="1559" customFormat="1" x14ac:dyDescent="0.3">
      <c r="A1474" s="1561"/>
      <c r="C1474" s="1574"/>
    </row>
    <row r="1475" spans="1:3" s="1559" customFormat="1" x14ac:dyDescent="0.3">
      <c r="A1475" s="1561"/>
      <c r="C1475" s="1574"/>
    </row>
    <row r="1476" spans="1:3" s="1559" customFormat="1" x14ac:dyDescent="0.3">
      <c r="A1476" s="1561"/>
      <c r="C1476" s="1574"/>
    </row>
    <row r="1477" spans="1:3" s="1559" customFormat="1" x14ac:dyDescent="0.3">
      <c r="A1477" s="1561"/>
      <c r="C1477" s="1574"/>
    </row>
    <row r="1478" spans="1:3" s="1559" customFormat="1" x14ac:dyDescent="0.3">
      <c r="A1478" s="1561"/>
      <c r="C1478" s="1574"/>
    </row>
    <row r="1479" spans="1:3" s="1559" customFormat="1" x14ac:dyDescent="0.3">
      <c r="A1479" s="1561"/>
      <c r="C1479" s="1574"/>
    </row>
    <row r="1480" spans="1:3" s="1559" customFormat="1" x14ac:dyDescent="0.3">
      <c r="A1480" s="1561"/>
      <c r="C1480" s="1574"/>
    </row>
    <row r="1481" spans="1:3" s="1559" customFormat="1" x14ac:dyDescent="0.3">
      <c r="A1481" s="1561"/>
      <c r="C1481" s="1574"/>
    </row>
    <row r="1482" spans="1:3" s="1559" customFormat="1" x14ac:dyDescent="0.3">
      <c r="A1482" s="1561"/>
      <c r="C1482" s="1574"/>
    </row>
    <row r="1483" spans="1:3" s="1559" customFormat="1" x14ac:dyDescent="0.3">
      <c r="A1483" s="1561"/>
      <c r="C1483" s="1574"/>
    </row>
    <row r="1484" spans="1:3" s="1559" customFormat="1" x14ac:dyDescent="0.3">
      <c r="A1484" s="1561"/>
      <c r="C1484" s="1574"/>
    </row>
    <row r="1485" spans="1:3" s="1559" customFormat="1" x14ac:dyDescent="0.3">
      <c r="A1485" s="1561"/>
      <c r="C1485" s="1574"/>
    </row>
    <row r="1486" spans="1:3" s="1559" customFormat="1" x14ac:dyDescent="0.3">
      <c r="A1486" s="1561"/>
      <c r="C1486" s="1574"/>
    </row>
    <row r="1487" spans="1:3" s="1559" customFormat="1" x14ac:dyDescent="0.3">
      <c r="A1487" s="1561"/>
      <c r="C1487" s="1574"/>
    </row>
    <row r="1488" spans="1:3" s="1559" customFormat="1" x14ac:dyDescent="0.3">
      <c r="A1488" s="1561"/>
      <c r="C1488" s="1574"/>
    </row>
    <row r="1489" spans="1:3" s="1559" customFormat="1" x14ac:dyDescent="0.3">
      <c r="A1489" s="1561"/>
      <c r="C1489" s="1574"/>
    </row>
    <row r="1490" spans="1:3" s="1559" customFormat="1" x14ac:dyDescent="0.3">
      <c r="A1490" s="1561"/>
      <c r="C1490" s="1574"/>
    </row>
    <row r="1491" spans="1:3" s="1559" customFormat="1" x14ac:dyDescent="0.3">
      <c r="A1491" s="1561"/>
      <c r="C1491" s="1574"/>
    </row>
    <row r="1492" spans="1:3" s="1559" customFormat="1" x14ac:dyDescent="0.3">
      <c r="A1492" s="1561"/>
      <c r="C1492" s="1574"/>
    </row>
    <row r="1493" spans="1:3" s="1559" customFormat="1" x14ac:dyDescent="0.3">
      <c r="A1493" s="1561"/>
      <c r="C1493" s="1574"/>
    </row>
    <row r="1494" spans="1:3" s="1559" customFormat="1" x14ac:dyDescent="0.3">
      <c r="A1494" s="1561"/>
      <c r="C1494" s="1574"/>
    </row>
    <row r="1495" spans="1:3" s="1559" customFormat="1" x14ac:dyDescent="0.3">
      <c r="A1495" s="1561"/>
      <c r="C1495" s="1574"/>
    </row>
    <row r="1496" spans="1:3" s="1559" customFormat="1" x14ac:dyDescent="0.3">
      <c r="A1496" s="1561"/>
      <c r="C1496" s="1574"/>
    </row>
    <row r="1497" spans="1:3" s="1559" customFormat="1" x14ac:dyDescent="0.3">
      <c r="A1497" s="1561"/>
      <c r="C1497" s="1574"/>
    </row>
    <row r="1498" spans="1:3" s="1559" customFormat="1" x14ac:dyDescent="0.3">
      <c r="A1498" s="1561"/>
      <c r="C1498" s="1574"/>
    </row>
    <row r="1499" spans="1:3" s="1559" customFormat="1" x14ac:dyDescent="0.3">
      <c r="A1499" s="1561"/>
      <c r="C1499" s="1574"/>
    </row>
    <row r="1500" spans="1:3" s="1559" customFormat="1" x14ac:dyDescent="0.3">
      <c r="A1500" s="1561"/>
      <c r="C1500" s="1574"/>
    </row>
    <row r="1501" spans="1:3" s="1559" customFormat="1" x14ac:dyDescent="0.3">
      <c r="A1501" s="1561"/>
      <c r="C1501" s="1574"/>
    </row>
    <row r="1502" spans="1:3" s="1559" customFormat="1" x14ac:dyDescent="0.3">
      <c r="A1502" s="1561"/>
      <c r="C1502" s="1574"/>
    </row>
    <row r="1503" spans="1:3" s="1559" customFormat="1" x14ac:dyDescent="0.3">
      <c r="A1503" s="1561"/>
      <c r="C1503" s="1574"/>
    </row>
    <row r="1504" spans="1:3" s="1559" customFormat="1" x14ac:dyDescent="0.3">
      <c r="A1504" s="1561"/>
      <c r="C1504" s="1574"/>
    </row>
    <row r="1505" spans="1:3" s="1559" customFormat="1" x14ac:dyDescent="0.3">
      <c r="A1505" s="1561"/>
      <c r="C1505" s="1574"/>
    </row>
    <row r="1506" spans="1:3" s="1559" customFormat="1" x14ac:dyDescent="0.3">
      <c r="A1506" s="1561"/>
      <c r="C1506" s="1574"/>
    </row>
    <row r="1507" spans="1:3" s="1559" customFormat="1" x14ac:dyDescent="0.3">
      <c r="A1507" s="1561"/>
      <c r="C1507" s="1574"/>
    </row>
    <row r="1508" spans="1:3" s="1559" customFormat="1" x14ac:dyDescent="0.3">
      <c r="A1508" s="1561"/>
      <c r="C1508" s="1574"/>
    </row>
    <row r="1509" spans="1:3" s="1559" customFormat="1" x14ac:dyDescent="0.3">
      <c r="A1509" s="1561"/>
      <c r="C1509" s="1574"/>
    </row>
    <row r="1510" spans="1:3" s="1559" customFormat="1" x14ac:dyDescent="0.3">
      <c r="A1510" s="1561"/>
      <c r="C1510" s="1574"/>
    </row>
    <row r="1511" spans="1:3" s="1559" customFormat="1" x14ac:dyDescent="0.3">
      <c r="A1511" s="1561"/>
      <c r="C1511" s="1574"/>
    </row>
    <row r="1512" spans="1:3" s="1559" customFormat="1" x14ac:dyDescent="0.3">
      <c r="A1512" s="1561"/>
      <c r="C1512" s="1574"/>
    </row>
    <row r="1513" spans="1:3" s="1559" customFormat="1" x14ac:dyDescent="0.3">
      <c r="A1513" s="1561"/>
      <c r="C1513" s="1574"/>
    </row>
    <row r="1514" spans="1:3" s="1559" customFormat="1" x14ac:dyDescent="0.3">
      <c r="A1514" s="1561"/>
      <c r="C1514" s="1574"/>
    </row>
    <row r="1515" spans="1:3" s="1559" customFormat="1" x14ac:dyDescent="0.3">
      <c r="A1515" s="1561"/>
      <c r="C1515" s="1574"/>
    </row>
    <row r="1516" spans="1:3" s="1559" customFormat="1" x14ac:dyDescent="0.3">
      <c r="A1516" s="1561"/>
      <c r="C1516" s="1574"/>
    </row>
    <row r="1517" spans="1:3" s="1559" customFormat="1" x14ac:dyDescent="0.3">
      <c r="A1517" s="1561"/>
      <c r="C1517" s="1574"/>
    </row>
    <row r="1518" spans="1:3" s="1559" customFormat="1" x14ac:dyDescent="0.3">
      <c r="A1518" s="1561"/>
      <c r="C1518" s="1574"/>
    </row>
    <row r="1519" spans="1:3" s="1559" customFormat="1" x14ac:dyDescent="0.3">
      <c r="A1519" s="1561"/>
      <c r="C1519" s="1574"/>
    </row>
    <row r="1520" spans="1:3" s="1559" customFormat="1" x14ac:dyDescent="0.3">
      <c r="A1520" s="1561"/>
      <c r="C1520" s="1574"/>
    </row>
    <row r="1521" spans="1:3" s="1559" customFormat="1" x14ac:dyDescent="0.3">
      <c r="A1521" s="1561"/>
      <c r="C1521" s="1574"/>
    </row>
    <row r="1522" spans="1:3" s="1559" customFormat="1" x14ac:dyDescent="0.3">
      <c r="A1522" s="1561"/>
      <c r="C1522" s="1574"/>
    </row>
    <row r="1523" spans="1:3" s="1559" customFormat="1" x14ac:dyDescent="0.3">
      <c r="A1523" s="1561"/>
      <c r="C1523" s="1574"/>
    </row>
    <row r="1524" spans="1:3" s="1559" customFormat="1" x14ac:dyDescent="0.3">
      <c r="A1524" s="1561"/>
      <c r="C1524" s="1574"/>
    </row>
    <row r="1525" spans="1:3" s="1559" customFormat="1" x14ac:dyDescent="0.3">
      <c r="A1525" s="1561"/>
      <c r="C1525" s="1574"/>
    </row>
    <row r="1526" spans="1:3" s="1559" customFormat="1" x14ac:dyDescent="0.3">
      <c r="A1526" s="1561"/>
      <c r="C1526" s="1574"/>
    </row>
    <row r="1527" spans="1:3" s="1559" customFormat="1" x14ac:dyDescent="0.3">
      <c r="A1527" s="1561"/>
      <c r="C1527" s="1574"/>
    </row>
    <row r="1528" spans="1:3" s="1559" customFormat="1" x14ac:dyDescent="0.3">
      <c r="A1528" s="1561"/>
      <c r="C1528" s="1574"/>
    </row>
    <row r="1529" spans="1:3" s="1559" customFormat="1" x14ac:dyDescent="0.3">
      <c r="A1529" s="1561"/>
      <c r="C1529" s="1574"/>
    </row>
    <row r="1530" spans="1:3" s="1559" customFormat="1" x14ac:dyDescent="0.3">
      <c r="A1530" s="1561"/>
      <c r="C1530" s="1574"/>
    </row>
    <row r="1531" spans="1:3" s="1559" customFormat="1" x14ac:dyDescent="0.3">
      <c r="A1531" s="1561"/>
      <c r="C1531" s="1574"/>
    </row>
    <row r="1532" spans="1:3" s="1559" customFormat="1" x14ac:dyDescent="0.3">
      <c r="A1532" s="1561"/>
      <c r="C1532" s="1574"/>
    </row>
    <row r="1533" spans="1:3" s="1559" customFormat="1" x14ac:dyDescent="0.3">
      <c r="A1533" s="1561"/>
      <c r="C1533" s="1574"/>
    </row>
    <row r="1534" spans="1:3" s="1559" customFormat="1" x14ac:dyDescent="0.3">
      <c r="A1534" s="1561"/>
      <c r="C1534" s="1574"/>
    </row>
    <row r="1535" spans="1:3" s="1559" customFormat="1" x14ac:dyDescent="0.3">
      <c r="A1535" s="1561"/>
      <c r="C1535" s="1574"/>
    </row>
    <row r="1536" spans="1:3" s="1559" customFormat="1" x14ac:dyDescent="0.3">
      <c r="A1536" s="1561"/>
      <c r="C1536" s="1574"/>
    </row>
    <row r="1537" spans="1:3" s="1559" customFormat="1" x14ac:dyDescent="0.3">
      <c r="A1537" s="1561"/>
      <c r="C1537" s="1574"/>
    </row>
    <row r="1538" spans="1:3" s="1559" customFormat="1" x14ac:dyDescent="0.3">
      <c r="A1538" s="1561"/>
      <c r="C1538" s="1574"/>
    </row>
    <row r="1539" spans="1:3" s="1559" customFormat="1" x14ac:dyDescent="0.3">
      <c r="A1539" s="1561"/>
      <c r="C1539" s="1574"/>
    </row>
    <row r="1540" spans="1:3" s="1559" customFormat="1" x14ac:dyDescent="0.3">
      <c r="A1540" s="1561"/>
      <c r="C1540" s="1574"/>
    </row>
    <row r="1541" spans="1:3" s="1559" customFormat="1" x14ac:dyDescent="0.3">
      <c r="A1541" s="1561"/>
      <c r="C1541" s="1574"/>
    </row>
    <row r="1542" spans="1:3" s="1559" customFormat="1" x14ac:dyDescent="0.3">
      <c r="A1542" s="1561"/>
      <c r="C1542" s="1574"/>
    </row>
    <row r="1543" spans="1:3" s="1559" customFormat="1" x14ac:dyDescent="0.3">
      <c r="A1543" s="1561"/>
      <c r="C1543" s="1574"/>
    </row>
    <row r="1544" spans="1:3" s="1559" customFormat="1" x14ac:dyDescent="0.3">
      <c r="A1544" s="1561"/>
      <c r="C1544" s="1574"/>
    </row>
    <row r="1545" spans="1:3" s="1559" customFormat="1" x14ac:dyDescent="0.3">
      <c r="A1545" s="1561"/>
      <c r="C1545" s="1574"/>
    </row>
    <row r="1546" spans="1:3" s="1559" customFormat="1" x14ac:dyDescent="0.3">
      <c r="A1546" s="1561"/>
      <c r="C1546" s="1574"/>
    </row>
    <row r="1547" spans="1:3" s="1559" customFormat="1" x14ac:dyDescent="0.3">
      <c r="A1547" s="1561"/>
      <c r="C1547" s="1574"/>
    </row>
    <row r="1548" spans="1:3" s="1559" customFormat="1" x14ac:dyDescent="0.3">
      <c r="A1548" s="1561"/>
      <c r="C1548" s="1574"/>
    </row>
    <row r="1549" spans="1:3" s="1559" customFormat="1" x14ac:dyDescent="0.3">
      <c r="A1549" s="1561"/>
      <c r="C1549" s="1574"/>
    </row>
    <row r="1550" spans="1:3" s="1559" customFormat="1" x14ac:dyDescent="0.3">
      <c r="A1550" s="1561"/>
      <c r="C1550" s="1574"/>
    </row>
    <row r="1551" spans="1:3" s="1559" customFormat="1" x14ac:dyDescent="0.3">
      <c r="A1551" s="1561"/>
      <c r="C1551" s="1574"/>
    </row>
    <row r="1552" spans="1:3" s="1559" customFormat="1" x14ac:dyDescent="0.3">
      <c r="A1552" s="1561"/>
      <c r="C1552" s="1574"/>
    </row>
    <row r="1553" spans="1:3" s="1559" customFormat="1" x14ac:dyDescent="0.3">
      <c r="A1553" s="1561"/>
      <c r="C1553" s="1574"/>
    </row>
    <row r="1554" spans="1:3" s="1559" customFormat="1" x14ac:dyDescent="0.3">
      <c r="A1554" s="1561"/>
      <c r="C1554" s="1574"/>
    </row>
    <row r="1555" spans="1:3" s="1559" customFormat="1" x14ac:dyDescent="0.3">
      <c r="A1555" s="1561"/>
      <c r="C1555" s="1574"/>
    </row>
    <row r="1556" spans="1:3" s="1559" customFormat="1" x14ac:dyDescent="0.3">
      <c r="A1556" s="1561"/>
      <c r="C1556" s="1574"/>
    </row>
    <row r="1557" spans="1:3" s="1559" customFormat="1" x14ac:dyDescent="0.3">
      <c r="A1557" s="1561"/>
      <c r="C1557" s="1574"/>
    </row>
    <row r="1558" spans="1:3" s="1559" customFormat="1" x14ac:dyDescent="0.3">
      <c r="A1558" s="1561"/>
      <c r="C1558" s="1574"/>
    </row>
    <row r="1559" spans="1:3" s="1559" customFormat="1" x14ac:dyDescent="0.3">
      <c r="A1559" s="1561"/>
      <c r="C1559" s="1574"/>
    </row>
    <row r="1560" spans="1:3" s="1559" customFormat="1" x14ac:dyDescent="0.3">
      <c r="A1560" s="1561"/>
      <c r="C1560" s="1574"/>
    </row>
    <row r="1561" spans="1:3" s="1559" customFormat="1" x14ac:dyDescent="0.3">
      <c r="A1561" s="1561"/>
      <c r="C1561" s="1574"/>
    </row>
    <row r="1562" spans="1:3" s="1559" customFormat="1" x14ac:dyDescent="0.3">
      <c r="A1562" s="1561"/>
      <c r="C1562" s="1574"/>
    </row>
    <row r="1563" spans="1:3" s="1559" customFormat="1" x14ac:dyDescent="0.3">
      <c r="A1563" s="1561"/>
      <c r="C1563" s="1574"/>
    </row>
    <row r="1564" spans="1:3" s="1559" customFormat="1" x14ac:dyDescent="0.3">
      <c r="A1564" s="1561"/>
      <c r="C1564" s="1574"/>
    </row>
    <row r="1565" spans="1:3" s="1559" customFormat="1" x14ac:dyDescent="0.3">
      <c r="A1565" s="1561"/>
      <c r="C1565" s="1574"/>
    </row>
    <row r="1566" spans="1:3" s="1559" customFormat="1" x14ac:dyDescent="0.3">
      <c r="A1566" s="1561"/>
      <c r="C1566" s="1574"/>
    </row>
    <row r="1567" spans="1:3" s="1559" customFormat="1" x14ac:dyDescent="0.3">
      <c r="A1567" s="1561"/>
      <c r="C1567" s="1574"/>
    </row>
    <row r="1568" spans="1:3" s="1559" customFormat="1" x14ac:dyDescent="0.3">
      <c r="A1568" s="1561"/>
      <c r="C1568" s="1574"/>
    </row>
    <row r="1569" spans="1:3" s="1559" customFormat="1" x14ac:dyDescent="0.3">
      <c r="A1569" s="1561"/>
      <c r="C1569" s="1574"/>
    </row>
    <row r="1570" spans="1:3" s="1559" customFormat="1" x14ac:dyDescent="0.3">
      <c r="A1570" s="1561"/>
      <c r="C1570" s="1574"/>
    </row>
    <row r="1571" spans="1:3" s="1559" customFormat="1" x14ac:dyDescent="0.3">
      <c r="A1571" s="1561"/>
      <c r="C1571" s="1574"/>
    </row>
    <row r="1572" spans="1:3" s="1559" customFormat="1" x14ac:dyDescent="0.3">
      <c r="A1572" s="1561"/>
      <c r="C1572" s="1574"/>
    </row>
    <row r="1573" spans="1:3" s="1559" customFormat="1" x14ac:dyDescent="0.3">
      <c r="A1573" s="1561"/>
      <c r="C1573" s="1574"/>
    </row>
    <row r="1574" spans="1:3" s="1559" customFormat="1" x14ac:dyDescent="0.3">
      <c r="A1574" s="1561"/>
      <c r="C1574" s="1574"/>
    </row>
    <row r="1575" spans="1:3" s="1559" customFormat="1" x14ac:dyDescent="0.3">
      <c r="A1575" s="1561"/>
      <c r="C1575" s="1574"/>
    </row>
    <row r="1576" spans="1:3" s="1559" customFormat="1" x14ac:dyDescent="0.3">
      <c r="A1576" s="1561"/>
      <c r="C1576" s="1574"/>
    </row>
    <row r="1577" spans="1:3" s="1559" customFormat="1" x14ac:dyDescent="0.3">
      <c r="A1577" s="1561"/>
      <c r="C1577" s="1574"/>
    </row>
    <row r="1578" spans="1:3" s="1559" customFormat="1" x14ac:dyDescent="0.3">
      <c r="A1578" s="1561"/>
      <c r="C1578" s="1574"/>
    </row>
    <row r="1579" spans="1:3" s="1559" customFormat="1" x14ac:dyDescent="0.3">
      <c r="A1579" s="1561"/>
      <c r="C1579" s="1574"/>
    </row>
    <row r="1580" spans="1:3" s="1559" customFormat="1" x14ac:dyDescent="0.3">
      <c r="A1580" s="1561"/>
      <c r="C1580" s="1574"/>
    </row>
    <row r="1581" spans="1:3" s="1559" customFormat="1" x14ac:dyDescent="0.3">
      <c r="A1581" s="1561"/>
      <c r="C1581" s="1574"/>
    </row>
    <row r="1582" spans="1:3" s="1559" customFormat="1" x14ac:dyDescent="0.3">
      <c r="A1582" s="1561"/>
      <c r="C1582" s="1574"/>
    </row>
    <row r="1583" spans="1:3" s="1559" customFormat="1" x14ac:dyDescent="0.3">
      <c r="A1583" s="1561"/>
      <c r="C1583" s="1574"/>
    </row>
    <row r="1584" spans="1:3" s="1559" customFormat="1" x14ac:dyDescent="0.3">
      <c r="A1584" s="1561"/>
      <c r="C1584" s="1574"/>
    </row>
    <row r="1585" spans="1:3" s="1559" customFormat="1" x14ac:dyDescent="0.3">
      <c r="A1585" s="1561"/>
      <c r="C1585" s="1574"/>
    </row>
    <row r="1586" spans="1:3" s="1559" customFormat="1" x14ac:dyDescent="0.3">
      <c r="A1586" s="1561"/>
      <c r="C1586" s="1574"/>
    </row>
    <row r="1587" spans="1:3" s="1559" customFormat="1" x14ac:dyDescent="0.3">
      <c r="A1587" s="1561"/>
      <c r="C1587" s="1574"/>
    </row>
    <row r="1588" spans="1:3" s="1559" customFormat="1" x14ac:dyDescent="0.3">
      <c r="A1588" s="1561"/>
      <c r="C1588" s="1574"/>
    </row>
    <row r="1589" spans="1:3" s="1559" customFormat="1" x14ac:dyDescent="0.3">
      <c r="A1589" s="1561"/>
      <c r="C1589" s="1574"/>
    </row>
    <row r="1590" spans="1:3" s="1559" customFormat="1" x14ac:dyDescent="0.3">
      <c r="A1590" s="1561"/>
      <c r="C1590" s="1574"/>
    </row>
    <row r="1591" spans="1:3" s="1559" customFormat="1" x14ac:dyDescent="0.3">
      <c r="A1591" s="1561"/>
      <c r="C1591" s="1574"/>
    </row>
    <row r="1592" spans="1:3" s="1559" customFormat="1" x14ac:dyDescent="0.3">
      <c r="A1592" s="1561"/>
      <c r="C1592" s="1574"/>
    </row>
    <row r="1593" spans="1:3" s="1559" customFormat="1" x14ac:dyDescent="0.3">
      <c r="A1593" s="1561"/>
      <c r="C1593" s="1574"/>
    </row>
    <row r="1594" spans="1:3" s="1559" customFormat="1" x14ac:dyDescent="0.3">
      <c r="A1594" s="1561"/>
      <c r="C1594" s="1574"/>
    </row>
    <row r="1595" spans="1:3" s="1559" customFormat="1" x14ac:dyDescent="0.3">
      <c r="A1595" s="1561"/>
      <c r="C1595" s="1574"/>
    </row>
    <row r="1596" spans="1:3" s="1559" customFormat="1" x14ac:dyDescent="0.3">
      <c r="A1596" s="1561"/>
      <c r="C1596" s="1574"/>
    </row>
  </sheetData>
  <sheetProtection sheet="1" objects="1" scenarios="1"/>
  <mergeCells count="1">
    <mergeCell ref="L5:M5"/>
  </mergeCells>
  <phoneticPr fontId="13" type="noConversion"/>
  <pageMargins left="0.75" right="0.75" top="1" bottom="1" header="0" footer="0"/>
  <pageSetup paperSize="9"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40">
    <tabColor rgb="FF147A5C"/>
    <pageSetUpPr fitToPage="1"/>
  </sheetPr>
  <dimension ref="A1:P50"/>
  <sheetViews>
    <sheetView showGridLines="0" workbookViewId="0"/>
  </sheetViews>
  <sheetFormatPr baseColWidth="10" defaultRowHeight="17.25" x14ac:dyDescent="0.3"/>
  <cols>
    <col min="1" max="1" width="38.875" style="303" customWidth="1"/>
    <col min="2" max="2" width="13.5" style="307" customWidth="1"/>
    <col min="3" max="3" width="14.25" style="476" customWidth="1"/>
    <col min="4" max="4" width="13.5" style="307" customWidth="1"/>
    <col min="5" max="5" width="12.75" style="307" customWidth="1"/>
    <col min="6" max="6" width="13.5" style="307" customWidth="1"/>
    <col min="7" max="7" width="13.875" style="307" customWidth="1"/>
    <col min="8" max="8" width="13.5" style="307" customWidth="1"/>
    <col min="9" max="9" width="14.125" style="307" customWidth="1"/>
    <col min="10" max="10" width="13.5" style="307" customWidth="1"/>
    <col min="11" max="11" width="14.125" style="307" customWidth="1"/>
    <col min="12" max="12" width="13.5" style="307" customWidth="1"/>
    <col min="13" max="14" width="14.125" style="307" customWidth="1"/>
    <col min="15" max="15" width="21.875" style="307" bestFit="1" customWidth="1"/>
    <col min="16" max="16384" width="11" style="307"/>
  </cols>
  <sheetData>
    <row r="1" spans="1:16" ht="30" customHeight="1" x14ac:dyDescent="0.45">
      <c r="A1" s="1205" t="s">
        <v>758</v>
      </c>
      <c r="B1" s="2261"/>
      <c r="C1" s="2261"/>
      <c r="D1" s="2261"/>
      <c r="E1" s="2261"/>
      <c r="F1" s="2261"/>
      <c r="G1" s="2261"/>
      <c r="H1" s="2261"/>
      <c r="I1" s="2261"/>
      <c r="J1"/>
      <c r="K1"/>
      <c r="L1"/>
      <c r="M1"/>
      <c r="N1" s="1115"/>
    </row>
    <row r="2" spans="1:16" ht="27.75" x14ac:dyDescent="0.45">
      <c r="A2" s="365">
        <f>'Datos Básicos'!B8</f>
        <v>0</v>
      </c>
      <c r="B2" s="471"/>
      <c r="C2" s="471"/>
      <c r="D2" s="472"/>
      <c r="E2" s="471"/>
      <c r="F2" s="472"/>
      <c r="H2" s="472"/>
      <c r="I2" s="393"/>
      <c r="J2" s="472"/>
      <c r="K2" s="393"/>
      <c r="L2" s="472"/>
      <c r="M2" s="393"/>
      <c r="N2" s="393"/>
      <c r="O2" s="1189"/>
      <c r="P2" s="1075"/>
    </row>
    <row r="3" spans="1:16" ht="27.75" x14ac:dyDescent="0.45">
      <c r="A3" s="365"/>
      <c r="B3" s="471"/>
      <c r="C3" s="471"/>
      <c r="D3" s="472"/>
      <c r="E3" s="471"/>
      <c r="F3" s="472"/>
      <c r="H3" s="472"/>
      <c r="I3" s="393"/>
      <c r="J3" s="472"/>
      <c r="K3" s="393"/>
      <c r="L3" s="472"/>
      <c r="M3" s="393"/>
      <c r="N3" s="393"/>
    </row>
    <row r="4" spans="1:16" ht="28.5" thickBot="1" x14ac:dyDescent="0.5">
      <c r="A4" s="365"/>
      <c r="B4" s="471"/>
      <c r="C4" s="471"/>
      <c r="D4" s="472"/>
      <c r="E4" s="471"/>
      <c r="F4" s="472"/>
      <c r="H4" s="472"/>
      <c r="I4" s="393"/>
      <c r="J4" s="472"/>
      <c r="K4" s="393"/>
      <c r="L4" s="472"/>
      <c r="M4" s="393"/>
      <c r="N4" s="393"/>
    </row>
    <row r="5" spans="1:16" x14ac:dyDescent="0.3">
      <c r="B5" s="1833" t="str">
        <f>'Datos Básicos'!G19</f>
        <v>enero de 2026</v>
      </c>
      <c r="C5" s="1833"/>
      <c r="D5" s="1833" t="str">
        <f>CONCATENATE(Parametros!$O$57," ",'Datos Básicos'!B17)</f>
        <v>diciembre 2026</v>
      </c>
      <c r="E5" s="1833"/>
      <c r="F5" s="1833" t="str">
        <f>CONCATENATE(Parametros!$O$57," ",'Datos Básicos'!C17)</f>
        <v>diciembre 2027</v>
      </c>
      <c r="G5" s="1833"/>
      <c r="H5" s="1833" t="str">
        <f>CONCATENATE(Parametros!$O$57," ",'Datos Básicos'!D17)</f>
        <v>diciembre 2028</v>
      </c>
      <c r="I5" s="1833"/>
      <c r="J5" s="1833" t="str">
        <f>CONCATENATE(Parametros!$O$57," ",'Datos Básicos'!D17+1)</f>
        <v>diciembre 2029</v>
      </c>
      <c r="K5" s="1833"/>
      <c r="L5" s="2526" t="str">
        <f>CONCATENATE(Parametros!$O$57," ",'Datos Básicos'!D17+2)</f>
        <v>diciembre 2030</v>
      </c>
      <c r="M5" s="2527"/>
      <c r="N5" s="1116"/>
    </row>
    <row r="6" spans="1:16" ht="18" thickBot="1" x14ac:dyDescent="0.35">
      <c r="A6" s="398"/>
      <c r="B6" s="1624" t="s">
        <v>152</v>
      </c>
      <c r="C6" s="1625" t="s">
        <v>886</v>
      </c>
      <c r="D6" s="1625" t="str">
        <f>$B$6</f>
        <v>Importe</v>
      </c>
      <c r="E6" s="1625" t="s">
        <v>886</v>
      </c>
      <c r="F6" s="1625" t="str">
        <f>$B$6</f>
        <v>Importe</v>
      </c>
      <c r="G6" s="1625" t="s">
        <v>886</v>
      </c>
      <c r="H6" s="1625" t="str">
        <f>$B$6</f>
        <v>Importe</v>
      </c>
      <c r="I6" s="1625" t="s">
        <v>886</v>
      </c>
      <c r="J6" s="1625" t="str">
        <f>$B$6</f>
        <v>Importe</v>
      </c>
      <c r="K6" s="1625" t="s">
        <v>886</v>
      </c>
      <c r="L6" s="1625" t="str">
        <f>$B$6</f>
        <v>Importe</v>
      </c>
      <c r="M6" s="1626" t="s">
        <v>886</v>
      </c>
      <c r="N6" s="442"/>
    </row>
    <row r="7" spans="1:16" x14ac:dyDescent="0.3">
      <c r="A7" s="2110" t="s">
        <v>1116</v>
      </c>
      <c r="B7" s="1580">
        <f>SUM(B8:B13)</f>
        <v>0</v>
      </c>
      <c r="C7" s="1581" t="e">
        <f t="shared" ref="C7:C12" si="0">B7/B$23</f>
        <v>#DIV/0!</v>
      </c>
      <c r="D7" s="1580">
        <f>SUM(D8:D13)</f>
        <v>0</v>
      </c>
      <c r="E7" s="1581">
        <f t="shared" ref="E7:E12" si="1">D7/D$23</f>
        <v>0</v>
      </c>
      <c r="F7" s="1580">
        <f>SUM(F8:F13)</f>
        <v>0</v>
      </c>
      <c r="G7" s="1581">
        <f t="shared" ref="G7:G12" si="2">F7/F$23</f>
        <v>0</v>
      </c>
      <c r="H7" s="1580">
        <f>SUM(H8:H13)</f>
        <v>0</v>
      </c>
      <c r="I7" s="1581">
        <f t="shared" ref="I7:I12" si="3">H7/H$23</f>
        <v>0</v>
      </c>
      <c r="J7" s="1580">
        <f>SUM(J8:J13)</f>
        <v>0</v>
      </c>
      <c r="K7" s="1581">
        <f t="shared" ref="K7:K12" si="4">J7/J$23</f>
        <v>0</v>
      </c>
      <c r="L7" s="1580">
        <f>SUM(L8:L13)</f>
        <v>0</v>
      </c>
      <c r="M7" s="1582">
        <f t="shared" ref="M7:M12" si="5">L7/L$23</f>
        <v>0</v>
      </c>
      <c r="N7" s="1117"/>
    </row>
    <row r="8" spans="1:16" x14ac:dyDescent="0.3">
      <c r="A8" s="1583" t="s">
        <v>828</v>
      </c>
      <c r="B8" s="1584">
        <f>Amortizaciones!B8</f>
        <v>0</v>
      </c>
      <c r="C8" s="1585" t="e">
        <f t="shared" si="0"/>
        <v>#DIV/0!</v>
      </c>
      <c r="D8" s="1584">
        <f>B8</f>
        <v>0</v>
      </c>
      <c r="E8" s="1585">
        <f t="shared" si="1"/>
        <v>0</v>
      </c>
      <c r="F8" s="1584">
        <f>D8</f>
        <v>0</v>
      </c>
      <c r="G8" s="1585">
        <f t="shared" si="2"/>
        <v>0</v>
      </c>
      <c r="H8" s="1584">
        <f>F8</f>
        <v>0</v>
      </c>
      <c r="I8" s="1585">
        <f t="shared" si="3"/>
        <v>0</v>
      </c>
      <c r="J8" s="1584">
        <f>H8</f>
        <v>0</v>
      </c>
      <c r="K8" s="1585">
        <f t="shared" si="4"/>
        <v>0</v>
      </c>
      <c r="L8" s="1584">
        <f>J8</f>
        <v>0</v>
      </c>
      <c r="M8" s="1586">
        <f t="shared" si="5"/>
        <v>0</v>
      </c>
      <c r="N8" s="475"/>
    </row>
    <row r="9" spans="1:16" x14ac:dyDescent="0.3">
      <c r="A9" s="1587" t="s">
        <v>822</v>
      </c>
      <c r="B9" s="1584">
        <f>-Amortizaciones!C8</f>
        <v>0</v>
      </c>
      <c r="C9" s="1585" t="e">
        <f t="shared" si="0"/>
        <v>#DIV/0!</v>
      </c>
      <c r="D9" s="1584">
        <f>B9-Amortizaciones!F8</f>
        <v>0</v>
      </c>
      <c r="E9" s="1585">
        <f t="shared" si="1"/>
        <v>0</v>
      </c>
      <c r="F9" s="1584">
        <f>D9-Amortizaciones!G8</f>
        <v>0</v>
      </c>
      <c r="G9" s="1585">
        <f t="shared" si="2"/>
        <v>0</v>
      </c>
      <c r="H9" s="1584">
        <f>F9-Amortizaciones!H8</f>
        <v>0</v>
      </c>
      <c r="I9" s="1585">
        <f t="shared" si="3"/>
        <v>0</v>
      </c>
      <c r="J9" s="1584">
        <f>H9-Amortizaciones!I8</f>
        <v>0</v>
      </c>
      <c r="K9" s="1585">
        <f t="shared" si="4"/>
        <v>0</v>
      </c>
      <c r="L9" s="1584">
        <f>+J9-Amortizaciones!J8</f>
        <v>0</v>
      </c>
      <c r="M9" s="1586">
        <f t="shared" si="5"/>
        <v>0</v>
      </c>
      <c r="N9" s="475"/>
    </row>
    <row r="10" spans="1:16" x14ac:dyDescent="0.3">
      <c r="A10" s="1583" t="s">
        <v>827</v>
      </c>
      <c r="B10" s="1584">
        <f>Amortizaciones!B19</f>
        <v>0</v>
      </c>
      <c r="C10" s="1585" t="e">
        <f t="shared" si="0"/>
        <v>#DIV/0!</v>
      </c>
      <c r="D10" s="1584">
        <f>B10</f>
        <v>0</v>
      </c>
      <c r="E10" s="1585">
        <f t="shared" si="1"/>
        <v>0</v>
      </c>
      <c r="F10" s="1584">
        <f>D10</f>
        <v>0</v>
      </c>
      <c r="G10" s="1585">
        <f t="shared" si="2"/>
        <v>0</v>
      </c>
      <c r="H10" s="1584">
        <f>F10</f>
        <v>0</v>
      </c>
      <c r="I10" s="1585">
        <f t="shared" si="3"/>
        <v>0</v>
      </c>
      <c r="J10" s="1584">
        <f>H10</f>
        <v>0</v>
      </c>
      <c r="K10" s="1585">
        <f t="shared" si="4"/>
        <v>0</v>
      </c>
      <c r="L10" s="1584">
        <f>J10</f>
        <v>0</v>
      </c>
      <c r="M10" s="1586">
        <f t="shared" si="5"/>
        <v>0</v>
      </c>
      <c r="N10" s="475"/>
    </row>
    <row r="11" spans="1:16" x14ac:dyDescent="0.3">
      <c r="A11" s="1587" t="s">
        <v>826</v>
      </c>
      <c r="B11" s="1584">
        <f>-Amortizaciones!C19</f>
        <v>0</v>
      </c>
      <c r="C11" s="1585" t="e">
        <f t="shared" si="0"/>
        <v>#DIV/0!</v>
      </c>
      <c r="D11" s="1584">
        <f>B11-Amortizaciones!F19</f>
        <v>0</v>
      </c>
      <c r="E11" s="1585">
        <f t="shared" si="1"/>
        <v>0</v>
      </c>
      <c r="F11" s="1584">
        <f>D11-Amortizaciones!G19</f>
        <v>0</v>
      </c>
      <c r="G11" s="1585">
        <f t="shared" si="2"/>
        <v>0</v>
      </c>
      <c r="H11" s="1584">
        <f>F11-Amortizaciones!H19</f>
        <v>0</v>
      </c>
      <c r="I11" s="1585">
        <f t="shared" si="3"/>
        <v>0</v>
      </c>
      <c r="J11" s="1584">
        <f>H11-Amortizaciones!I19</f>
        <v>0</v>
      </c>
      <c r="K11" s="1585">
        <f t="shared" si="4"/>
        <v>0</v>
      </c>
      <c r="L11" s="1584">
        <f>+J11-Amortizaciones!J19</f>
        <v>0</v>
      </c>
      <c r="M11" s="1586">
        <f t="shared" si="5"/>
        <v>0</v>
      </c>
      <c r="N11" s="475"/>
    </row>
    <row r="12" spans="1:16" x14ac:dyDescent="0.3">
      <c r="A12" s="1583" t="s">
        <v>271</v>
      </c>
      <c r="B12" s="1584">
        <f>'Inv. Iniciales ANC'!B81</f>
        <v>0</v>
      </c>
      <c r="C12" s="1585" t="e">
        <f t="shared" si="0"/>
        <v>#DIV/0!</v>
      </c>
      <c r="D12" s="1584">
        <f>B12-'Datos Gastos Fijos'!$B$23*IF(mes0+'Datos Gastos Fijos'!C30&lt;=12,'Datos Gastos Fijos'!C30,12-mes0+1)</f>
        <v>0</v>
      </c>
      <c r="E12" s="1585">
        <f t="shared" si="1"/>
        <v>0</v>
      </c>
      <c r="F12" s="1584">
        <f>D12-'Datos Gastos Fijos'!B23*IF(mes0+'Datos Gastos Fijos'!C30&lt;=12,0,mes0+'Datos Gastos Fijos'!C30-12)</f>
        <v>0</v>
      </c>
      <c r="G12" s="1585">
        <f t="shared" si="2"/>
        <v>0</v>
      </c>
      <c r="H12" s="1584">
        <f>F12</f>
        <v>0</v>
      </c>
      <c r="I12" s="1585">
        <f t="shared" si="3"/>
        <v>0</v>
      </c>
      <c r="J12" s="1584">
        <f>H12</f>
        <v>0</v>
      </c>
      <c r="K12" s="1585">
        <f t="shared" si="4"/>
        <v>0</v>
      </c>
      <c r="L12" s="1584">
        <f>J12</f>
        <v>0</v>
      </c>
      <c r="M12" s="1586">
        <f t="shared" si="5"/>
        <v>0</v>
      </c>
      <c r="N12" s="475"/>
    </row>
    <row r="13" spans="1:16" x14ac:dyDescent="0.3">
      <c r="A13" s="1579"/>
      <c r="B13" s="474"/>
      <c r="C13" s="475"/>
      <c r="D13" s="474"/>
      <c r="E13" s="475"/>
      <c r="F13" s="474"/>
      <c r="G13" s="475"/>
      <c r="H13" s="474"/>
      <c r="I13" s="475"/>
      <c r="J13" s="474"/>
      <c r="K13" s="475"/>
      <c r="L13" s="474"/>
      <c r="M13" s="1578"/>
      <c r="N13" s="475"/>
    </row>
    <row r="14" spans="1:16" x14ac:dyDescent="0.3">
      <c r="A14" s="1588" t="s">
        <v>844</v>
      </c>
      <c r="B14" s="1584">
        <f>SUM(B15:B22)</f>
        <v>0</v>
      </c>
      <c r="C14" s="1585" t="e">
        <f t="shared" ref="C14:C21" si="6">B14/B$23</f>
        <v>#DIV/0!</v>
      </c>
      <c r="D14" s="1589">
        <f>SUM(D15:D22)</f>
        <v>2000</v>
      </c>
      <c r="E14" s="1590">
        <f t="shared" ref="E14:E21" si="7">D14/D$23</f>
        <v>1</v>
      </c>
      <c r="F14" s="1589">
        <f>SUM(F15:F22)</f>
        <v>2000</v>
      </c>
      <c r="G14" s="1590">
        <f t="shared" ref="G14:G21" si="8">F14/F$23</f>
        <v>1</v>
      </c>
      <c r="H14" s="1589">
        <f>SUM(H15:H22)</f>
        <v>2000</v>
      </c>
      <c r="I14" s="1590">
        <f t="shared" ref="I14:I21" si="9">H14/H$23</f>
        <v>1</v>
      </c>
      <c r="J14" s="1589">
        <f>SUM(J15:J22)</f>
        <v>2000</v>
      </c>
      <c r="K14" s="1590">
        <f t="shared" ref="K14:K21" si="10">J14/J$23</f>
        <v>1</v>
      </c>
      <c r="L14" s="1589">
        <f>SUM(L15:L22)</f>
        <v>2000</v>
      </c>
      <c r="M14" s="1591">
        <f t="shared" ref="M14:M21" si="11">L14/L$23</f>
        <v>1</v>
      </c>
      <c r="N14" s="1117"/>
    </row>
    <row r="15" spans="1:16" x14ac:dyDescent="0.3">
      <c r="A15" s="1583" t="s">
        <v>272</v>
      </c>
      <c r="B15" s="1584">
        <f>'Inversiones AC'!B7</f>
        <v>0</v>
      </c>
      <c r="C15" s="1585" t="e">
        <f t="shared" si="6"/>
        <v>#DIV/0!</v>
      </c>
      <c r="D15" s="1584">
        <f>B15</f>
        <v>0</v>
      </c>
      <c r="E15" s="1585">
        <f t="shared" si="7"/>
        <v>0</v>
      </c>
      <c r="F15" s="1584">
        <f>D15</f>
        <v>0</v>
      </c>
      <c r="G15" s="1585">
        <f t="shared" si="8"/>
        <v>0</v>
      </c>
      <c r="H15" s="1584">
        <f>F15</f>
        <v>0</v>
      </c>
      <c r="I15" s="1585">
        <f t="shared" si="9"/>
        <v>0</v>
      </c>
      <c r="J15" s="1584">
        <f>H15</f>
        <v>0</v>
      </c>
      <c r="K15" s="1585">
        <f t="shared" si="10"/>
        <v>0</v>
      </c>
      <c r="L15" s="1584">
        <f>J15</f>
        <v>0</v>
      </c>
      <c r="M15" s="1586">
        <f t="shared" si="11"/>
        <v>0</v>
      </c>
      <c r="N15" s="475"/>
    </row>
    <row r="16" spans="1:16" x14ac:dyDescent="0.3">
      <c r="A16" s="1583" t="s">
        <v>894</v>
      </c>
      <c r="B16" s="1584">
        <f>'Inversiones AC'!B10</f>
        <v>0</v>
      </c>
      <c r="C16" s="1585" t="e">
        <f t="shared" si="6"/>
        <v>#DIV/0!</v>
      </c>
      <c r="D16" s="1584">
        <f>B16</f>
        <v>0</v>
      </c>
      <c r="E16" s="1585">
        <f t="shared" si="7"/>
        <v>0</v>
      </c>
      <c r="F16" s="1584">
        <f>D16</f>
        <v>0</v>
      </c>
      <c r="G16" s="1585">
        <f t="shared" si="8"/>
        <v>0</v>
      </c>
      <c r="H16" s="1584">
        <f>F16</f>
        <v>0</v>
      </c>
      <c r="I16" s="1585">
        <f t="shared" si="9"/>
        <v>0</v>
      </c>
      <c r="J16" s="1584">
        <f>H16</f>
        <v>0</v>
      </c>
      <c r="K16" s="1585">
        <f t="shared" si="10"/>
        <v>0</v>
      </c>
      <c r="L16" s="1584">
        <f>J16</f>
        <v>0</v>
      </c>
      <c r="M16" s="1586">
        <f t="shared" si="11"/>
        <v>0</v>
      </c>
      <c r="N16" s="475"/>
    </row>
    <row r="17" spans="1:14" x14ac:dyDescent="0.3">
      <c r="A17" s="1583" t="s">
        <v>1002</v>
      </c>
      <c r="B17" s="1584">
        <f>'Inversiones AC'!B19</f>
        <v>0</v>
      </c>
      <c r="C17" s="1585" t="e">
        <f t="shared" si="6"/>
        <v>#DIV/0!</v>
      </c>
      <c r="D17" s="1584">
        <f>'Cobros y pagos 0'!S29+'Inversiones AC'!B19-'Otros cobros y pagos'!N12</f>
        <v>0</v>
      </c>
      <c r="E17" s="1585">
        <f t="shared" si="7"/>
        <v>0</v>
      </c>
      <c r="F17" s="1584">
        <f>'Cobros y pagos 1'!S29</f>
        <v>0</v>
      </c>
      <c r="G17" s="1585">
        <f t="shared" si="8"/>
        <v>0</v>
      </c>
      <c r="H17" s="1584">
        <f>'Cobros y pagos 2'!S29</f>
        <v>0</v>
      </c>
      <c r="I17" s="1585">
        <f t="shared" si="9"/>
        <v>0</v>
      </c>
      <c r="J17" s="1584">
        <f>'Cobros y pagos 3'!S29</f>
        <v>0</v>
      </c>
      <c r="K17" s="1585">
        <f t="shared" si="10"/>
        <v>0</v>
      </c>
      <c r="L17" s="1584">
        <f>'Cobros y pagos 4'!S29</f>
        <v>0</v>
      </c>
      <c r="M17" s="1586">
        <f t="shared" si="11"/>
        <v>0</v>
      </c>
      <c r="N17" s="475"/>
    </row>
    <row r="18" spans="1:14" x14ac:dyDescent="0.3">
      <c r="A18" s="1583" t="s">
        <v>114</v>
      </c>
      <c r="B18" s="1584">
        <v>0</v>
      </c>
      <c r="C18" s="1585" t="e">
        <f t="shared" si="6"/>
        <v>#DIV/0!</v>
      </c>
      <c r="D18" s="1584">
        <f>IF('IRPF Prof y Autónomos'!K26&lt;0,-'IRPF Prof y Autónomos'!K26*'IRPF Prof y Autónomos'!K19,0)</f>
        <v>0</v>
      </c>
      <c r="E18" s="1585">
        <f t="shared" si="7"/>
        <v>0</v>
      </c>
      <c r="F18" s="1584">
        <f>IF('IRPF Prof y Autónomos'!L26&lt;0,-'IRPF Prof y Autónomos'!L26*'IRPF Prof y Autónomos'!L19,0)</f>
        <v>0</v>
      </c>
      <c r="G18" s="1585">
        <f t="shared" si="8"/>
        <v>0</v>
      </c>
      <c r="H18" s="1584">
        <f>IF('IRPF Prof y Autónomos'!M26&lt;0,-'IRPF Prof y Autónomos'!M26*'IRPF Prof y Autónomos'!M19,0)</f>
        <v>0</v>
      </c>
      <c r="I18" s="1585">
        <f t="shared" si="9"/>
        <v>0</v>
      </c>
      <c r="J18" s="1584">
        <f xml:space="preserve">
+IF('IRPF Prof y Autónomos'!N26&lt;0,-'IRPF Prof y Autónomos'!N26*'IRPF Prof y Autónomos'!N19,0)</f>
        <v>0</v>
      </c>
      <c r="K18" s="1585">
        <f t="shared" si="10"/>
        <v>0</v>
      </c>
      <c r="L18" s="1584">
        <f>IF('IRPF Prof y Autónomos'!O26&lt;0,-'IRPF Prof y Autónomos'!O26*'IRPF Prof y Autónomos'!O19,0)</f>
        <v>0</v>
      </c>
      <c r="M18" s="1586">
        <f t="shared" si="11"/>
        <v>0</v>
      </c>
      <c r="N18" s="475"/>
    </row>
    <row r="19" spans="1:14" x14ac:dyDescent="0.3">
      <c r="A19" s="1583" t="s">
        <v>1046</v>
      </c>
      <c r="B19" s="1584">
        <v>0</v>
      </c>
      <c r="C19" s="1585" t="e">
        <f t="shared" si="6"/>
        <v>#DIV/0!</v>
      </c>
      <c r="D19" s="1584">
        <f>SUM(Imp.Sociedades!B14:B16)</f>
        <v>0</v>
      </c>
      <c r="E19" s="1585">
        <f t="shared" si="7"/>
        <v>0</v>
      </c>
      <c r="F19" s="1584">
        <f>SUM(Imp.Sociedades!D14:D16)</f>
        <v>0</v>
      </c>
      <c r="G19" s="1585">
        <f t="shared" si="8"/>
        <v>0</v>
      </c>
      <c r="H19" s="1584">
        <f>SUM(Imp.Sociedades!G14:G16)</f>
        <v>0</v>
      </c>
      <c r="I19" s="1585">
        <f t="shared" si="9"/>
        <v>0</v>
      </c>
      <c r="J19" s="1584">
        <f>SUM(Imp.Sociedades!J14:J16)</f>
        <v>0</v>
      </c>
      <c r="K19" s="1585">
        <f t="shared" si="10"/>
        <v>0</v>
      </c>
      <c r="L19" s="1584">
        <f>SUM(Imp.Sociedades!M14:M16)</f>
        <v>0</v>
      </c>
      <c r="M19" s="1586">
        <f t="shared" si="11"/>
        <v>0</v>
      </c>
      <c r="N19" s="475"/>
    </row>
    <row r="20" spans="1:14" x14ac:dyDescent="0.3">
      <c r="A20" s="1583" t="s">
        <v>1001</v>
      </c>
      <c r="B20" s="1584">
        <f>'Inversiones AC'!B17+'Inversiones AC'!B18</f>
        <v>0</v>
      </c>
      <c r="C20" s="1585" t="e">
        <f t="shared" si="6"/>
        <v>#DIV/0!</v>
      </c>
      <c r="D20" s="1584">
        <f>IF(AND(Parametros!$F$35="No",'IVA 0'!O22&lt;0),-'IVA 0'!O22,0)-'IVA 0'!O26</f>
        <v>0</v>
      </c>
      <c r="E20" s="1585">
        <f>D20/D$23</f>
        <v>0</v>
      </c>
      <c r="F20" s="1584">
        <f>IF(AND(Parametros!$F$35="No",'IVA 1'!O22&lt;0),-'IVA 1'!O22,0)-'IVA 1'!O26</f>
        <v>0</v>
      </c>
      <c r="G20" s="1585">
        <f t="shared" si="8"/>
        <v>0</v>
      </c>
      <c r="H20" s="1584">
        <f>IF(AND(Parametros!$F$35="No",'IVA 2'!O22&lt;0),-'IVA 2'!O22,0)-'IVA 2'!O26</f>
        <v>0</v>
      </c>
      <c r="I20" s="1585">
        <f t="shared" si="9"/>
        <v>0</v>
      </c>
      <c r="J20" s="1584">
        <f>IF(AND(Parametros!$F$35="No",'IVA 3'!O22&lt;0),-'IVA 3'!O22,0)-'IVA 3'!O26</f>
        <v>0</v>
      </c>
      <c r="K20" s="1585">
        <f t="shared" si="10"/>
        <v>0</v>
      </c>
      <c r="L20" s="1584">
        <f>IF(AND(Parametros!$F$35="No",'IVA 4'!O22&lt;0),-'IVA 4'!O22,0)-'IVA 4'!O26</f>
        <v>0</v>
      </c>
      <c r="M20" s="1586">
        <f t="shared" si="11"/>
        <v>0</v>
      </c>
      <c r="N20" s="475"/>
    </row>
    <row r="21" spans="1:14" x14ac:dyDescent="0.3">
      <c r="A21" s="1583" t="s">
        <v>895</v>
      </c>
      <c r="B21" s="1584">
        <f>'Inversiones AC'!B21</f>
        <v>0</v>
      </c>
      <c r="C21" s="1585" t="e">
        <f t="shared" si="6"/>
        <v>#DIV/0!</v>
      </c>
      <c r="D21" s="1584">
        <f>'Tesorería 0'!N29</f>
        <v>2000</v>
      </c>
      <c r="E21" s="1585">
        <f t="shared" si="7"/>
        <v>1</v>
      </c>
      <c r="F21" s="1584">
        <f>'Tesorería 1'!N29</f>
        <v>2000</v>
      </c>
      <c r="G21" s="1585">
        <f t="shared" si="8"/>
        <v>1</v>
      </c>
      <c r="H21" s="1584">
        <f>'Tesorería 2'!N29</f>
        <v>2000</v>
      </c>
      <c r="I21" s="1585">
        <f t="shared" si="9"/>
        <v>1</v>
      </c>
      <c r="J21" s="1584">
        <f>'Tesorería 3'!N29</f>
        <v>2000</v>
      </c>
      <c r="K21" s="1585">
        <f t="shared" si="10"/>
        <v>1</v>
      </c>
      <c r="L21" s="1584">
        <f>'Tesorería 4'!N29</f>
        <v>2000</v>
      </c>
      <c r="M21" s="1586">
        <f t="shared" si="11"/>
        <v>1</v>
      </c>
      <c r="N21" s="475"/>
    </row>
    <row r="22" spans="1:14" x14ac:dyDescent="0.3">
      <c r="A22" s="1579"/>
      <c r="B22" s="474"/>
      <c r="C22" s="475"/>
      <c r="D22" s="474"/>
      <c r="E22" s="475"/>
      <c r="F22" s="474"/>
      <c r="G22" s="475"/>
      <c r="H22" s="474"/>
      <c r="I22" s="475"/>
      <c r="J22" s="474"/>
      <c r="K22" s="475"/>
      <c r="L22" s="474"/>
      <c r="M22" s="1578"/>
      <c r="N22" s="475"/>
    </row>
    <row r="23" spans="1:14" ht="20.25" thickBot="1" x14ac:dyDescent="0.35">
      <c r="A23" s="2111" t="s">
        <v>854</v>
      </c>
      <c r="B23" s="2112">
        <f t="shared" ref="B23:M23" si="12">B7+B14</f>
        <v>0</v>
      </c>
      <c r="C23" s="2114" t="e">
        <f t="shared" si="12"/>
        <v>#DIV/0!</v>
      </c>
      <c r="D23" s="2112">
        <f t="shared" si="12"/>
        <v>2000</v>
      </c>
      <c r="E23" s="2114">
        <f t="shared" si="12"/>
        <v>1</v>
      </c>
      <c r="F23" s="2112">
        <f t="shared" si="12"/>
        <v>2000</v>
      </c>
      <c r="G23" s="2114">
        <f t="shared" si="12"/>
        <v>1</v>
      </c>
      <c r="H23" s="2112">
        <f t="shared" si="12"/>
        <v>2000</v>
      </c>
      <c r="I23" s="2114">
        <f t="shared" si="12"/>
        <v>1</v>
      </c>
      <c r="J23" s="2112">
        <f t="shared" si="12"/>
        <v>2000</v>
      </c>
      <c r="K23" s="2114">
        <f t="shared" si="12"/>
        <v>1</v>
      </c>
      <c r="L23" s="2112">
        <f t="shared" si="12"/>
        <v>2000</v>
      </c>
      <c r="M23" s="2115">
        <f t="shared" si="12"/>
        <v>1</v>
      </c>
      <c r="N23" s="1118"/>
    </row>
    <row r="24" spans="1:14" ht="33" customHeight="1" thickBot="1" x14ac:dyDescent="0.35">
      <c r="A24" s="1556"/>
      <c r="B24" s="474"/>
      <c r="C24" s="475"/>
      <c r="D24" s="474"/>
      <c r="E24" s="475"/>
      <c r="F24" s="474"/>
      <c r="G24" s="475"/>
      <c r="H24" s="474"/>
      <c r="I24" s="475"/>
      <c r="J24" s="474"/>
      <c r="K24" s="475"/>
      <c r="L24" s="474"/>
      <c r="M24" s="475"/>
      <c r="N24" s="475"/>
    </row>
    <row r="25" spans="1:14" x14ac:dyDescent="0.3">
      <c r="A25" s="1608" t="s">
        <v>1117</v>
      </c>
      <c r="B25" s="1592">
        <f>SUM(B26:B31)</f>
        <v>0</v>
      </c>
      <c r="C25" s="1593" t="e">
        <f t="shared" ref="C25:C30" si="13">B25/B$46</f>
        <v>#DIV/0!</v>
      </c>
      <c r="D25" s="1592">
        <f>SUM(D26:D31)</f>
        <v>-16362.959468393694</v>
      </c>
      <c r="E25" s="1593">
        <f t="shared" ref="E25:E30" si="14">D25/D$46</f>
        <v>-8.1814797341968397</v>
      </c>
      <c r="F25" s="1592">
        <f>SUM(F26:F31)</f>
        <v>-34526.489964217515</v>
      </c>
      <c r="G25" s="1593">
        <f t="shared" ref="G25:G30" si="15">F25/F$46</f>
        <v>-17.263244982108759</v>
      </c>
      <c r="H25" s="1592">
        <f>SUM(H26:H31)</f>
        <v>-56084.442860921292</v>
      </c>
      <c r="I25" s="1593">
        <f t="shared" ref="I25:I30" si="16">H25/H$46</f>
        <v>-28.042221430460749</v>
      </c>
      <c r="J25" s="1592">
        <f>SUM(J26:J31)</f>
        <v>-79855.464496597298</v>
      </c>
      <c r="K25" s="1593">
        <f t="shared" ref="K25:K30" si="17">J25/J$46</f>
        <v>-39.927732248298938</v>
      </c>
      <c r="L25" s="1592">
        <f>SUM(L26:L31)</f>
        <v>-106025.72349256523</v>
      </c>
      <c r="M25" s="1594">
        <f t="shared" ref="M25:M30" si="18">L25/L$46</f>
        <v>-53.012861746283001</v>
      </c>
      <c r="N25" s="1114"/>
    </row>
    <row r="26" spans="1:14" x14ac:dyDescent="0.3">
      <c r="A26" s="1612" t="str">
        <f>IF(irpf=0,"Capital Social","Fondo Social")</f>
        <v>Fondo Social</v>
      </c>
      <c r="B26" s="1584">
        <f>'Financiación Inicial'!B8+'Financiación Inicial'!B9</f>
        <v>0</v>
      </c>
      <c r="C26" s="1585" t="e">
        <f t="shared" si="13"/>
        <v>#DIV/0!</v>
      </c>
      <c r="D26" s="1584">
        <f>B26</f>
        <v>0</v>
      </c>
      <c r="E26" s="1585">
        <f t="shared" si="14"/>
        <v>0</v>
      </c>
      <c r="F26" s="1584">
        <f>D26</f>
        <v>0</v>
      </c>
      <c r="G26" s="1585">
        <f t="shared" si="15"/>
        <v>0</v>
      </c>
      <c r="H26" s="1584">
        <f>F26</f>
        <v>0</v>
      </c>
      <c r="I26" s="1585">
        <f t="shared" si="16"/>
        <v>0</v>
      </c>
      <c r="J26" s="1584">
        <f>H26</f>
        <v>0</v>
      </c>
      <c r="K26" s="1585">
        <f t="shared" si="17"/>
        <v>0</v>
      </c>
      <c r="L26" s="1584">
        <f>J26</f>
        <v>0</v>
      </c>
      <c r="M26" s="1586">
        <f t="shared" si="18"/>
        <v>0</v>
      </c>
      <c r="N26" s="475"/>
    </row>
    <row r="27" spans="1:14" x14ac:dyDescent="0.3">
      <c r="A27" s="1613" t="s">
        <v>941</v>
      </c>
      <c r="B27" s="1584">
        <f>SUM(resprevio)-'Inv. Iniciales ANC'!B69</f>
        <v>0</v>
      </c>
      <c r="C27" s="1585" t="e">
        <f>B27/B$46</f>
        <v>#DIV/0!</v>
      </c>
      <c r="D27" s="1584">
        <f>B27</f>
        <v>0</v>
      </c>
      <c r="E27" s="1585">
        <f t="shared" si="14"/>
        <v>0</v>
      </c>
      <c r="F27" s="1584">
        <f>D27
+IF(isoc&lt;&gt;0,Imp.Sociedades!B7+Imp.Sociedades!B30,0)
+IF(AND(isoc&lt;&gt;0,D30&lt;0),D30,0)
+IF(irpf&lt;&gt;0,D30,0)
+IF(AND(irpf=0,isoc=0),D30,0)</f>
        <v>-16362.959468393694</v>
      </c>
      <c r="G27" s="1585">
        <f>F27/F$46</f>
        <v>-8.1814797341968468</v>
      </c>
      <c r="H27" s="1584">
        <f>F27
+IF(isoc&lt;&gt;0,Imp.Sociedades!$D$7+Imp.Sociedades!$D$30,0)
+IF(AND(isoc&lt;&gt;0,F30&lt;0),F30,0)
+IF(irpf&lt;&gt;0,F30,0)
+IF(AND(irpf=0,isoc=0),F30,0)</f>
        <v>-34526.489964217515</v>
      </c>
      <c r="I27" s="1585">
        <f t="shared" si="16"/>
        <v>-17.263244982108819</v>
      </c>
      <c r="J27" s="1584">
        <f>H27
+IF(isoc&lt;&gt;0,Imp.Sociedades!$G$7+Imp.Sociedades!$G$30,0)
+IF(AND(isoc&lt;&gt;0,H30&lt;0),H30,0)
+IF(irpf&lt;&gt;0,H30,0)
+IF(AND(irpf=0,isoc=0),H30,0)</f>
        <v>-56084.442860921292</v>
      </c>
      <c r="K27" s="1585">
        <f t="shared" si="17"/>
        <v>-28.042221430460849</v>
      </c>
      <c r="L27" s="1584">
        <f>J27
+IF(isoc&lt;&gt;0,Imp.Sociedades!$J$7+Imp.Sociedades!$J$30,0)
+IF(AND(isoc&lt;&gt;0,J30&lt;0),J30,0)
+IF(irpf&lt;&gt;0,J30,0)
+IF(AND(irpf=0,isoc=0),J30,0)</f>
        <v>-79855.464496597298</v>
      </c>
      <c r="M27" s="1586">
        <f t="shared" si="18"/>
        <v>-39.927732248298938</v>
      </c>
      <c r="N27" s="475"/>
    </row>
    <row r="28" spans="1:14" x14ac:dyDescent="0.3">
      <c r="A28" s="1613" t="s">
        <v>1003</v>
      </c>
      <c r="B28" s="1584">
        <f>'Financiación Inicial'!B13</f>
        <v>0</v>
      </c>
      <c r="C28" s="1585" t="e">
        <f t="shared" si="13"/>
        <v>#DIV/0!</v>
      </c>
      <c r="D28" s="1584">
        <f>B28+'Otros cobros y pagos'!N9-'Otros cobros y pagos'!N67</f>
        <v>0</v>
      </c>
      <c r="E28" s="1585">
        <f t="shared" si="14"/>
        <v>0</v>
      </c>
      <c r="F28" s="1584">
        <f>D28+'Otros cobros y pagos'!N20-'Otros cobros y pagos'!N78</f>
        <v>0</v>
      </c>
      <c r="G28" s="1585">
        <f t="shared" si="15"/>
        <v>0</v>
      </c>
      <c r="H28" s="1584">
        <f>F28+'Otros cobros y pagos'!N31-'Otros cobros y pagos'!N89</f>
        <v>0</v>
      </c>
      <c r="I28" s="1585">
        <f t="shared" si="16"/>
        <v>0</v>
      </c>
      <c r="J28" s="1584">
        <f>H28</f>
        <v>0</v>
      </c>
      <c r="K28" s="1585">
        <f t="shared" si="17"/>
        <v>0</v>
      </c>
      <c r="L28" s="1584">
        <f>J28</f>
        <v>0</v>
      </c>
      <c r="M28" s="1586">
        <f t="shared" si="18"/>
        <v>0</v>
      </c>
      <c r="N28" s="475"/>
    </row>
    <row r="29" spans="1:14" x14ac:dyDescent="0.3">
      <c r="A29" s="1613" t="s">
        <v>1004</v>
      </c>
      <c r="B29" s="1584">
        <f>'Financiación Inicial'!B14</f>
        <v>0</v>
      </c>
      <c r="C29" s="1585" t="e">
        <f t="shared" si="13"/>
        <v>#DIV/0!</v>
      </c>
      <c r="D29" s="1584">
        <f>B29-'PyG 0'!N6</f>
        <v>0</v>
      </c>
      <c r="E29" s="1585">
        <f t="shared" si="14"/>
        <v>0</v>
      </c>
      <c r="F29" s="1584">
        <f>D29-'PyG 1'!N6</f>
        <v>0</v>
      </c>
      <c r="G29" s="1585">
        <f t="shared" si="15"/>
        <v>0</v>
      </c>
      <c r="H29" s="1584">
        <f>F29-'PyG 2'!N6</f>
        <v>0</v>
      </c>
      <c r="I29" s="1585">
        <f t="shared" si="16"/>
        <v>0</v>
      </c>
      <c r="J29" s="1584">
        <f>H29-'PyG 3'!N6</f>
        <v>0</v>
      </c>
      <c r="K29" s="1585">
        <f t="shared" si="17"/>
        <v>0</v>
      </c>
      <c r="L29" s="1584">
        <f>J29-'PyG 4'!N6</f>
        <v>0</v>
      </c>
      <c r="M29" s="1586">
        <f t="shared" si="18"/>
        <v>0</v>
      </c>
      <c r="N29" s="475"/>
    </row>
    <row r="30" spans="1:14" x14ac:dyDescent="0.3">
      <c r="A30" s="1613" t="s">
        <v>1034</v>
      </c>
      <c r="B30" s="1584">
        <v>0</v>
      </c>
      <c r="C30" s="1585" t="e">
        <f t="shared" si="13"/>
        <v>#DIV/0!</v>
      </c>
      <c r="D30" s="1584">
        <f>'PyG anuales'!B26
-IF(isoc&lt;&gt;0,Imp.Sociedades!B18,0)
-IF(irpf&lt;&gt;0,'IRPF Prof y Autónomos'!K22*'IRPF Prof y Autónomos'!K19,0)</f>
        <v>-16362.959468393694</v>
      </c>
      <c r="E30" s="1585">
        <f t="shared" si="14"/>
        <v>-8.1814797341968397</v>
      </c>
      <c r="F30" s="1584">
        <f>'PyG anuales'!D26
-IF(isoc&lt;&gt;0,Imp.Sociedades!D18,0)
-IF(irpf&lt;&gt;0,'IRPF Prof y Autónomos'!L22*'IRPF Prof y Autónomos'!L19,0)</f>
        <v>-18163.530495823823</v>
      </c>
      <c r="G30" s="1585">
        <f t="shared" si="15"/>
        <v>-9.0817652479119122</v>
      </c>
      <c r="H30" s="1584">
        <f>'PyG anuales'!$G$26
-IF(isoc&lt;&gt;0,Imp.Sociedades!$G$18,0)
-IF(irpf&lt;&gt;0,'IRPF Prof y Autónomos'!M22*'IRPF Prof y Autónomos'!M19,0)</f>
        <v>-21557.95289670378</v>
      </c>
      <c r="I30" s="1585">
        <f t="shared" si="16"/>
        <v>-10.77897644835193</v>
      </c>
      <c r="J30" s="1584">
        <f>'PyG anuales'!$J$26
-IF(isoc&lt;&gt;0,Imp.Sociedades!$J$18,0)
-IF(irpf&lt;&gt;0,'IRPF Prof y Autónomos'!N22*'IRPF Prof y Autónomos'!N19,0)</f>
        <v>-23771.021635676007</v>
      </c>
      <c r="K30" s="1585">
        <f t="shared" si="17"/>
        <v>-11.885510817838091</v>
      </c>
      <c r="L30" s="1584">
        <f>'PyG anuales'!$M$26
-IF(isoc&lt;&gt;0,Imp.Sociedades!$M$18,0)
-IF(irpf&lt;&gt;0,'IRPF Prof y Autónomos'!O22*'IRPF Prof y Autónomos'!O19,0)</f>
        <v>-26170.258995967932</v>
      </c>
      <c r="M30" s="1586">
        <f t="shared" si="18"/>
        <v>-13.085129497984061</v>
      </c>
      <c r="N30" s="475"/>
    </row>
    <row r="31" spans="1:14" ht="16.5" customHeight="1" x14ac:dyDescent="0.3">
      <c r="A31" s="1614"/>
      <c r="B31" s="1584"/>
      <c r="C31" s="1585"/>
      <c r="D31" s="1584"/>
      <c r="E31" s="1585"/>
      <c r="F31" s="1584"/>
      <c r="G31" s="1585"/>
      <c r="H31" s="1584"/>
      <c r="I31" s="1585"/>
      <c r="J31" s="1584"/>
      <c r="K31" s="1585"/>
      <c r="L31" s="1584"/>
      <c r="M31" s="1586"/>
      <c r="N31" s="475"/>
    </row>
    <row r="32" spans="1:14" x14ac:dyDescent="0.3">
      <c r="A32" s="1615" t="s">
        <v>1118</v>
      </c>
      <c r="B32" s="1589">
        <f>SUM(B33:B34)</f>
        <v>0</v>
      </c>
      <c r="C32" s="1589" t="e">
        <f>B32/B$46</f>
        <v>#DIV/0!</v>
      </c>
      <c r="D32" s="1589">
        <f>SUM(D33:D34)</f>
        <v>0</v>
      </c>
      <c r="E32" s="1867">
        <f>D32/D$46</f>
        <v>0</v>
      </c>
      <c r="F32" s="1589">
        <f>SUM(F33:F34)</f>
        <v>0</v>
      </c>
      <c r="G32" s="1867">
        <f>F32/F$46</f>
        <v>0</v>
      </c>
      <c r="H32" s="1589">
        <f>SUM(H33:H34)</f>
        <v>0</v>
      </c>
      <c r="I32" s="1867">
        <f>H32/H$46</f>
        <v>0</v>
      </c>
      <c r="J32" s="1589">
        <f>SUM(J33:J34)</f>
        <v>0</v>
      </c>
      <c r="K32" s="1867">
        <f>J32/J$46</f>
        <v>0</v>
      </c>
      <c r="L32" s="1589">
        <f>SUM(L33:L34)</f>
        <v>0</v>
      </c>
      <c r="M32" s="1902">
        <f>L32/L$46</f>
        <v>0</v>
      </c>
      <c r="N32" s="1119"/>
    </row>
    <row r="33" spans="1:14" x14ac:dyDescent="0.3">
      <c r="A33" s="1613" t="s">
        <v>945</v>
      </c>
      <c r="B33" s="1584">
        <f>'Financiación Inicial'!B18+'Financiación Inicial'!B19</f>
        <v>0</v>
      </c>
      <c r="C33" s="1585" t="e">
        <f>B33/B$46</f>
        <v>#DIV/0!</v>
      </c>
      <c r="D33" s="1584">
        <f>B33-D37</f>
        <v>0</v>
      </c>
      <c r="E33" s="1585">
        <f>D33/D$46</f>
        <v>0</v>
      </c>
      <c r="F33" s="1584">
        <f>D33-F37</f>
        <v>0</v>
      </c>
      <c r="G33" s="1585">
        <f>F33/F$46</f>
        <v>0</v>
      </c>
      <c r="H33" s="1584">
        <f>F33-H37</f>
        <v>0</v>
      </c>
      <c r="I33" s="1585">
        <f>H33/H$46</f>
        <v>0</v>
      </c>
      <c r="J33" s="1584">
        <f>H33-J37</f>
        <v>0</v>
      </c>
      <c r="K33" s="1585">
        <f>J33/J$46</f>
        <v>0</v>
      </c>
      <c r="L33" s="1584">
        <f>J33-L37</f>
        <v>0</v>
      </c>
      <c r="M33" s="1586">
        <f>L33/L$46</f>
        <v>0</v>
      </c>
      <c r="N33" s="475"/>
    </row>
    <row r="34" spans="1:14" x14ac:dyDescent="0.3">
      <c r="A34" s="1613" t="s">
        <v>883</v>
      </c>
      <c r="B34" s="1584">
        <f>'Financiación Inicial'!B20</f>
        <v>0</v>
      </c>
      <c r="C34" s="1585" t="e">
        <f>B34/B$46</f>
        <v>#DIV/0!</v>
      </c>
      <c r="D34" s="1584">
        <f>'Financiación Inicial'!B20-'Otros cobros y pagos'!N68</f>
        <v>0</v>
      </c>
      <c r="E34" s="1585">
        <f>D34/D$46</f>
        <v>0</v>
      </c>
      <c r="F34" s="1584">
        <f>D34-'Otros cobros y pagos'!N79</f>
        <v>0</v>
      </c>
      <c r="G34" s="1585">
        <f>F34/F$46</f>
        <v>0</v>
      </c>
      <c r="H34" s="1584">
        <f>F34-'Otros cobros y pagos'!N90</f>
        <v>0</v>
      </c>
      <c r="I34" s="1585">
        <f>H34/H$46</f>
        <v>0</v>
      </c>
      <c r="J34" s="1584">
        <f>H34-'Otros cobros y pagos'!N101</f>
        <v>0</v>
      </c>
      <c r="K34" s="1585">
        <f>J34/J$46</f>
        <v>0</v>
      </c>
      <c r="L34" s="1584">
        <f>J34-'Otros cobros y pagos'!N112</f>
        <v>0</v>
      </c>
      <c r="M34" s="1586">
        <f>L34/L$46</f>
        <v>0</v>
      </c>
      <c r="N34" s="475"/>
    </row>
    <row r="35" spans="1:14" x14ac:dyDescent="0.3">
      <c r="A35" s="1614"/>
      <c r="B35" s="1584"/>
      <c r="C35" s="1585"/>
      <c r="D35" s="1584"/>
      <c r="E35" s="1585"/>
      <c r="F35" s="1584"/>
      <c r="G35" s="1585"/>
      <c r="H35" s="1584"/>
      <c r="I35" s="1585"/>
      <c r="J35" s="1584"/>
      <c r="K35" s="1585"/>
      <c r="L35" s="1584"/>
      <c r="M35" s="1586"/>
      <c r="N35" s="475"/>
    </row>
    <row r="36" spans="1:14" x14ac:dyDescent="0.3">
      <c r="A36" s="1615" t="s">
        <v>1119</v>
      </c>
      <c r="B36" s="1589">
        <f>SUM(B37:B42)</f>
        <v>0</v>
      </c>
      <c r="C36" s="1589" t="e">
        <f t="shared" ref="C36:C44" si="19">B36/B$46</f>
        <v>#DIV/0!</v>
      </c>
      <c r="D36" s="1589">
        <f>SUM(D37:D42)</f>
        <v>18362.959468393696</v>
      </c>
      <c r="E36" s="1867">
        <f>D36/D$46</f>
        <v>9.1814797341968397</v>
      </c>
      <c r="F36" s="1589">
        <f>SUM(F37:F42)</f>
        <v>36526.489964217515</v>
      </c>
      <c r="G36" s="1867">
        <f>F36/F$46</f>
        <v>18.263244982108759</v>
      </c>
      <c r="H36" s="1589">
        <f>SUM(H37:H42)</f>
        <v>58084.442860921285</v>
      </c>
      <c r="I36" s="1867">
        <f t="shared" ref="I36:I44" si="20">H36/H$46</f>
        <v>29.042221430460749</v>
      </c>
      <c r="J36" s="1589">
        <f>SUM(J37:J42)</f>
        <v>81855.464496597284</v>
      </c>
      <c r="K36" s="1867">
        <f t="shared" ref="K36:K44" si="21">J36/J$46</f>
        <v>40.927732248298938</v>
      </c>
      <c r="L36" s="1589">
        <f>SUM(L37:L42)</f>
        <v>108025.72349256522</v>
      </c>
      <c r="M36" s="1902">
        <f t="shared" ref="M36:M44" si="22">L36/L$46</f>
        <v>54.012861746283001</v>
      </c>
      <c r="N36" s="1119"/>
    </row>
    <row r="37" spans="1:14" x14ac:dyDescent="0.3">
      <c r="A37" s="1613" t="s">
        <v>946</v>
      </c>
      <c r="B37" s="1584">
        <f>'Financiación Inicial'!B23+'Financiación Inicial'!B24</f>
        <v>0</v>
      </c>
      <c r="C37" s="1585" t="e">
        <f t="shared" si="19"/>
        <v>#DIV/0!</v>
      </c>
      <c r="D37" s="1584">
        <f>Préstamos!N26+Leasing!N29</f>
        <v>0</v>
      </c>
      <c r="E37" s="1585">
        <f t="shared" ref="E37:E44" si="23">D37/D$46</f>
        <v>0</v>
      </c>
      <c r="F37" s="1584">
        <f>Préstamos!N32+Leasing!N36</f>
        <v>0</v>
      </c>
      <c r="G37" s="1585">
        <f t="shared" ref="G37:G44" si="24">F37/F$46</f>
        <v>0</v>
      </c>
      <c r="H37" s="1584">
        <f>Préstamos!N38+Leasing!N43</f>
        <v>0</v>
      </c>
      <c r="I37" s="1585">
        <f t="shared" si="20"/>
        <v>0</v>
      </c>
      <c r="J37" s="1584">
        <f>Préstamos!N44+Leasing!N50</f>
        <v>0</v>
      </c>
      <c r="K37" s="1585">
        <f t="shared" si="21"/>
        <v>0</v>
      </c>
      <c r="L37" s="1584">
        <f>Préstamos!N50+Leasing!N57</f>
        <v>0</v>
      </c>
      <c r="M37" s="1586">
        <f t="shared" si="22"/>
        <v>0</v>
      </c>
      <c r="N37" s="475"/>
    </row>
    <row r="38" spans="1:14" x14ac:dyDescent="0.3">
      <c r="A38" s="1613" t="s">
        <v>1009</v>
      </c>
      <c r="B38" s="1584">
        <f>'Financiación Inicial'!B25</f>
        <v>0</v>
      </c>
      <c r="C38" s="1585" t="e">
        <f t="shared" si="19"/>
        <v>#DIV/0!</v>
      </c>
      <c r="D38" s="1584">
        <f>+'Tesorería 0'!N27</f>
        <v>18362.959468393696</v>
      </c>
      <c r="E38" s="1585">
        <f t="shared" si="23"/>
        <v>9.1814797341968397</v>
      </c>
      <c r="F38" s="1584">
        <f>+'Tesorería 1'!N27</f>
        <v>36526.489964217515</v>
      </c>
      <c r="G38" s="1585">
        <f t="shared" si="24"/>
        <v>18.263244982108759</v>
      </c>
      <c r="H38" s="1584">
        <f>+'Tesorería 2'!N27</f>
        <v>58084.442860921285</v>
      </c>
      <c r="I38" s="1585">
        <f>H38/H$46</f>
        <v>29.042221430460749</v>
      </c>
      <c r="J38" s="1584">
        <f>+'Tesorería 3'!N27</f>
        <v>81855.464496597284</v>
      </c>
      <c r="K38" s="1585">
        <f t="shared" si="21"/>
        <v>40.927732248298938</v>
      </c>
      <c r="L38" s="1584">
        <f>+'Tesorería 4'!N27</f>
        <v>108025.72349256522</v>
      </c>
      <c r="M38" s="1586">
        <f t="shared" si="22"/>
        <v>54.012861746283001</v>
      </c>
      <c r="N38" s="475"/>
    </row>
    <row r="39" spans="1:14" x14ac:dyDescent="0.3">
      <c r="A39" s="1613" t="s">
        <v>979</v>
      </c>
      <c r="B39" s="1584">
        <f>'Financiación Inicial'!B26</f>
        <v>0</v>
      </c>
      <c r="C39" s="1585" t="e">
        <f t="shared" si="19"/>
        <v>#DIV/0!</v>
      </c>
      <c r="D39" s="1584">
        <f>B39+'Cobros y pagos 0'!S55-'Otros cobros y pagos'!N69</f>
        <v>0</v>
      </c>
      <c r="E39" s="1585">
        <f t="shared" si="23"/>
        <v>0</v>
      </c>
      <c r="F39" s="1584">
        <f>'Cobros y pagos 1'!S55</f>
        <v>0</v>
      </c>
      <c r="G39" s="1585">
        <f t="shared" si="24"/>
        <v>0</v>
      </c>
      <c r="H39" s="1584">
        <f>'Cobros y pagos 2'!S55</f>
        <v>0</v>
      </c>
      <c r="I39" s="1585">
        <f t="shared" si="20"/>
        <v>0</v>
      </c>
      <c r="J39" s="1584">
        <f>'Cobros y pagos 3'!S55</f>
        <v>0</v>
      </c>
      <c r="K39" s="1585">
        <f t="shared" si="21"/>
        <v>0</v>
      </c>
      <c r="L39" s="1584">
        <f>'Cobros y pagos 4'!S55</f>
        <v>0</v>
      </c>
      <c r="M39" s="1586">
        <f t="shared" si="22"/>
        <v>0</v>
      </c>
      <c r="N39" s="475"/>
    </row>
    <row r="40" spans="1:14" x14ac:dyDescent="0.3">
      <c r="A40" s="1613" t="s">
        <v>994</v>
      </c>
      <c r="B40" s="1584">
        <f>'Financiación Inicial'!B27</f>
        <v>0</v>
      </c>
      <c r="C40" s="1585" t="e">
        <f t="shared" si="19"/>
        <v>#DIV/0!</v>
      </c>
      <c r="D40" s="1584">
        <f>+'IVA 0'!$O$24</f>
        <v>0</v>
      </c>
      <c r="E40" s="1585">
        <f t="shared" si="23"/>
        <v>0</v>
      </c>
      <c r="F40" s="1584">
        <f>+'IVA 1'!$O$24</f>
        <v>0</v>
      </c>
      <c r="G40" s="1585">
        <f t="shared" si="24"/>
        <v>0</v>
      </c>
      <c r="H40" s="1584">
        <f>+'IVA 2'!$O$24</f>
        <v>0</v>
      </c>
      <c r="I40" s="1585">
        <f t="shared" si="20"/>
        <v>0</v>
      </c>
      <c r="J40" s="1584">
        <f>+'IVA 3'!$O$24</f>
        <v>0</v>
      </c>
      <c r="K40" s="1585">
        <f t="shared" si="21"/>
        <v>0</v>
      </c>
      <c r="L40" s="1584">
        <f>+'IVA 4'!$O$24</f>
        <v>0</v>
      </c>
      <c r="M40" s="1586">
        <f t="shared" si="22"/>
        <v>0</v>
      </c>
      <c r="N40" s="475"/>
    </row>
    <row r="41" spans="1:14" x14ac:dyDescent="0.3">
      <c r="A41" s="1613" t="s">
        <v>115</v>
      </c>
      <c r="B41" s="1584">
        <v>0</v>
      </c>
      <c r="C41" s="1585" t="e">
        <f t="shared" si="19"/>
        <v>#DIV/0!</v>
      </c>
      <c r="D41" s="1584">
        <f>Imp.Sociedades!B18
+'Ret IRPF'!N13
+IF('IRPF Prof y Autónomos'!K26&gt;0,'IRPF Prof y Autónomos'!K26*'IRPF Prof y Autónomos'!K19,0)</f>
        <v>0</v>
      </c>
      <c r="E41" s="1585">
        <f t="shared" si="23"/>
        <v>0</v>
      </c>
      <c r="F41" s="1584">
        <f>Imp.Sociedades!D18
+'Ret IRPF'!N22
+IF('IRPF Prof y Autónomos'!L26&gt;0,'IRPF Prof y Autónomos'!L26*'IRPF Prof y Autónomos'!L19,0)</f>
        <v>0</v>
      </c>
      <c r="G41" s="1585">
        <f t="shared" si="24"/>
        <v>0</v>
      </c>
      <c r="H41" s="1584">
        <f>Imp.Sociedades!G18
+'Ret IRPF'!N31
+IF('IRPF Prof y Autónomos'!M26&gt;0,'IRPF Prof y Autónomos'!M26*'IRPF Prof y Autónomos'!M19,0)</f>
        <v>0</v>
      </c>
      <c r="I41" s="1585">
        <f t="shared" si="20"/>
        <v>0</v>
      </c>
      <c r="J41" s="1584">
        <f>Imp.Sociedades!J18
+'Ret IRPF'!N40
+IF('IRPF Prof y Autónomos'!N26&gt;0,'IRPF Prof y Autónomos'!N26*'IRPF Prof y Autónomos'!N19,0)</f>
        <v>0</v>
      </c>
      <c r="K41" s="1585">
        <f t="shared" si="21"/>
        <v>0</v>
      </c>
      <c r="L41" s="1584">
        <f>Imp.Sociedades!M18
+'Ret IRPF'!N49
+IF('IRPF Prof y Autónomos'!O26&gt;0,'IRPF Prof y Autónomos'!O26*'IRPF Prof y Autónomos'!O19,0)</f>
        <v>0</v>
      </c>
      <c r="M41" s="1586">
        <f t="shared" si="22"/>
        <v>0</v>
      </c>
      <c r="N41" s="475"/>
    </row>
    <row r="42" spans="1:14" x14ac:dyDescent="0.3">
      <c r="A42" s="1613" t="s">
        <v>884</v>
      </c>
      <c r="B42" s="1584">
        <f>'Financiación Inicial'!B28</f>
        <v>0</v>
      </c>
      <c r="C42" s="1585" t="e">
        <f t="shared" si="19"/>
        <v>#DIV/0!</v>
      </c>
      <c r="D42" s="1584">
        <f>B42</f>
        <v>0</v>
      </c>
      <c r="E42" s="1585">
        <f t="shared" si="23"/>
        <v>0</v>
      </c>
      <c r="F42" s="1584">
        <f>D42</f>
        <v>0</v>
      </c>
      <c r="G42" s="1585">
        <f t="shared" si="24"/>
        <v>0</v>
      </c>
      <c r="H42" s="1584">
        <f>F42</f>
        <v>0</v>
      </c>
      <c r="I42" s="1585">
        <f t="shared" si="20"/>
        <v>0</v>
      </c>
      <c r="J42" s="1584">
        <f>H42</f>
        <v>0</v>
      </c>
      <c r="K42" s="1585">
        <f t="shared" si="21"/>
        <v>0</v>
      </c>
      <c r="L42" s="1584">
        <f>J42</f>
        <v>0</v>
      </c>
      <c r="M42" s="1586">
        <f t="shared" si="22"/>
        <v>0</v>
      </c>
      <c r="N42" s="475"/>
    </row>
    <row r="43" spans="1:14" s="303" customFormat="1" x14ac:dyDescent="0.3">
      <c r="A43" s="1616" t="s">
        <v>896</v>
      </c>
      <c r="B43" s="1595">
        <f>B25+B32</f>
        <v>0</v>
      </c>
      <c r="C43" s="1596" t="e">
        <f t="shared" si="19"/>
        <v>#DIV/0!</v>
      </c>
      <c r="D43" s="1595">
        <f>D25+D32</f>
        <v>-16362.959468393694</v>
      </c>
      <c r="E43" s="1596">
        <f t="shared" si="23"/>
        <v>-8.1814797341968397</v>
      </c>
      <c r="F43" s="1595">
        <f>F25+F32</f>
        <v>-34526.489964217515</v>
      </c>
      <c r="G43" s="1596">
        <f t="shared" si="24"/>
        <v>-17.263244982108759</v>
      </c>
      <c r="H43" s="1595">
        <f>H25+H32</f>
        <v>-56084.442860921292</v>
      </c>
      <c r="I43" s="1596">
        <f t="shared" si="20"/>
        <v>-28.042221430460749</v>
      </c>
      <c r="J43" s="1595">
        <f>J25+J32</f>
        <v>-79855.464496597298</v>
      </c>
      <c r="K43" s="1596">
        <f t="shared" si="21"/>
        <v>-39.927732248298938</v>
      </c>
      <c r="L43" s="1595">
        <f>L25+L32</f>
        <v>-106025.72349256523</v>
      </c>
      <c r="M43" s="1597">
        <f t="shared" si="22"/>
        <v>-53.012861746283001</v>
      </c>
      <c r="N43" s="1114"/>
    </row>
    <row r="44" spans="1:14" s="303" customFormat="1" x14ac:dyDescent="0.3">
      <c r="A44" s="1616" t="s">
        <v>897</v>
      </c>
      <c r="B44" s="1595">
        <f>B32+B36</f>
        <v>0</v>
      </c>
      <c r="C44" s="1596" t="e">
        <f t="shared" si="19"/>
        <v>#DIV/0!</v>
      </c>
      <c r="D44" s="1595">
        <f>D32+D36</f>
        <v>18362.959468393696</v>
      </c>
      <c r="E44" s="1596">
        <f t="shared" si="23"/>
        <v>9.1814797341968397</v>
      </c>
      <c r="F44" s="1595">
        <f>F32+F36</f>
        <v>36526.489964217515</v>
      </c>
      <c r="G44" s="1596">
        <f t="shared" si="24"/>
        <v>18.263244982108759</v>
      </c>
      <c r="H44" s="1595">
        <f>H32+H36</f>
        <v>58084.442860921285</v>
      </c>
      <c r="I44" s="1596">
        <f t="shared" si="20"/>
        <v>29.042221430460749</v>
      </c>
      <c r="J44" s="1595">
        <f>J32+J36</f>
        <v>81855.464496597284</v>
      </c>
      <c r="K44" s="1596">
        <f t="shared" si="21"/>
        <v>40.927732248298938</v>
      </c>
      <c r="L44" s="1595">
        <f>L32+L36</f>
        <v>108025.72349256522</v>
      </c>
      <c r="M44" s="1597">
        <f t="shared" si="22"/>
        <v>54.012861746283001</v>
      </c>
      <c r="N44" s="1114"/>
    </row>
    <row r="45" spans="1:14" s="303" customFormat="1" x14ac:dyDescent="0.3">
      <c r="A45" s="1620"/>
      <c r="B45" s="1595"/>
      <c r="C45" s="1596"/>
      <c r="D45" s="1595"/>
      <c r="E45" s="1596"/>
      <c r="F45" s="1595"/>
      <c r="G45" s="1596"/>
      <c r="H45" s="1595"/>
      <c r="I45" s="1596"/>
      <c r="J45" s="1595"/>
      <c r="K45" s="1596"/>
      <c r="L45" s="1595"/>
      <c r="M45" s="1597"/>
      <c r="N45" s="1114"/>
    </row>
    <row r="46" spans="1:14" ht="20.25" thickBot="1" x14ac:dyDescent="0.35">
      <c r="A46" s="2111" t="s">
        <v>845</v>
      </c>
      <c r="B46" s="2112">
        <f t="shared" ref="B46:I46" si="25">B25+B32+B36</f>
        <v>0</v>
      </c>
      <c r="C46" s="2114" t="e">
        <f t="shared" si="25"/>
        <v>#DIV/0!</v>
      </c>
      <c r="D46" s="2112">
        <f>D25+D32+D36</f>
        <v>2000.0000000000018</v>
      </c>
      <c r="E46" s="2114">
        <f t="shared" si="25"/>
        <v>1</v>
      </c>
      <c r="F46" s="2112">
        <f>F25+F32+F36</f>
        <v>2000</v>
      </c>
      <c r="G46" s="2114">
        <f t="shared" si="25"/>
        <v>1</v>
      </c>
      <c r="H46" s="2112">
        <f t="shared" si="25"/>
        <v>1999.9999999999927</v>
      </c>
      <c r="I46" s="2114">
        <f t="shared" si="25"/>
        <v>1</v>
      </c>
      <c r="J46" s="2112">
        <f>J25+J32+J36</f>
        <v>1999.9999999999854</v>
      </c>
      <c r="K46" s="2114">
        <f>K25+K32+K36</f>
        <v>1</v>
      </c>
      <c r="L46" s="2112">
        <f>L25+L32+L36</f>
        <v>1999.9999999999854</v>
      </c>
      <c r="M46" s="2115">
        <f>M25+M32+M36</f>
        <v>1</v>
      </c>
      <c r="N46" s="1118"/>
    </row>
    <row r="47" spans="1:14" ht="33" customHeight="1" thickBot="1" x14ac:dyDescent="0.35">
      <c r="B47" s="474"/>
      <c r="C47" s="475"/>
      <c r="D47" s="474"/>
      <c r="E47" s="475"/>
      <c r="F47" s="474"/>
      <c r="G47" s="475"/>
      <c r="H47" s="474"/>
      <c r="I47" s="475"/>
      <c r="J47" s="474"/>
      <c r="K47" s="475"/>
      <c r="L47" s="474"/>
      <c r="M47" s="475"/>
      <c r="N47" s="475"/>
    </row>
    <row r="48" spans="1:14" ht="20.25" thickBot="1" x14ac:dyDescent="0.35">
      <c r="A48" s="1552" t="s">
        <v>465</v>
      </c>
      <c r="B48" s="1553">
        <f>B43-B7</f>
        <v>0</v>
      </c>
      <c r="C48" s="1554" t="e">
        <f>B48/B23</f>
        <v>#DIV/0!</v>
      </c>
      <c r="D48" s="1553">
        <f>D43-D7</f>
        <v>-16362.959468393694</v>
      </c>
      <c r="E48" s="1554">
        <f>D48/D23</f>
        <v>-8.1814797341968468</v>
      </c>
      <c r="F48" s="1553">
        <f>F43-F7</f>
        <v>-34526.489964217515</v>
      </c>
      <c r="G48" s="1554">
        <f>F48/F23</f>
        <v>-17.263244982108759</v>
      </c>
      <c r="H48" s="1553">
        <f>H43-H7</f>
        <v>-56084.442860921292</v>
      </c>
      <c r="I48" s="1554">
        <f>H48/H23</f>
        <v>-28.042221430460646</v>
      </c>
      <c r="J48" s="1553">
        <f>J43-J7</f>
        <v>-79855.464496597298</v>
      </c>
      <c r="K48" s="1554">
        <f>J48/J23</f>
        <v>-39.927732248298646</v>
      </c>
      <c r="L48" s="1553">
        <f>L43-L7</f>
        <v>-106025.72349256523</v>
      </c>
      <c r="M48" s="1555">
        <f>L48/L23</f>
        <v>-53.012861746282617</v>
      </c>
      <c r="N48" s="1114"/>
    </row>
    <row r="50" spans="1:12" x14ac:dyDescent="0.3">
      <c r="A50" s="477" t="str">
        <f>'PyG anuales'!A34</f>
        <v/>
      </c>
      <c r="B50" s="478" t="str">
        <f>IF(ABS(B46-B23)&gt;0.01,B46-B23,"")</f>
        <v/>
      </c>
      <c r="D50" s="478" t="str">
        <f>IF(ABS(D46-D23)&gt;0.01,D46-D23,"")</f>
        <v/>
      </c>
      <c r="F50" s="478" t="str">
        <f>IF(ABS(F46-F23)&gt;0.01,F46-F23,"")</f>
        <v/>
      </c>
      <c r="H50" s="478" t="str">
        <f>IF(ABS(H46-H23)&gt;0.01,H46-H23,"")</f>
        <v/>
      </c>
      <c r="J50" s="478" t="str">
        <f>IF(ABS(J46-J23)&gt;0.01,J46-J23,"")</f>
        <v/>
      </c>
      <c r="L50" s="478" t="str">
        <f>IF(ABS(L46-L23)&gt;0.01,L46-L23,"")</f>
        <v/>
      </c>
    </row>
  </sheetData>
  <sheetProtection sheet="1" objects="1" scenarios="1" formatCells="0" formatColumns="0"/>
  <mergeCells count="1">
    <mergeCell ref="L5:M5"/>
  </mergeCells>
  <phoneticPr fontId="13" type="noConversion"/>
  <printOptions horizontalCentered="1"/>
  <pageMargins left="0.78740157480314965" right="0.73" top="0.59055118110236227" bottom="0.5" header="0" footer="0.31496062992125984"/>
  <pageSetup paperSize="9" scale="56" orientation="landscape" horizontalDpi="300" verticalDpi="300" r:id="rId1"/>
  <headerFooter alignWithMargins="0">
    <oddFooter>&amp;A</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2">
    <tabColor rgb="FF7CC9D0"/>
    <pageSetUpPr fitToPage="1"/>
  </sheetPr>
  <dimension ref="A1:T100"/>
  <sheetViews>
    <sheetView showGridLines="0" workbookViewId="0"/>
  </sheetViews>
  <sheetFormatPr baseColWidth="10" defaultRowHeight="15" x14ac:dyDescent="0.25"/>
  <cols>
    <col min="1" max="1" width="24.125" style="305" customWidth="1"/>
    <col min="2" max="2" width="13.875" style="445" bestFit="1" customWidth="1"/>
    <col min="3" max="3" width="13" style="446" customWidth="1"/>
    <col min="4" max="4" width="9.25" style="446" bestFit="1" customWidth="1"/>
    <col min="5" max="5" width="10.125" style="446" bestFit="1" customWidth="1"/>
    <col min="6" max="6" width="9.375" style="446" customWidth="1"/>
    <col min="7" max="7" width="10.125" style="446" bestFit="1" customWidth="1"/>
    <col min="8" max="8" width="9.625" style="446" customWidth="1"/>
    <col min="9" max="9" width="10.25" style="446" bestFit="1" customWidth="1"/>
    <col min="10" max="10" width="12.125" style="446" bestFit="1" customWidth="1"/>
    <col min="11" max="11" width="9.375" style="446" customWidth="1"/>
    <col min="12" max="13" width="9.125" style="446" customWidth="1"/>
    <col min="14" max="14" width="8.75" style="446" customWidth="1"/>
    <col min="15" max="15" width="12.875" style="305" customWidth="1"/>
    <col min="16" max="16384" width="11" style="446"/>
  </cols>
  <sheetData>
    <row r="1" spans="1:15" ht="24.75" x14ac:dyDescent="0.4">
      <c r="A1" s="449" t="s">
        <v>276</v>
      </c>
      <c r="E1" s="887">
        <f>'Datos Básicos'!B17</f>
        <v>2026</v>
      </c>
    </row>
    <row r="2" spans="1:15" ht="27.75" x14ac:dyDescent="0.45">
      <c r="A2" s="408">
        <f>'Datos Básicos'!B8</f>
        <v>0</v>
      </c>
    </row>
    <row r="3" spans="1:15" ht="14.25" customHeight="1" thickBot="1" x14ac:dyDescent="0.5">
      <c r="A3" s="408"/>
    </row>
    <row r="4" spans="1:15" s="445" customFormat="1" ht="15.75" thickBot="1" x14ac:dyDescent="0.3">
      <c r="A4" s="888" t="s">
        <v>51</v>
      </c>
      <c r="B4" s="889" t="str">
        <f>'Datos Gastos Fijos'!D7</f>
        <v>enero</v>
      </c>
      <c r="C4" s="890" t="str">
        <f>'Datos Gastos Fijos'!E7</f>
        <v>febrero</v>
      </c>
      <c r="D4" s="890" t="str">
        <f>'Datos Gastos Fijos'!F7</f>
        <v>marzo</v>
      </c>
      <c r="E4" s="890" t="str">
        <f>'Datos Gastos Fijos'!G7</f>
        <v>abril</v>
      </c>
      <c r="F4" s="890" t="str">
        <f>'Datos Gastos Fijos'!H7</f>
        <v>mayo</v>
      </c>
      <c r="G4" s="890" t="str">
        <f>'Datos Gastos Fijos'!I7</f>
        <v>junio</v>
      </c>
      <c r="H4" s="890" t="str">
        <f>'Datos Gastos Fijos'!J7</f>
        <v>julio</v>
      </c>
      <c r="I4" s="890" t="str">
        <f>'Datos Gastos Fijos'!K7</f>
        <v>agosto</v>
      </c>
      <c r="J4" s="890" t="str">
        <f>'Datos Gastos Fijos'!L7</f>
        <v>septiembre</v>
      </c>
      <c r="K4" s="890" t="str">
        <f>'Datos Gastos Fijos'!M7</f>
        <v>octubre</v>
      </c>
      <c r="L4" s="890" t="str">
        <f>'Datos Gastos Fijos'!N7</f>
        <v>noviembre</v>
      </c>
      <c r="M4" s="890" t="str">
        <f>'Datos Gastos Fijos'!O7</f>
        <v>diciembre</v>
      </c>
      <c r="N4" s="891" t="s">
        <v>865</v>
      </c>
    </row>
    <row r="5" spans="1:15" ht="15.75" customHeight="1" x14ac:dyDescent="0.25">
      <c r="A5" s="465" t="str">
        <f>IF(Parametros!A24="","",Parametros!A24)</f>
        <v/>
      </c>
      <c r="B5" s="959">
        <f>IF(COLUMN(B$4)&lt;=mes0,0,'Estimacion Ventas'!B12)</f>
        <v>0</v>
      </c>
      <c r="C5" s="959">
        <f>IF(COLUMN(C$4)&lt;=mes0,0,'Estimacion Ventas'!C12)</f>
        <v>0</v>
      </c>
      <c r="D5" s="959">
        <f>IF(COLUMN(D$4)&lt;=mes0,0,'Estimacion Ventas'!D12)</f>
        <v>0</v>
      </c>
      <c r="E5" s="959">
        <f>IF(COLUMN(E$4)&lt;=mes0,0,'Estimacion Ventas'!E12)</f>
        <v>0</v>
      </c>
      <c r="F5" s="959">
        <f>IF(COLUMN(F$4)&lt;=mes0,0,'Estimacion Ventas'!F12)</f>
        <v>0</v>
      </c>
      <c r="G5" s="959">
        <f>IF(COLUMN(G$4)&lt;=mes0,0,'Estimacion Ventas'!G12)</f>
        <v>0</v>
      </c>
      <c r="H5" s="959">
        <f>IF(COLUMN(H$4)&lt;=mes0,0,'Estimacion Ventas'!H12)</f>
        <v>0</v>
      </c>
      <c r="I5" s="959">
        <f>IF(COLUMN(I$4)&lt;=mes0,0,'Estimacion Ventas'!I12)</f>
        <v>0</v>
      </c>
      <c r="J5" s="959">
        <f>IF(COLUMN(J$4)&lt;=mes0,0,'Estimacion Ventas'!J12)</f>
        <v>0</v>
      </c>
      <c r="K5" s="959">
        <f>IF(COLUMN(K$4)&lt;=mes0,0,'Estimacion Ventas'!K12)</f>
        <v>0</v>
      </c>
      <c r="L5" s="959">
        <f>IF(COLUMN(L$4)&lt;=mes0,0,'Estimacion Ventas'!L12)</f>
        <v>0</v>
      </c>
      <c r="M5" s="959">
        <f>IF(COLUMN(M$4)&lt;=mes0,0,'Estimacion Ventas'!M12)</f>
        <v>0</v>
      </c>
      <c r="N5" s="994">
        <f t="shared" ref="N5:N12" si="0">SUM(B5:M5)</f>
        <v>0</v>
      </c>
      <c r="O5" s="446"/>
    </row>
    <row r="6" spans="1:15" ht="15.75" x14ac:dyDescent="0.25">
      <c r="A6" s="466" t="str">
        <f>IF(Parametros!A25="","",Parametros!A25)</f>
        <v/>
      </c>
      <c r="B6" s="961">
        <f>IF(COLUMN(B$4)&lt;=mes0,0,'Estimacion Ventas'!B13)</f>
        <v>0</v>
      </c>
      <c r="C6" s="961">
        <f>IF(COLUMN(C$4)&lt;=mes0,0,'Estimacion Ventas'!C13)</f>
        <v>0</v>
      </c>
      <c r="D6" s="961">
        <f>IF(COLUMN(D$4)&lt;=mes0,0,'Estimacion Ventas'!D13)</f>
        <v>0</v>
      </c>
      <c r="E6" s="961">
        <f>IF(COLUMN(E$4)&lt;=mes0,0,'Estimacion Ventas'!E13)</f>
        <v>0</v>
      </c>
      <c r="F6" s="961">
        <f>IF(COLUMN(F$4)&lt;=mes0,0,'Estimacion Ventas'!F13)</f>
        <v>0</v>
      </c>
      <c r="G6" s="961">
        <f>IF(COLUMN(G$4)&lt;=mes0,0,'Estimacion Ventas'!G13)</f>
        <v>0</v>
      </c>
      <c r="H6" s="961">
        <f>IF(COLUMN(H$4)&lt;=mes0,0,'Estimacion Ventas'!H13)</f>
        <v>0</v>
      </c>
      <c r="I6" s="961">
        <f>IF(COLUMN(I$4)&lt;=mes0,0,'Estimacion Ventas'!I13)</f>
        <v>0</v>
      </c>
      <c r="J6" s="961">
        <f>IF(COLUMN(J$4)&lt;=mes0,0,'Estimacion Ventas'!J13)</f>
        <v>0</v>
      </c>
      <c r="K6" s="961">
        <f>IF(COLUMN(K$4)&lt;=mes0,0,'Estimacion Ventas'!K13)</f>
        <v>0</v>
      </c>
      <c r="L6" s="961">
        <f>IF(COLUMN(L$4)&lt;=mes0,0,'Estimacion Ventas'!L13)</f>
        <v>0</v>
      </c>
      <c r="M6" s="961">
        <f>IF(COLUMN(M$4)&lt;=mes0,0,'Estimacion Ventas'!M13)</f>
        <v>0</v>
      </c>
      <c r="N6" s="995">
        <f t="shared" si="0"/>
        <v>0</v>
      </c>
      <c r="O6" s="446"/>
    </row>
    <row r="7" spans="1:15" ht="15.75" x14ac:dyDescent="0.25">
      <c r="A7" s="466" t="str">
        <f>IF(Parametros!A26="","",Parametros!A26)</f>
        <v/>
      </c>
      <c r="B7" s="961">
        <f>IF(COLUMN(B$4)&lt;=mes0,0,'Estimacion Ventas'!B14)</f>
        <v>0</v>
      </c>
      <c r="C7" s="961">
        <f>IF(COLUMN(C$4)&lt;=mes0,0,'Estimacion Ventas'!C14)</f>
        <v>0</v>
      </c>
      <c r="D7" s="961">
        <f>IF(COLUMN(D$4)&lt;=mes0,0,'Estimacion Ventas'!D14)</f>
        <v>0</v>
      </c>
      <c r="E7" s="961">
        <f>IF(COLUMN(E$4)&lt;=mes0,0,'Estimacion Ventas'!E14)</f>
        <v>0</v>
      </c>
      <c r="F7" s="961">
        <f>IF(COLUMN(F$4)&lt;=mes0,0,'Estimacion Ventas'!F14)</f>
        <v>0</v>
      </c>
      <c r="G7" s="961">
        <f>IF(COLUMN(G$4)&lt;=mes0,0,'Estimacion Ventas'!G14)</f>
        <v>0</v>
      </c>
      <c r="H7" s="961">
        <f>IF(COLUMN(H$4)&lt;=mes0,0,'Estimacion Ventas'!H14)</f>
        <v>0</v>
      </c>
      <c r="I7" s="961">
        <f>IF(COLUMN(I$4)&lt;=mes0,0,'Estimacion Ventas'!I14)</f>
        <v>0</v>
      </c>
      <c r="J7" s="961">
        <f>IF(COLUMN(J$4)&lt;=mes0,0,'Estimacion Ventas'!J14)</f>
        <v>0</v>
      </c>
      <c r="K7" s="961">
        <f>IF(COLUMN(K$4)&lt;=mes0,0,'Estimacion Ventas'!K14)</f>
        <v>0</v>
      </c>
      <c r="L7" s="961">
        <f>IF(COLUMN(L$4)&lt;=mes0,0,'Estimacion Ventas'!L14)</f>
        <v>0</v>
      </c>
      <c r="M7" s="961">
        <f>IF(COLUMN(M$4)&lt;=mes0,0,'Estimacion Ventas'!M14)</f>
        <v>0</v>
      </c>
      <c r="N7" s="995">
        <f t="shared" si="0"/>
        <v>0</v>
      </c>
      <c r="O7" s="446"/>
    </row>
    <row r="8" spans="1:15" ht="15.75" x14ac:dyDescent="0.25">
      <c r="A8" s="466" t="str">
        <f>IF(Parametros!A27="","",Parametros!A27)</f>
        <v/>
      </c>
      <c r="B8" s="961">
        <f>IF(COLUMN(B$4)&lt;=mes0,0,'Estimacion Ventas'!B15)</f>
        <v>0</v>
      </c>
      <c r="C8" s="961">
        <f>IF(COLUMN(C$4)&lt;=mes0,0,'Estimacion Ventas'!C15)</f>
        <v>0</v>
      </c>
      <c r="D8" s="961">
        <f>IF(COLUMN(D$4)&lt;=mes0,0,'Estimacion Ventas'!D15)</f>
        <v>0</v>
      </c>
      <c r="E8" s="961">
        <f>IF(COLUMN(E$4)&lt;=mes0,0,'Estimacion Ventas'!E15)</f>
        <v>0</v>
      </c>
      <c r="F8" s="961">
        <f>IF(COLUMN(F$4)&lt;=mes0,0,'Estimacion Ventas'!F15)</f>
        <v>0</v>
      </c>
      <c r="G8" s="961">
        <f>IF(COLUMN(G$4)&lt;=mes0,0,'Estimacion Ventas'!G15)</f>
        <v>0</v>
      </c>
      <c r="H8" s="961">
        <f>IF(COLUMN(H$4)&lt;=mes0,0,'Estimacion Ventas'!H15)</f>
        <v>0</v>
      </c>
      <c r="I8" s="961">
        <f>IF(COLUMN(I$4)&lt;=mes0,0,'Estimacion Ventas'!I15)</f>
        <v>0</v>
      </c>
      <c r="J8" s="961">
        <f>IF(COLUMN(J$4)&lt;=mes0,0,'Estimacion Ventas'!J15)</f>
        <v>0</v>
      </c>
      <c r="K8" s="961">
        <f>IF(COLUMN(K$4)&lt;=mes0,0,'Estimacion Ventas'!K15)</f>
        <v>0</v>
      </c>
      <c r="L8" s="961">
        <f>IF(COLUMN(L$4)&lt;=mes0,0,'Estimacion Ventas'!L15)</f>
        <v>0</v>
      </c>
      <c r="M8" s="961">
        <f>IF(COLUMN(M$4)&lt;=mes0,0,'Estimacion Ventas'!M15)</f>
        <v>0</v>
      </c>
      <c r="N8" s="995">
        <f t="shared" si="0"/>
        <v>0</v>
      </c>
      <c r="O8" s="446"/>
    </row>
    <row r="9" spans="1:15" ht="15.75" x14ac:dyDescent="0.25">
      <c r="A9" s="466" t="str">
        <f>IF(Parametros!A28="","",Parametros!A28)</f>
        <v/>
      </c>
      <c r="B9" s="961">
        <f>IF(COLUMN(B$4)&lt;=mes0,0,'Estimacion Ventas'!B16)</f>
        <v>0</v>
      </c>
      <c r="C9" s="961">
        <f>IF(COLUMN(C$4)&lt;=mes0,0,'Estimacion Ventas'!C16)</f>
        <v>0</v>
      </c>
      <c r="D9" s="961">
        <f>IF(COLUMN(D$4)&lt;=mes0,0,'Estimacion Ventas'!D16)</f>
        <v>0</v>
      </c>
      <c r="E9" s="961">
        <f>IF(COLUMN(E$4)&lt;=mes0,0,'Estimacion Ventas'!E16)</f>
        <v>0</v>
      </c>
      <c r="F9" s="961">
        <f>IF(COLUMN(F$4)&lt;=mes0,0,'Estimacion Ventas'!F16)</f>
        <v>0</v>
      </c>
      <c r="G9" s="961">
        <f>IF(COLUMN(G$4)&lt;=mes0,0,'Estimacion Ventas'!G16)</f>
        <v>0</v>
      </c>
      <c r="H9" s="961">
        <f>IF(COLUMN(H$4)&lt;=mes0,0,'Estimacion Ventas'!H16)</f>
        <v>0</v>
      </c>
      <c r="I9" s="961">
        <f>IF(COLUMN(I$4)&lt;=mes0,0,'Estimacion Ventas'!I16)</f>
        <v>0</v>
      </c>
      <c r="J9" s="961">
        <f>IF(COLUMN(J$4)&lt;=mes0,0,'Estimacion Ventas'!J16)</f>
        <v>0</v>
      </c>
      <c r="K9" s="961">
        <f>IF(COLUMN(K$4)&lt;=mes0,0,'Estimacion Ventas'!K16)</f>
        <v>0</v>
      </c>
      <c r="L9" s="961">
        <f>IF(COLUMN(L$4)&lt;=mes0,0,'Estimacion Ventas'!L16)</f>
        <v>0</v>
      </c>
      <c r="M9" s="961">
        <f>IF(COLUMN(M$4)&lt;=mes0,0,'Estimacion Ventas'!M16)</f>
        <v>0</v>
      </c>
      <c r="N9" s="995">
        <f t="shared" si="0"/>
        <v>0</v>
      </c>
      <c r="O9" s="446"/>
    </row>
    <row r="10" spans="1:15" ht="15.75" x14ac:dyDescent="0.25">
      <c r="A10" s="466" t="str">
        <f>IF(Parametros!A29="","",Parametros!A29)</f>
        <v/>
      </c>
      <c r="B10" s="961">
        <f>IF(COLUMN(B$4)&lt;=mes0,0,'Estimacion Ventas'!B17)</f>
        <v>0</v>
      </c>
      <c r="C10" s="961">
        <f>IF(COLUMN(C$4)&lt;=mes0,0,'Estimacion Ventas'!C17)</f>
        <v>0</v>
      </c>
      <c r="D10" s="961">
        <f>IF(COLUMN(D$4)&lt;=mes0,0,'Estimacion Ventas'!D17)</f>
        <v>0</v>
      </c>
      <c r="E10" s="961">
        <f>IF(COLUMN(E$4)&lt;=mes0,0,'Estimacion Ventas'!E17)</f>
        <v>0</v>
      </c>
      <c r="F10" s="961">
        <f>IF(COLUMN(F$4)&lt;=mes0,0,'Estimacion Ventas'!F17)</f>
        <v>0</v>
      </c>
      <c r="G10" s="961">
        <f>IF(COLUMN(G$4)&lt;=mes0,0,'Estimacion Ventas'!G17)</f>
        <v>0</v>
      </c>
      <c r="H10" s="961">
        <f>IF(COLUMN(H$4)&lt;=mes0,0,'Estimacion Ventas'!H17)</f>
        <v>0</v>
      </c>
      <c r="I10" s="961">
        <f>IF(COLUMN(I$4)&lt;=mes0,0,'Estimacion Ventas'!I17)</f>
        <v>0</v>
      </c>
      <c r="J10" s="961">
        <f>IF(COLUMN(J$4)&lt;=mes0,0,'Estimacion Ventas'!J17)</f>
        <v>0</v>
      </c>
      <c r="K10" s="961">
        <f>IF(COLUMN(K$4)&lt;=mes0,0,'Estimacion Ventas'!K17)</f>
        <v>0</v>
      </c>
      <c r="L10" s="961">
        <f>IF(COLUMN(L$4)&lt;=mes0,0,'Estimacion Ventas'!L17)</f>
        <v>0</v>
      </c>
      <c r="M10" s="961">
        <f>IF(COLUMN(M$4)&lt;=mes0,0,'Estimacion Ventas'!M17)</f>
        <v>0</v>
      </c>
      <c r="N10" s="995">
        <f t="shared" si="0"/>
        <v>0</v>
      </c>
      <c r="O10" s="446"/>
    </row>
    <row r="11" spans="1:15" ht="15.75" x14ac:dyDescent="0.25">
      <c r="A11" s="466" t="str">
        <f>IF(Parametros!A30="","",Parametros!A30)</f>
        <v/>
      </c>
      <c r="B11" s="961">
        <f>IF(COLUMN(B$4)&lt;=mes0,0,'Estimacion Ventas'!B18)</f>
        <v>0</v>
      </c>
      <c r="C11" s="961">
        <f>IF(COLUMN(C$4)&lt;=mes0,0,'Estimacion Ventas'!C18)</f>
        <v>0</v>
      </c>
      <c r="D11" s="961">
        <f>IF(COLUMN(D$4)&lt;=mes0,0,'Estimacion Ventas'!D18)</f>
        <v>0</v>
      </c>
      <c r="E11" s="961">
        <f>IF(COLUMN(E$4)&lt;=mes0,0,'Estimacion Ventas'!E18)</f>
        <v>0</v>
      </c>
      <c r="F11" s="961">
        <f>IF(COLUMN(F$4)&lt;=mes0,0,'Estimacion Ventas'!F18)</f>
        <v>0</v>
      </c>
      <c r="G11" s="961">
        <f>IF(COLUMN(G$4)&lt;=mes0,0,'Estimacion Ventas'!G18)</f>
        <v>0</v>
      </c>
      <c r="H11" s="961">
        <f>IF(COLUMN(H$4)&lt;=mes0,0,'Estimacion Ventas'!H18)</f>
        <v>0</v>
      </c>
      <c r="I11" s="961">
        <f>IF(COLUMN(I$4)&lt;=mes0,0,'Estimacion Ventas'!I18)</f>
        <v>0</v>
      </c>
      <c r="J11" s="961">
        <f>IF(COLUMN(J$4)&lt;=mes0,0,'Estimacion Ventas'!J18)</f>
        <v>0</v>
      </c>
      <c r="K11" s="961">
        <f>IF(COLUMN(K$4)&lt;=mes0,0,'Estimacion Ventas'!K18)</f>
        <v>0</v>
      </c>
      <c r="L11" s="961">
        <f>IF(COLUMN(L$4)&lt;=mes0,0,'Estimacion Ventas'!L18)</f>
        <v>0</v>
      </c>
      <c r="M11" s="961">
        <f>IF(COLUMN(M$4)&lt;=mes0,0,'Estimacion Ventas'!M18)</f>
        <v>0</v>
      </c>
      <c r="N11" s="995">
        <f t="shared" si="0"/>
        <v>0</v>
      </c>
      <c r="O11" s="446"/>
    </row>
    <row r="12" spans="1:15" ht="16.5" thickBot="1" x14ac:dyDescent="0.3">
      <c r="A12" s="892" t="str">
        <f>IF(Parametros!A31="","",Parametros!A31)</f>
        <v/>
      </c>
      <c r="B12" s="963">
        <f>IF(COLUMN(B$4)&lt;=mes0,0,'Estimacion Ventas'!B19)</f>
        <v>0</v>
      </c>
      <c r="C12" s="963">
        <f>IF(COLUMN(C$4)&lt;=mes0,0,'Estimacion Ventas'!C19)</f>
        <v>0</v>
      </c>
      <c r="D12" s="963">
        <f>IF(COLUMN(D$4)&lt;=mes0,0,'Estimacion Ventas'!D19)</f>
        <v>0</v>
      </c>
      <c r="E12" s="963">
        <f>IF(COLUMN(E$4)&lt;=mes0,0,'Estimacion Ventas'!E19)</f>
        <v>0</v>
      </c>
      <c r="F12" s="963">
        <f>IF(COLUMN(F$4)&lt;=mes0,0,'Estimacion Ventas'!F19)</f>
        <v>0</v>
      </c>
      <c r="G12" s="963">
        <f>IF(COLUMN(G$4)&lt;=mes0,0,'Estimacion Ventas'!G19)</f>
        <v>0</v>
      </c>
      <c r="H12" s="963">
        <f>IF(COLUMN(H$4)&lt;=mes0,0,'Estimacion Ventas'!H19)</f>
        <v>0</v>
      </c>
      <c r="I12" s="963">
        <f>IF(COLUMN(I$4)&lt;=mes0,0,'Estimacion Ventas'!I19)</f>
        <v>0</v>
      </c>
      <c r="J12" s="963">
        <f>IF(COLUMN(J$4)&lt;=mes0,0,'Estimacion Ventas'!J19)</f>
        <v>0</v>
      </c>
      <c r="K12" s="963">
        <f>IF(COLUMN(K$4)&lt;=mes0,0,'Estimacion Ventas'!K19)</f>
        <v>0</v>
      </c>
      <c r="L12" s="963">
        <f>IF(COLUMN(L$4)&lt;=mes0,0,'Estimacion Ventas'!L19)</f>
        <v>0</v>
      </c>
      <c r="M12" s="963">
        <f>IF(COLUMN(M$4)&lt;=mes0,0,'Estimacion Ventas'!M19)</f>
        <v>0</v>
      </c>
      <c r="N12" s="996">
        <f t="shared" si="0"/>
        <v>0</v>
      </c>
      <c r="O12" s="446"/>
    </row>
    <row r="13" spans="1:15" ht="17.25" x14ac:dyDescent="0.3">
      <c r="A13" s="398"/>
      <c r="B13" s="1012">
        <v>1</v>
      </c>
      <c r="C13" s="1012">
        <v>2</v>
      </c>
      <c r="D13" s="1012">
        <v>3</v>
      </c>
      <c r="E13" s="1012">
        <v>4</v>
      </c>
      <c r="F13" s="1012">
        <v>5</v>
      </c>
      <c r="G13" s="1012">
        <v>6</v>
      </c>
      <c r="H13" s="1012">
        <v>7</v>
      </c>
      <c r="I13" s="1012">
        <v>8</v>
      </c>
      <c r="J13" s="1012">
        <v>9</v>
      </c>
      <c r="K13" s="1012">
        <v>10</v>
      </c>
      <c r="L13" s="1012">
        <v>11</v>
      </c>
      <c r="M13" s="1012">
        <v>12</v>
      </c>
    </row>
    <row r="15" spans="1:15" ht="18" thickBot="1" x14ac:dyDescent="0.35">
      <c r="A15" s="450"/>
    </row>
    <row r="16" spans="1:15" ht="15.75" thickBot="1" x14ac:dyDescent="0.3">
      <c r="A16" s="888" t="str">
        <f>CONCATENATE("Ventas (",Moneda,")")</f>
        <v>Ventas (Euros)</v>
      </c>
      <c r="B16" s="889" t="str">
        <f t="shared" ref="B16:M16" si="1">B$4</f>
        <v>enero</v>
      </c>
      <c r="C16" s="890" t="str">
        <f t="shared" si="1"/>
        <v>febrero</v>
      </c>
      <c r="D16" s="890" t="str">
        <f t="shared" si="1"/>
        <v>marzo</v>
      </c>
      <c r="E16" s="890" t="str">
        <f t="shared" si="1"/>
        <v>abril</v>
      </c>
      <c r="F16" s="890" t="str">
        <f t="shared" si="1"/>
        <v>mayo</v>
      </c>
      <c r="G16" s="890" t="str">
        <f t="shared" si="1"/>
        <v>junio</v>
      </c>
      <c r="H16" s="890" t="str">
        <f t="shared" si="1"/>
        <v>julio</v>
      </c>
      <c r="I16" s="890" t="str">
        <f t="shared" si="1"/>
        <v>agosto</v>
      </c>
      <c r="J16" s="890" t="str">
        <f t="shared" si="1"/>
        <v>septiembre</v>
      </c>
      <c r="K16" s="890" t="str">
        <f t="shared" si="1"/>
        <v>octubre</v>
      </c>
      <c r="L16" s="890" t="str">
        <f t="shared" si="1"/>
        <v>noviembre</v>
      </c>
      <c r="M16" s="890" t="str">
        <f t="shared" si="1"/>
        <v>diciembre</v>
      </c>
      <c r="N16" s="891" t="s">
        <v>865</v>
      </c>
      <c r="O16" s="446"/>
    </row>
    <row r="17" spans="1:15" ht="15.75" x14ac:dyDescent="0.25">
      <c r="A17" s="465" t="str">
        <f>IF(Parametros!A24="","",Parametros!A24)</f>
        <v/>
      </c>
      <c r="B17" s="959">
        <f>IF(B5="","",B5*'Precios Venta y P. Cobros'!$B11)</f>
        <v>0</v>
      </c>
      <c r="C17" s="959">
        <f>IF(C5="","",C5*'Precios Venta y P. Cobros'!$B11)</f>
        <v>0</v>
      </c>
      <c r="D17" s="959">
        <f>IF(D5="","",D5*'Precios Venta y P. Cobros'!$B11)</f>
        <v>0</v>
      </c>
      <c r="E17" s="959">
        <f>IF(E5="","",E5*'Precios Venta y P. Cobros'!$B11)</f>
        <v>0</v>
      </c>
      <c r="F17" s="959">
        <f>IF(F5="","",F5*'Precios Venta y P. Cobros'!$B11)</f>
        <v>0</v>
      </c>
      <c r="G17" s="959">
        <f>IF(G5="","",G5*'Precios Venta y P. Cobros'!$B11)</f>
        <v>0</v>
      </c>
      <c r="H17" s="959">
        <f>IF(H5="","",H5*'Precios Venta y P. Cobros'!$B11)</f>
        <v>0</v>
      </c>
      <c r="I17" s="959">
        <f>IF(I5="","",I5*'Precios Venta y P. Cobros'!$B11)</f>
        <v>0</v>
      </c>
      <c r="J17" s="959">
        <f>IF(J5="","",J5*'Precios Venta y P. Cobros'!$B11)</f>
        <v>0</v>
      </c>
      <c r="K17" s="959">
        <f>IF(K5="","",K5*'Precios Venta y P. Cobros'!$B11)</f>
        <v>0</v>
      </c>
      <c r="L17" s="959">
        <f>IF(L5="","",L5*'Precios Venta y P. Cobros'!$B11)</f>
        <v>0</v>
      </c>
      <c r="M17" s="959">
        <f>IF(M5="","",M5*'Precios Venta y P. Cobros'!$B11)</f>
        <v>0</v>
      </c>
      <c r="N17" s="994">
        <f t="shared" ref="N17:N25" si="2">SUM(B17:M17)</f>
        <v>0</v>
      </c>
      <c r="O17" s="446"/>
    </row>
    <row r="18" spans="1:15" ht="15.75" x14ac:dyDescent="0.25">
      <c r="A18" s="466" t="str">
        <f>IF(Parametros!A25="","",Parametros!A25)</f>
        <v/>
      </c>
      <c r="B18" s="961">
        <f>IF(B6="","",B6*'Precios Venta y P. Cobros'!$B12)</f>
        <v>0</v>
      </c>
      <c r="C18" s="961">
        <f>IF(C6="","",C6*'Precios Venta y P. Cobros'!$B12)</f>
        <v>0</v>
      </c>
      <c r="D18" s="961">
        <f>IF(D6="","",D6*'Precios Venta y P. Cobros'!$B12)</f>
        <v>0</v>
      </c>
      <c r="E18" s="961">
        <f>IF(E6="","",E6*'Precios Venta y P. Cobros'!$B12)</f>
        <v>0</v>
      </c>
      <c r="F18" s="961">
        <f>IF(F6="","",F6*'Precios Venta y P. Cobros'!$B12)</f>
        <v>0</v>
      </c>
      <c r="G18" s="961">
        <f>IF(G6="","",G6*'Precios Venta y P. Cobros'!$B12)</f>
        <v>0</v>
      </c>
      <c r="H18" s="961">
        <f>IF(H6="","",H6*'Precios Venta y P. Cobros'!$B12)</f>
        <v>0</v>
      </c>
      <c r="I18" s="961">
        <f>IF(I6="","",I6*'Precios Venta y P. Cobros'!$B12)</f>
        <v>0</v>
      </c>
      <c r="J18" s="961">
        <f>IF(J6="","",J6*'Precios Venta y P. Cobros'!$B12)</f>
        <v>0</v>
      </c>
      <c r="K18" s="961">
        <f>IF(K6="","",K6*'Precios Venta y P. Cobros'!$B12)</f>
        <v>0</v>
      </c>
      <c r="L18" s="961">
        <f>IF(L6="","",L6*'Precios Venta y P. Cobros'!$B12)</f>
        <v>0</v>
      </c>
      <c r="M18" s="961">
        <f>IF(M6="","",M6*'Precios Venta y P. Cobros'!$B12)</f>
        <v>0</v>
      </c>
      <c r="N18" s="995">
        <f t="shared" si="2"/>
        <v>0</v>
      </c>
      <c r="O18" s="446"/>
    </row>
    <row r="19" spans="1:15" ht="15.75" x14ac:dyDescent="0.25">
      <c r="A19" s="466" t="str">
        <f>IF(Parametros!A26="","",Parametros!A26)</f>
        <v/>
      </c>
      <c r="B19" s="961">
        <f>IF(B7="","",B7*'Precios Venta y P. Cobros'!$B13)</f>
        <v>0</v>
      </c>
      <c r="C19" s="961">
        <f>IF(C7="","",C7*'Precios Venta y P. Cobros'!$B13)</f>
        <v>0</v>
      </c>
      <c r="D19" s="961">
        <f>IF(D7="","",D7*'Precios Venta y P. Cobros'!$B13)</f>
        <v>0</v>
      </c>
      <c r="E19" s="961">
        <f>IF(E7="","",E7*'Precios Venta y P. Cobros'!$B13)</f>
        <v>0</v>
      </c>
      <c r="F19" s="961">
        <f>IF(F7="","",F7*'Precios Venta y P. Cobros'!$B13)</f>
        <v>0</v>
      </c>
      <c r="G19" s="961">
        <f>IF(G7="","",G7*'Precios Venta y P. Cobros'!$B13)</f>
        <v>0</v>
      </c>
      <c r="H19" s="961">
        <f>IF(H7="","",H7*'Precios Venta y P. Cobros'!$B13)</f>
        <v>0</v>
      </c>
      <c r="I19" s="961">
        <f>IF(I7="","",I7*'Precios Venta y P. Cobros'!$B13)</f>
        <v>0</v>
      </c>
      <c r="J19" s="961">
        <f>IF(J7="","",J7*'Precios Venta y P. Cobros'!$B13)</f>
        <v>0</v>
      </c>
      <c r="K19" s="961">
        <f>IF(K7="","",K7*'Precios Venta y P. Cobros'!$B13)</f>
        <v>0</v>
      </c>
      <c r="L19" s="961">
        <f>IF(L7="","",L7*'Precios Venta y P. Cobros'!$B13)</f>
        <v>0</v>
      </c>
      <c r="M19" s="961">
        <f>IF(M7="","",M7*'Precios Venta y P. Cobros'!$B13)</f>
        <v>0</v>
      </c>
      <c r="N19" s="995">
        <f t="shared" si="2"/>
        <v>0</v>
      </c>
      <c r="O19" s="446"/>
    </row>
    <row r="20" spans="1:15" ht="15.75" x14ac:dyDescent="0.25">
      <c r="A20" s="466" t="str">
        <f>IF(Parametros!A27="","",Parametros!A27)</f>
        <v/>
      </c>
      <c r="B20" s="961">
        <f>IF(B8="","",B8*'Precios Venta y P. Cobros'!$B14)</f>
        <v>0</v>
      </c>
      <c r="C20" s="961">
        <f>IF(C8="","",C8*'Precios Venta y P. Cobros'!$B14)</f>
        <v>0</v>
      </c>
      <c r="D20" s="961">
        <f>IF(D8="","",D8*'Precios Venta y P. Cobros'!$B14)</f>
        <v>0</v>
      </c>
      <c r="E20" s="961">
        <f>IF(E8="","",E8*'Precios Venta y P. Cobros'!$B14)</f>
        <v>0</v>
      </c>
      <c r="F20" s="961">
        <f>IF(F8="","",F8*'Precios Venta y P. Cobros'!$B14)</f>
        <v>0</v>
      </c>
      <c r="G20" s="961">
        <f>IF(G8="","",G8*'Precios Venta y P. Cobros'!$B14)</f>
        <v>0</v>
      </c>
      <c r="H20" s="961">
        <f>IF(H8="","",H8*'Precios Venta y P. Cobros'!$B14)</f>
        <v>0</v>
      </c>
      <c r="I20" s="961">
        <f>IF(I8="","",I8*'Precios Venta y P. Cobros'!$B14)</f>
        <v>0</v>
      </c>
      <c r="J20" s="961">
        <f>IF(J8="","",J8*'Precios Venta y P. Cobros'!$B14)</f>
        <v>0</v>
      </c>
      <c r="K20" s="961">
        <f>IF(K8="","",K8*'Precios Venta y P. Cobros'!$B14)</f>
        <v>0</v>
      </c>
      <c r="L20" s="961">
        <f>IF(L8="","",L8*'Precios Venta y P. Cobros'!$B14)</f>
        <v>0</v>
      </c>
      <c r="M20" s="961">
        <f>IF(M8="","",M8*'Precios Venta y P. Cobros'!$B14)</f>
        <v>0</v>
      </c>
      <c r="N20" s="995">
        <f t="shared" si="2"/>
        <v>0</v>
      </c>
      <c r="O20" s="446"/>
    </row>
    <row r="21" spans="1:15" ht="15.75" x14ac:dyDescent="0.25">
      <c r="A21" s="466" t="str">
        <f>IF(Parametros!A28="","",Parametros!A28)</f>
        <v/>
      </c>
      <c r="B21" s="961">
        <f>IF(B9="","",B9*'Precios Venta y P. Cobros'!$B15)</f>
        <v>0</v>
      </c>
      <c r="C21" s="961">
        <f>IF(C9="","",C9*'Precios Venta y P. Cobros'!$B15)</f>
        <v>0</v>
      </c>
      <c r="D21" s="961">
        <f>IF(D9="","",D9*'Precios Venta y P. Cobros'!$B15)</f>
        <v>0</v>
      </c>
      <c r="E21" s="961">
        <f>IF(E9="","",E9*'Precios Venta y P. Cobros'!$B15)</f>
        <v>0</v>
      </c>
      <c r="F21" s="961">
        <f>IF(F9="","",F9*'Precios Venta y P. Cobros'!$B15)</f>
        <v>0</v>
      </c>
      <c r="G21" s="961">
        <f>IF(G9="","",G9*'Precios Venta y P. Cobros'!$B15)</f>
        <v>0</v>
      </c>
      <c r="H21" s="961">
        <f>IF(H9="","",H9*'Precios Venta y P. Cobros'!$B15)</f>
        <v>0</v>
      </c>
      <c r="I21" s="961">
        <f>IF(I9="","",I9*'Precios Venta y P. Cobros'!$B15)</f>
        <v>0</v>
      </c>
      <c r="J21" s="961">
        <f>IF(J9="","",J9*'Precios Venta y P. Cobros'!$B15)</f>
        <v>0</v>
      </c>
      <c r="K21" s="961">
        <f>IF(K9="","",K9*'Precios Venta y P. Cobros'!$B15)</f>
        <v>0</v>
      </c>
      <c r="L21" s="961">
        <f>IF(L9="","",L9*'Precios Venta y P. Cobros'!$B15)</f>
        <v>0</v>
      </c>
      <c r="M21" s="961">
        <f>IF(M9="","",M9*'Precios Venta y P. Cobros'!$B15)</f>
        <v>0</v>
      </c>
      <c r="N21" s="995">
        <f t="shared" si="2"/>
        <v>0</v>
      </c>
      <c r="O21" s="446"/>
    </row>
    <row r="22" spans="1:15" ht="15.75" x14ac:dyDescent="0.25">
      <c r="A22" s="466" t="str">
        <f>IF(Parametros!A29="","",Parametros!A29)</f>
        <v/>
      </c>
      <c r="B22" s="961">
        <f>IF(B10="","",B10*'Precios Venta y P. Cobros'!$B16)</f>
        <v>0</v>
      </c>
      <c r="C22" s="961">
        <f>IF(C10="","",C10*'Precios Venta y P. Cobros'!$B16)</f>
        <v>0</v>
      </c>
      <c r="D22" s="961">
        <f>IF(D10="","",D10*'Precios Venta y P. Cobros'!$B16)</f>
        <v>0</v>
      </c>
      <c r="E22" s="961">
        <f>IF(E10="","",E10*'Precios Venta y P. Cobros'!$B16)</f>
        <v>0</v>
      </c>
      <c r="F22" s="961">
        <f>IF(F10="","",F10*'Precios Venta y P. Cobros'!$B16)</f>
        <v>0</v>
      </c>
      <c r="G22" s="961">
        <f>IF(G10="","",G10*'Precios Venta y P. Cobros'!$B16)</f>
        <v>0</v>
      </c>
      <c r="H22" s="961">
        <f>IF(H10="","",H10*'Precios Venta y P. Cobros'!$B16)</f>
        <v>0</v>
      </c>
      <c r="I22" s="961">
        <f>IF(I10="","",I10*'Precios Venta y P. Cobros'!$B16)</f>
        <v>0</v>
      </c>
      <c r="J22" s="961">
        <f>IF(J10="","",J10*'Precios Venta y P. Cobros'!$B16)</f>
        <v>0</v>
      </c>
      <c r="K22" s="961">
        <f>IF(K10="","",K10*'Precios Venta y P. Cobros'!$B16)</f>
        <v>0</v>
      </c>
      <c r="L22" s="961">
        <f>IF(L10="","",L10*'Precios Venta y P. Cobros'!$B16)</f>
        <v>0</v>
      </c>
      <c r="M22" s="961">
        <f>IF(M10="","",M10*'Precios Venta y P. Cobros'!$B16)</f>
        <v>0</v>
      </c>
      <c r="N22" s="995">
        <f t="shared" si="2"/>
        <v>0</v>
      </c>
      <c r="O22" s="446"/>
    </row>
    <row r="23" spans="1:15" ht="15.75" x14ac:dyDescent="0.25">
      <c r="A23" s="466" t="str">
        <f>IF(Parametros!A30="","",Parametros!A30)</f>
        <v/>
      </c>
      <c r="B23" s="961">
        <f>IF(B11="","",B11*'Precios Venta y P. Cobros'!$B17)</f>
        <v>0</v>
      </c>
      <c r="C23" s="961">
        <f>IF(C11="","",C11*'Precios Venta y P. Cobros'!$B17)</f>
        <v>0</v>
      </c>
      <c r="D23" s="961">
        <f>IF(D11="","",D11*'Precios Venta y P. Cobros'!$B17)</f>
        <v>0</v>
      </c>
      <c r="E23" s="961">
        <f>IF(E11="","",E11*'Precios Venta y P. Cobros'!$B17)</f>
        <v>0</v>
      </c>
      <c r="F23" s="961">
        <f>IF(F11="","",F11*'Precios Venta y P. Cobros'!$B17)</f>
        <v>0</v>
      </c>
      <c r="G23" s="961">
        <f>IF(G11="","",G11*'Precios Venta y P. Cobros'!$B17)</f>
        <v>0</v>
      </c>
      <c r="H23" s="961">
        <f>IF(H11="","",H11*'Precios Venta y P. Cobros'!$B17)</f>
        <v>0</v>
      </c>
      <c r="I23" s="961">
        <f>IF(I11="","",I11*'Precios Venta y P. Cobros'!$B17)</f>
        <v>0</v>
      </c>
      <c r="J23" s="961">
        <f>IF(J11="","",J11*'Precios Venta y P. Cobros'!$B17)</f>
        <v>0</v>
      </c>
      <c r="K23" s="961">
        <f>IF(K11="","",K11*'Precios Venta y P. Cobros'!$B17)</f>
        <v>0</v>
      </c>
      <c r="L23" s="961">
        <f>IF(L11="","",L11*'Precios Venta y P. Cobros'!$B17)</f>
        <v>0</v>
      </c>
      <c r="M23" s="961">
        <f>IF(M11="","",M11*'Precios Venta y P. Cobros'!$B17)</f>
        <v>0</v>
      </c>
      <c r="N23" s="995">
        <f t="shared" si="2"/>
        <v>0</v>
      </c>
      <c r="O23" s="446"/>
    </row>
    <row r="24" spans="1:15" ht="16.5" thickBot="1" x14ac:dyDescent="0.3">
      <c r="A24" s="893" t="str">
        <f>IF(Parametros!A31="","",Parametros!A31)</f>
        <v/>
      </c>
      <c r="B24" s="963">
        <f>IF(B12="","",B12*'Precios Venta y P. Cobros'!$B18)</f>
        <v>0</v>
      </c>
      <c r="C24" s="963">
        <f>IF(C12="","",C12*'Precios Venta y P. Cobros'!$B18)</f>
        <v>0</v>
      </c>
      <c r="D24" s="963">
        <f>IF(D12="","",D12*'Precios Venta y P. Cobros'!$B18)</f>
        <v>0</v>
      </c>
      <c r="E24" s="963">
        <f>IF(E12="","",E12*'Precios Venta y P. Cobros'!$B18)</f>
        <v>0</v>
      </c>
      <c r="F24" s="963">
        <f>IF(F12="","",F12*'Precios Venta y P. Cobros'!$B18)</f>
        <v>0</v>
      </c>
      <c r="G24" s="963">
        <f>IF(G12="","",G12*'Precios Venta y P. Cobros'!$B18)</f>
        <v>0</v>
      </c>
      <c r="H24" s="963">
        <f>IF(H12="","",H12*'Precios Venta y P. Cobros'!$B18)</f>
        <v>0</v>
      </c>
      <c r="I24" s="963">
        <f>IF(I12="","",I12*'Precios Venta y P. Cobros'!$B18)</f>
        <v>0</v>
      </c>
      <c r="J24" s="963">
        <f>IF(J12="","",J12*'Precios Venta y P. Cobros'!$B18)</f>
        <v>0</v>
      </c>
      <c r="K24" s="963">
        <f>IF(K12="","",K12*'Precios Venta y P. Cobros'!$B18)</f>
        <v>0</v>
      </c>
      <c r="L24" s="963">
        <f>IF(L12="","",L12*'Precios Venta y P. Cobros'!$B18)</f>
        <v>0</v>
      </c>
      <c r="M24" s="963">
        <f>IF(M12="","",M12*'Precios Venta y P. Cobros'!$B18)</f>
        <v>0</v>
      </c>
      <c r="N24" s="997">
        <f t="shared" si="2"/>
        <v>0</v>
      </c>
      <c r="O24" s="446"/>
    </row>
    <row r="25" spans="1:15" ht="16.5" thickTop="1" thickBot="1" x14ac:dyDescent="0.3">
      <c r="A25" s="467" t="s">
        <v>860</v>
      </c>
      <c r="B25" s="998">
        <f>SUM(B17:B24)</f>
        <v>0</v>
      </c>
      <c r="C25" s="998">
        <f t="shared" ref="C25:M25" si="3">SUM(C17:C24)</f>
        <v>0</v>
      </c>
      <c r="D25" s="998">
        <f t="shared" si="3"/>
        <v>0</v>
      </c>
      <c r="E25" s="998">
        <f t="shared" si="3"/>
        <v>0</v>
      </c>
      <c r="F25" s="998">
        <f t="shared" si="3"/>
        <v>0</v>
      </c>
      <c r="G25" s="998">
        <f t="shared" si="3"/>
        <v>0</v>
      </c>
      <c r="H25" s="998">
        <f t="shared" si="3"/>
        <v>0</v>
      </c>
      <c r="I25" s="998">
        <f t="shared" si="3"/>
        <v>0</v>
      </c>
      <c r="J25" s="998">
        <f t="shared" si="3"/>
        <v>0</v>
      </c>
      <c r="K25" s="998">
        <f t="shared" si="3"/>
        <v>0</v>
      </c>
      <c r="L25" s="998">
        <f t="shared" si="3"/>
        <v>0</v>
      </c>
      <c r="M25" s="999">
        <f t="shared" si="3"/>
        <v>0</v>
      </c>
      <c r="N25" s="1000">
        <f t="shared" si="2"/>
        <v>0</v>
      </c>
      <c r="O25" s="446"/>
    </row>
    <row r="26" spans="1:15" ht="17.25" x14ac:dyDescent="0.3">
      <c r="A26" s="450"/>
    </row>
    <row r="27" spans="1:15" ht="17.25" x14ac:dyDescent="0.3">
      <c r="A27" s="450"/>
    </row>
    <row r="28" spans="1:15" ht="24.75" x14ac:dyDescent="0.4">
      <c r="A28" s="449" t="s">
        <v>316</v>
      </c>
      <c r="F28" s="887">
        <f>$E$1</f>
        <v>2026</v>
      </c>
    </row>
    <row r="29" spans="1:15" ht="28.5" thickBot="1" x14ac:dyDescent="0.5">
      <c r="A29" s="408">
        <f>'Datos Básicos'!B8</f>
        <v>0</v>
      </c>
    </row>
    <row r="30" spans="1:15" ht="17.25" customHeight="1" thickBot="1" x14ac:dyDescent="0.3">
      <c r="A30" s="894" t="s">
        <v>893</v>
      </c>
      <c r="B30" s="890" t="str">
        <f t="shared" ref="B30:M30" si="4">B$4</f>
        <v>enero</v>
      </c>
      <c r="C30" s="890" t="str">
        <f t="shared" si="4"/>
        <v>febrero</v>
      </c>
      <c r="D30" s="890" t="str">
        <f t="shared" si="4"/>
        <v>marzo</v>
      </c>
      <c r="E30" s="890" t="str">
        <f t="shared" si="4"/>
        <v>abril</v>
      </c>
      <c r="F30" s="890" t="str">
        <f t="shared" si="4"/>
        <v>mayo</v>
      </c>
      <c r="G30" s="890" t="str">
        <f t="shared" si="4"/>
        <v>junio</v>
      </c>
      <c r="H30" s="890" t="str">
        <f t="shared" si="4"/>
        <v>julio</v>
      </c>
      <c r="I30" s="890" t="str">
        <f t="shared" si="4"/>
        <v>agosto</v>
      </c>
      <c r="J30" s="890" t="str">
        <f t="shared" si="4"/>
        <v>septiembre</v>
      </c>
      <c r="K30" s="890" t="str">
        <f t="shared" si="4"/>
        <v>octubre</v>
      </c>
      <c r="L30" s="890" t="str">
        <f t="shared" si="4"/>
        <v>noviembre</v>
      </c>
      <c r="M30" s="890" t="str">
        <f t="shared" si="4"/>
        <v>diciembre</v>
      </c>
      <c r="N30" s="891" t="s">
        <v>865</v>
      </c>
      <c r="O30" s="446"/>
    </row>
    <row r="31" spans="1:15" ht="15.75" x14ac:dyDescent="0.25">
      <c r="A31" s="465" t="str">
        <f t="shared" ref="A31:A38" si="5">A5</f>
        <v/>
      </c>
      <c r="B31" s="959">
        <f>IF(B5="","",B5*'Precios-CV'!$B11)</f>
        <v>0</v>
      </c>
      <c r="C31" s="959">
        <f>IF(C5="","",C5*'Precios-CV'!$B11)</f>
        <v>0</v>
      </c>
      <c r="D31" s="959">
        <f>IF(D5="","",D5*'Precios-CV'!$B11)</f>
        <v>0</v>
      </c>
      <c r="E31" s="959">
        <f>IF(E5="","",E5*'Precios-CV'!$B11)</f>
        <v>0</v>
      </c>
      <c r="F31" s="959">
        <f>IF(F5="","",F5*'Precios-CV'!$B11)</f>
        <v>0</v>
      </c>
      <c r="G31" s="959">
        <f>IF(G5="","",G5*'Precios-CV'!$B11)</f>
        <v>0</v>
      </c>
      <c r="H31" s="959">
        <f>IF(H5="","",H5*'Precios-CV'!$B11)</f>
        <v>0</v>
      </c>
      <c r="I31" s="959">
        <f>IF(I5="","",I5*'Precios-CV'!$B11)</f>
        <v>0</v>
      </c>
      <c r="J31" s="959">
        <f>IF(J5="","",J5*'Precios-CV'!$B11)</f>
        <v>0</v>
      </c>
      <c r="K31" s="959">
        <f>IF(K5="","",K5*'Precios-CV'!$B11)</f>
        <v>0</v>
      </c>
      <c r="L31" s="959">
        <f>IF(L5="","",L5*'Precios-CV'!$B11)</f>
        <v>0</v>
      </c>
      <c r="M31" s="959">
        <f>IF(M5="","",M5*'Precios-CV'!$B11)</f>
        <v>0</v>
      </c>
      <c r="N31" s="994">
        <f t="shared" ref="N31:N38" si="6">SUM(B31:M31)</f>
        <v>0</v>
      </c>
      <c r="O31" s="446"/>
    </row>
    <row r="32" spans="1:15" ht="15.75" x14ac:dyDescent="0.25">
      <c r="A32" s="466" t="str">
        <f t="shared" si="5"/>
        <v/>
      </c>
      <c r="B32" s="961">
        <f>IF(B6="","",B6*'Precios-CV'!$B12)</f>
        <v>0</v>
      </c>
      <c r="C32" s="961">
        <f>IF(C6="","",C6*'Precios-CV'!$B12)</f>
        <v>0</v>
      </c>
      <c r="D32" s="961">
        <f>IF(D6="","",D6*'Precios-CV'!$B12)</f>
        <v>0</v>
      </c>
      <c r="E32" s="961">
        <f>IF(E6="","",E6*'Precios-CV'!$B12)</f>
        <v>0</v>
      </c>
      <c r="F32" s="961">
        <f>IF(F6="","",F6*'Precios-CV'!$B12)</f>
        <v>0</v>
      </c>
      <c r="G32" s="961">
        <f>IF(G6="","",G6*'Precios-CV'!$B12)</f>
        <v>0</v>
      </c>
      <c r="H32" s="961">
        <f>IF(H6="","",H6*'Precios-CV'!$B12)</f>
        <v>0</v>
      </c>
      <c r="I32" s="961">
        <f>IF(I6="","",I6*'Precios-CV'!$B12)</f>
        <v>0</v>
      </c>
      <c r="J32" s="961">
        <f>IF(J6="","",J6*'Precios-CV'!$B12)</f>
        <v>0</v>
      </c>
      <c r="K32" s="961">
        <f>IF(K6="","",K6*'Precios-CV'!$B12)</f>
        <v>0</v>
      </c>
      <c r="L32" s="961">
        <f>IF(L6="","",L6*'Precios-CV'!$B12)</f>
        <v>0</v>
      </c>
      <c r="M32" s="961">
        <f>IF(M6="","",M6*'Precios-CV'!$B12)</f>
        <v>0</v>
      </c>
      <c r="N32" s="995">
        <f t="shared" si="6"/>
        <v>0</v>
      </c>
      <c r="O32" s="446"/>
    </row>
    <row r="33" spans="1:15" ht="15.75" x14ac:dyDescent="0.25">
      <c r="A33" s="466" t="str">
        <f t="shared" si="5"/>
        <v/>
      </c>
      <c r="B33" s="961">
        <f>IF(B7="","",B7*'Precios-CV'!$B13)</f>
        <v>0</v>
      </c>
      <c r="C33" s="961">
        <f>IF(C7="","",C7*'Precios-CV'!$B13)</f>
        <v>0</v>
      </c>
      <c r="D33" s="961">
        <f>IF(D7="","",D7*'Precios-CV'!$B13)</f>
        <v>0</v>
      </c>
      <c r="E33" s="961">
        <f>IF(E7="","",E7*'Precios-CV'!$B13)</f>
        <v>0</v>
      </c>
      <c r="F33" s="961">
        <f>IF(F7="","",F7*'Precios-CV'!$B13)</f>
        <v>0</v>
      </c>
      <c r="G33" s="961">
        <f>IF(G7="","",G7*'Precios-CV'!$B13)</f>
        <v>0</v>
      </c>
      <c r="H33" s="961">
        <f>IF(H7="","",H7*'Precios-CV'!$B13)</f>
        <v>0</v>
      </c>
      <c r="I33" s="961">
        <f>IF(I7="","",I7*'Precios-CV'!$B13)</f>
        <v>0</v>
      </c>
      <c r="J33" s="961">
        <f>IF(J7="","",J7*'Precios-CV'!$B13)</f>
        <v>0</v>
      </c>
      <c r="K33" s="961">
        <f>IF(K7="","",K7*'Precios-CV'!$B13)</f>
        <v>0</v>
      </c>
      <c r="L33" s="961">
        <f>IF(L7="","",L7*'Precios-CV'!$B13)</f>
        <v>0</v>
      </c>
      <c r="M33" s="961">
        <f>IF(M7="","",M7*'Precios-CV'!$B13)</f>
        <v>0</v>
      </c>
      <c r="N33" s="995">
        <f t="shared" si="6"/>
        <v>0</v>
      </c>
      <c r="O33" s="446"/>
    </row>
    <row r="34" spans="1:15" ht="15.75" x14ac:dyDescent="0.25">
      <c r="A34" s="466" t="str">
        <f t="shared" si="5"/>
        <v/>
      </c>
      <c r="B34" s="961">
        <f>IF(B8="","",B8*'Precios-CV'!$B14)</f>
        <v>0</v>
      </c>
      <c r="C34" s="961">
        <f>IF(C8="","",C8*'Precios-CV'!$B14)</f>
        <v>0</v>
      </c>
      <c r="D34" s="961">
        <f>IF(D8="","",D8*'Precios-CV'!$B14)</f>
        <v>0</v>
      </c>
      <c r="E34" s="961">
        <f>IF(E8="","",E8*'Precios-CV'!$B14)</f>
        <v>0</v>
      </c>
      <c r="F34" s="961">
        <f>IF(F8="","",F8*'Precios-CV'!$B14)</f>
        <v>0</v>
      </c>
      <c r="G34" s="961">
        <f>IF(G8="","",G8*'Precios-CV'!$B14)</f>
        <v>0</v>
      </c>
      <c r="H34" s="961">
        <f>IF(H8="","",H8*'Precios-CV'!$B14)</f>
        <v>0</v>
      </c>
      <c r="I34" s="961">
        <f>IF(I8="","",I8*'Precios-CV'!$B14)</f>
        <v>0</v>
      </c>
      <c r="J34" s="961">
        <f>IF(J8="","",J8*'Precios-CV'!$B14)</f>
        <v>0</v>
      </c>
      <c r="K34" s="961">
        <f>IF(K8="","",K8*'Precios-CV'!$B14)</f>
        <v>0</v>
      </c>
      <c r="L34" s="961">
        <f>IF(L8="","",L8*'Precios-CV'!$B14)</f>
        <v>0</v>
      </c>
      <c r="M34" s="961">
        <f>IF(M8="","",M8*'Precios-CV'!$B14)</f>
        <v>0</v>
      </c>
      <c r="N34" s="995">
        <f t="shared" si="6"/>
        <v>0</v>
      </c>
      <c r="O34" s="446"/>
    </row>
    <row r="35" spans="1:15" ht="15.75" x14ac:dyDescent="0.25">
      <c r="A35" s="466" t="str">
        <f t="shared" si="5"/>
        <v/>
      </c>
      <c r="B35" s="961">
        <f>IF(B9="","",B9*'Precios-CV'!$B15)</f>
        <v>0</v>
      </c>
      <c r="C35" s="961">
        <f>IF(C9="","",C9*'Precios-CV'!$B15)</f>
        <v>0</v>
      </c>
      <c r="D35" s="961">
        <f>IF(D9="","",D9*'Precios-CV'!$B15)</f>
        <v>0</v>
      </c>
      <c r="E35" s="961">
        <f>IF(E9="","",E9*'Precios-CV'!$B15)</f>
        <v>0</v>
      </c>
      <c r="F35" s="961">
        <f>IF(F9="","",F9*'Precios-CV'!$B15)</f>
        <v>0</v>
      </c>
      <c r="G35" s="961">
        <f>IF(G9="","",G9*'Precios-CV'!$B15)</f>
        <v>0</v>
      </c>
      <c r="H35" s="961">
        <f>IF(H9="","",H9*'Precios-CV'!$B15)</f>
        <v>0</v>
      </c>
      <c r="I35" s="961">
        <f>IF(I9="","",I9*'Precios-CV'!$B15)</f>
        <v>0</v>
      </c>
      <c r="J35" s="961">
        <f>IF(J9="","",J9*'Precios-CV'!$B15)</f>
        <v>0</v>
      </c>
      <c r="K35" s="961">
        <f>IF(K9="","",K9*'Precios-CV'!$B15)</f>
        <v>0</v>
      </c>
      <c r="L35" s="961">
        <f>IF(L9="","",L9*'Precios-CV'!$B15)</f>
        <v>0</v>
      </c>
      <c r="M35" s="961">
        <f>IF(M9="","",M9*'Precios-CV'!$B15)</f>
        <v>0</v>
      </c>
      <c r="N35" s="995">
        <f t="shared" si="6"/>
        <v>0</v>
      </c>
      <c r="O35" s="446"/>
    </row>
    <row r="36" spans="1:15" ht="15.75" x14ac:dyDescent="0.25">
      <c r="A36" s="466" t="str">
        <f t="shared" si="5"/>
        <v/>
      </c>
      <c r="B36" s="961">
        <f>IF(B10="","",B10*'Precios-CV'!$B16)</f>
        <v>0</v>
      </c>
      <c r="C36" s="961">
        <f>IF(C10="","",C10*'Precios-CV'!$B16)</f>
        <v>0</v>
      </c>
      <c r="D36" s="961">
        <f>IF(D10="","",D10*'Precios-CV'!$B16)</f>
        <v>0</v>
      </c>
      <c r="E36" s="961">
        <f>IF(E10="","",E10*'Precios-CV'!$B16)</f>
        <v>0</v>
      </c>
      <c r="F36" s="961">
        <f>IF(F10="","",F10*'Precios-CV'!$B16)</f>
        <v>0</v>
      </c>
      <c r="G36" s="961">
        <f>IF(G10="","",G10*'Precios-CV'!$B16)</f>
        <v>0</v>
      </c>
      <c r="H36" s="961">
        <f>IF(H10="","",H10*'Precios-CV'!$B16)</f>
        <v>0</v>
      </c>
      <c r="I36" s="961">
        <f>IF(I10="","",I10*'Precios-CV'!$B16)</f>
        <v>0</v>
      </c>
      <c r="J36" s="961">
        <f>IF(J10="","",J10*'Precios-CV'!$B16)</f>
        <v>0</v>
      </c>
      <c r="K36" s="961">
        <f>IF(K10="","",K10*'Precios-CV'!$B16)</f>
        <v>0</v>
      </c>
      <c r="L36" s="961">
        <f>IF(L10="","",L10*'Precios-CV'!$B16)</f>
        <v>0</v>
      </c>
      <c r="M36" s="961">
        <f>IF(M10="","",M10*'Precios-CV'!$B16)</f>
        <v>0</v>
      </c>
      <c r="N36" s="995">
        <f t="shared" si="6"/>
        <v>0</v>
      </c>
      <c r="O36" s="446"/>
    </row>
    <row r="37" spans="1:15" ht="15.75" x14ac:dyDescent="0.25">
      <c r="A37" s="466" t="str">
        <f t="shared" si="5"/>
        <v/>
      </c>
      <c r="B37" s="961">
        <f>IF(B11="","",B11*'Precios-CV'!$B17)</f>
        <v>0</v>
      </c>
      <c r="C37" s="961">
        <f>IF(C11="","",C11*'Precios-CV'!$B17)</f>
        <v>0</v>
      </c>
      <c r="D37" s="961">
        <f>IF(D11="","",D11*'Precios-CV'!$B17)</f>
        <v>0</v>
      </c>
      <c r="E37" s="961">
        <f>IF(E11="","",E11*'Precios-CV'!$B17)</f>
        <v>0</v>
      </c>
      <c r="F37" s="961">
        <f>IF(F11="","",F11*'Precios-CV'!$B17)</f>
        <v>0</v>
      </c>
      <c r="G37" s="961">
        <f>IF(G11="","",G11*'Precios-CV'!$B17)</f>
        <v>0</v>
      </c>
      <c r="H37" s="961">
        <f>IF(H11="","",H11*'Precios-CV'!$B17)</f>
        <v>0</v>
      </c>
      <c r="I37" s="961">
        <f>IF(I11="","",I11*'Precios-CV'!$B17)</f>
        <v>0</v>
      </c>
      <c r="J37" s="961">
        <f>IF(J11="","",J11*'Precios-CV'!$B17)</f>
        <v>0</v>
      </c>
      <c r="K37" s="961">
        <f>IF(K11="","",K11*'Precios-CV'!$B17)</f>
        <v>0</v>
      </c>
      <c r="L37" s="961">
        <f>IF(L11="","",L11*'Precios-CV'!$B17)</f>
        <v>0</v>
      </c>
      <c r="M37" s="961">
        <f>IF(M11="","",M11*'Precios-CV'!$B17)</f>
        <v>0</v>
      </c>
      <c r="N37" s="995">
        <f t="shared" si="6"/>
        <v>0</v>
      </c>
      <c r="O37" s="446"/>
    </row>
    <row r="38" spans="1:15" ht="16.5" thickBot="1" x14ac:dyDescent="0.3">
      <c r="A38" s="893" t="str">
        <f t="shared" si="5"/>
        <v/>
      </c>
      <c r="B38" s="963">
        <f>IF(B12="","",B12*'Precios-CV'!$B18)</f>
        <v>0</v>
      </c>
      <c r="C38" s="963">
        <f>IF(C12="","",C12*'Precios-CV'!$B18)</f>
        <v>0</v>
      </c>
      <c r="D38" s="963">
        <f>IF(D12="","",D12*'Precios-CV'!$B18)</f>
        <v>0</v>
      </c>
      <c r="E38" s="963">
        <f>IF(E12="","",E12*'Precios-CV'!$B18)</f>
        <v>0</v>
      </c>
      <c r="F38" s="963">
        <f>IF(F12="","",F12*'Precios-CV'!$B18)</f>
        <v>0</v>
      </c>
      <c r="G38" s="963">
        <f>IF(G12="","",G12*'Precios-CV'!$B18)</f>
        <v>0</v>
      </c>
      <c r="H38" s="963">
        <f>IF(H12="","",H12*'Precios-CV'!$B18)</f>
        <v>0</v>
      </c>
      <c r="I38" s="963">
        <f>IF(I12="","",I12*'Precios-CV'!$B18)</f>
        <v>0</v>
      </c>
      <c r="J38" s="963">
        <f>IF(J12="","",J12*'Precios-CV'!$B18)</f>
        <v>0</v>
      </c>
      <c r="K38" s="963">
        <f>IF(K12="","",K12*'Precios-CV'!$B18)</f>
        <v>0</v>
      </c>
      <c r="L38" s="963">
        <f>IF(L12="","",L12*'Precios-CV'!$B18)</f>
        <v>0</v>
      </c>
      <c r="M38" s="963">
        <f>IF(M12="","",M12*'Precios-CV'!$B18)</f>
        <v>0</v>
      </c>
      <c r="N38" s="997">
        <f t="shared" si="6"/>
        <v>0</v>
      </c>
      <c r="O38" s="446"/>
    </row>
    <row r="39" spans="1:15" s="305" customFormat="1" ht="16.5" thickTop="1" thickBot="1" x14ac:dyDescent="0.3">
      <c r="A39" s="467" t="s">
        <v>860</v>
      </c>
      <c r="B39" s="1008">
        <f t="shared" ref="B39:N39" si="7">SUM(B31:B38)</f>
        <v>0</v>
      </c>
      <c r="C39" s="1008">
        <f t="shared" si="7"/>
        <v>0</v>
      </c>
      <c r="D39" s="1008">
        <f t="shared" si="7"/>
        <v>0</v>
      </c>
      <c r="E39" s="1008">
        <f t="shared" si="7"/>
        <v>0</v>
      </c>
      <c r="F39" s="1008">
        <f t="shared" si="7"/>
        <v>0</v>
      </c>
      <c r="G39" s="1008">
        <f t="shared" si="7"/>
        <v>0</v>
      </c>
      <c r="H39" s="1008">
        <f t="shared" si="7"/>
        <v>0</v>
      </c>
      <c r="I39" s="1008">
        <f t="shared" si="7"/>
        <v>0</v>
      </c>
      <c r="J39" s="1008">
        <f t="shared" si="7"/>
        <v>0</v>
      </c>
      <c r="K39" s="1008">
        <f t="shared" si="7"/>
        <v>0</v>
      </c>
      <c r="L39" s="1008">
        <f t="shared" si="7"/>
        <v>0</v>
      </c>
      <c r="M39" s="1008">
        <f t="shared" si="7"/>
        <v>0</v>
      </c>
      <c r="N39" s="1000">
        <f t="shared" si="7"/>
        <v>0</v>
      </c>
    </row>
    <row r="40" spans="1:15" s="305" customFormat="1" x14ac:dyDescent="0.25">
      <c r="A40" s="445"/>
      <c r="B40" s="445"/>
    </row>
    <row r="41" spans="1:15" s="305" customFormat="1" x14ac:dyDescent="0.25">
      <c r="A41" s="445"/>
      <c r="B41" s="445"/>
    </row>
    <row r="42" spans="1:15" s="305" customFormat="1" x14ac:dyDescent="0.25">
      <c r="A42" s="445"/>
      <c r="B42" s="445"/>
    </row>
    <row r="43" spans="1:15" s="305" customFormat="1" x14ac:dyDescent="0.25">
      <c r="A43" s="445"/>
      <c r="B43" s="445"/>
    </row>
    <row r="44" spans="1:15" s="305" customFormat="1" x14ac:dyDescent="0.25">
      <c r="A44" s="445"/>
      <c r="B44" s="445"/>
    </row>
    <row r="45" spans="1:15" x14ac:dyDescent="0.25">
      <c r="A45" s="445"/>
    </row>
    <row r="46" spans="1:15" x14ac:dyDescent="0.25">
      <c r="A46" s="445"/>
    </row>
    <row r="47" spans="1:15" ht="23.25" customHeight="1" x14ac:dyDescent="0.45">
      <c r="A47" s="408" t="s">
        <v>317</v>
      </c>
      <c r="B47" s="446"/>
      <c r="D47" s="887">
        <f>$E$1</f>
        <v>2026</v>
      </c>
    </row>
    <row r="48" spans="1:15" ht="27.75" x14ac:dyDescent="0.45">
      <c r="A48" s="408">
        <f>'Datos Básicos'!B8</f>
        <v>0</v>
      </c>
    </row>
    <row r="49" spans="1:20" ht="28.5" thickBot="1" x14ac:dyDescent="0.5">
      <c r="A49" s="408"/>
    </row>
    <row r="50" spans="1:20" ht="18.75" customHeight="1" thickBot="1" x14ac:dyDescent="0.35">
      <c r="A50" s="410" t="s">
        <v>468</v>
      </c>
      <c r="B50" s="467" t="str">
        <f t="shared" ref="B50:M50" si="8">B$4</f>
        <v>enero</v>
      </c>
      <c r="C50" s="890" t="str">
        <f t="shared" si="8"/>
        <v>febrero</v>
      </c>
      <c r="D50" s="890" t="str">
        <f t="shared" si="8"/>
        <v>marzo</v>
      </c>
      <c r="E50" s="890" t="str">
        <f t="shared" si="8"/>
        <v>abril</v>
      </c>
      <c r="F50" s="890" t="str">
        <f t="shared" si="8"/>
        <v>mayo</v>
      </c>
      <c r="G50" s="890" t="str">
        <f t="shared" si="8"/>
        <v>junio</v>
      </c>
      <c r="H50" s="890" t="str">
        <f t="shared" si="8"/>
        <v>julio</v>
      </c>
      <c r="I50" s="890" t="str">
        <f t="shared" si="8"/>
        <v>agosto</v>
      </c>
      <c r="J50" s="890" t="str">
        <f t="shared" si="8"/>
        <v>septiembre</v>
      </c>
      <c r="K50" s="890" t="str">
        <f t="shared" si="8"/>
        <v>octubre</v>
      </c>
      <c r="L50" s="890" t="str">
        <f t="shared" si="8"/>
        <v>noviembre</v>
      </c>
      <c r="M50" s="890" t="str">
        <f t="shared" si="8"/>
        <v>diciembre</v>
      </c>
      <c r="N50" s="891" t="s">
        <v>865</v>
      </c>
    </row>
    <row r="51" spans="1:20" ht="18.75" customHeight="1" x14ac:dyDescent="0.3">
      <c r="A51" s="895" t="str">
        <f>A31</f>
        <v/>
      </c>
      <c r="B51" s="896" t="str">
        <f t="shared" ref="B51:B58" si="9">IF(OR($N17=0,B17=""),"",B17/$N17)</f>
        <v/>
      </c>
      <c r="C51" s="897" t="str">
        <f t="shared" ref="C51:M51" si="10">IF(OR($N17=0,C17=""),"",C17/$N17)</f>
        <v/>
      </c>
      <c r="D51" s="897" t="str">
        <f t="shared" si="10"/>
        <v/>
      </c>
      <c r="E51" s="897" t="str">
        <f t="shared" si="10"/>
        <v/>
      </c>
      <c r="F51" s="897" t="str">
        <f t="shared" si="10"/>
        <v/>
      </c>
      <c r="G51" s="897" t="str">
        <f t="shared" si="10"/>
        <v/>
      </c>
      <c r="H51" s="897" t="str">
        <f t="shared" si="10"/>
        <v/>
      </c>
      <c r="I51" s="897" t="str">
        <f t="shared" si="10"/>
        <v/>
      </c>
      <c r="J51" s="897" t="str">
        <f t="shared" si="10"/>
        <v/>
      </c>
      <c r="K51" s="897" t="str">
        <f t="shared" si="10"/>
        <v/>
      </c>
      <c r="L51" s="897" t="str">
        <f t="shared" si="10"/>
        <v/>
      </c>
      <c r="M51" s="898" t="str">
        <f t="shared" si="10"/>
        <v/>
      </c>
      <c r="N51" s="899">
        <f t="shared" ref="N51:N59" si="11">SUM(B51:M51)</f>
        <v>0</v>
      </c>
    </row>
    <row r="52" spans="1:20" ht="18.75" customHeight="1" x14ac:dyDescent="0.3">
      <c r="A52" s="900" t="str">
        <f t="shared" ref="A52:A58" si="12">A32</f>
        <v/>
      </c>
      <c r="B52" s="901" t="str">
        <f t="shared" si="9"/>
        <v/>
      </c>
      <c r="C52" s="902" t="str">
        <f t="shared" ref="C52:M52" si="13">IF(OR($N18=0,C18=""),"",C18/$N18)</f>
        <v/>
      </c>
      <c r="D52" s="902" t="str">
        <f t="shared" si="13"/>
        <v/>
      </c>
      <c r="E52" s="902" t="str">
        <f t="shared" si="13"/>
        <v/>
      </c>
      <c r="F52" s="902" t="str">
        <f t="shared" si="13"/>
        <v/>
      </c>
      <c r="G52" s="902" t="str">
        <f t="shared" si="13"/>
        <v/>
      </c>
      <c r="H52" s="902" t="str">
        <f t="shared" si="13"/>
        <v/>
      </c>
      <c r="I52" s="902" t="str">
        <f t="shared" si="13"/>
        <v/>
      </c>
      <c r="J52" s="902" t="str">
        <f t="shared" si="13"/>
        <v/>
      </c>
      <c r="K52" s="902" t="str">
        <f t="shared" si="13"/>
        <v/>
      </c>
      <c r="L52" s="902" t="str">
        <f t="shared" si="13"/>
        <v/>
      </c>
      <c r="M52" s="903" t="str">
        <f t="shared" si="13"/>
        <v/>
      </c>
      <c r="N52" s="904">
        <f t="shared" si="11"/>
        <v>0</v>
      </c>
    </row>
    <row r="53" spans="1:20" ht="18.75" customHeight="1" x14ac:dyDescent="0.3">
      <c r="A53" s="900" t="str">
        <f t="shared" si="12"/>
        <v/>
      </c>
      <c r="B53" s="901" t="str">
        <f t="shared" si="9"/>
        <v/>
      </c>
      <c r="C53" s="902" t="str">
        <f t="shared" ref="C53:M53" si="14">IF(OR($N19=0,C19=""),"",C19/$N19)</f>
        <v/>
      </c>
      <c r="D53" s="902" t="str">
        <f t="shared" si="14"/>
        <v/>
      </c>
      <c r="E53" s="902" t="str">
        <f t="shared" si="14"/>
        <v/>
      </c>
      <c r="F53" s="902" t="str">
        <f t="shared" si="14"/>
        <v/>
      </c>
      <c r="G53" s="902" t="str">
        <f t="shared" si="14"/>
        <v/>
      </c>
      <c r="H53" s="902" t="str">
        <f t="shared" si="14"/>
        <v/>
      </c>
      <c r="I53" s="902" t="str">
        <f t="shared" si="14"/>
        <v/>
      </c>
      <c r="J53" s="902" t="str">
        <f t="shared" si="14"/>
        <v/>
      </c>
      <c r="K53" s="902" t="str">
        <f t="shared" si="14"/>
        <v/>
      </c>
      <c r="L53" s="902" t="str">
        <f t="shared" si="14"/>
        <v/>
      </c>
      <c r="M53" s="903" t="str">
        <f t="shared" si="14"/>
        <v/>
      </c>
      <c r="N53" s="904">
        <f t="shared" si="11"/>
        <v>0</v>
      </c>
    </row>
    <row r="54" spans="1:20" ht="18.75" customHeight="1" x14ac:dyDescent="0.3">
      <c r="A54" s="900" t="str">
        <f t="shared" si="12"/>
        <v/>
      </c>
      <c r="B54" s="901" t="str">
        <f t="shared" si="9"/>
        <v/>
      </c>
      <c r="C54" s="902" t="str">
        <f t="shared" ref="C54:M54" si="15">IF(OR($N20=0,C20=""),"",C20/$N20)</f>
        <v/>
      </c>
      <c r="D54" s="902" t="str">
        <f t="shared" si="15"/>
        <v/>
      </c>
      <c r="E54" s="902" t="str">
        <f t="shared" si="15"/>
        <v/>
      </c>
      <c r="F54" s="902" t="str">
        <f t="shared" si="15"/>
        <v/>
      </c>
      <c r="G54" s="902" t="str">
        <f t="shared" si="15"/>
        <v/>
      </c>
      <c r="H54" s="902" t="str">
        <f t="shared" si="15"/>
        <v/>
      </c>
      <c r="I54" s="902" t="str">
        <f t="shared" si="15"/>
        <v/>
      </c>
      <c r="J54" s="902" t="str">
        <f t="shared" si="15"/>
        <v/>
      </c>
      <c r="K54" s="902" t="str">
        <f t="shared" si="15"/>
        <v/>
      </c>
      <c r="L54" s="902" t="str">
        <f t="shared" si="15"/>
        <v/>
      </c>
      <c r="M54" s="903" t="str">
        <f t="shared" si="15"/>
        <v/>
      </c>
      <c r="N54" s="904">
        <f t="shared" si="11"/>
        <v>0</v>
      </c>
    </row>
    <row r="55" spans="1:20" ht="18.75" customHeight="1" x14ac:dyDescent="0.3">
      <c r="A55" s="900" t="str">
        <f t="shared" si="12"/>
        <v/>
      </c>
      <c r="B55" s="901" t="str">
        <f t="shared" si="9"/>
        <v/>
      </c>
      <c r="C55" s="902" t="str">
        <f t="shared" ref="C55:M55" si="16">IF(OR($N21=0,C21=""),"",C21/$N21)</f>
        <v/>
      </c>
      <c r="D55" s="902" t="str">
        <f t="shared" si="16"/>
        <v/>
      </c>
      <c r="E55" s="902" t="str">
        <f t="shared" si="16"/>
        <v/>
      </c>
      <c r="F55" s="902" t="str">
        <f t="shared" si="16"/>
        <v/>
      </c>
      <c r="G55" s="902" t="str">
        <f t="shared" si="16"/>
        <v/>
      </c>
      <c r="H55" s="902" t="str">
        <f t="shared" si="16"/>
        <v/>
      </c>
      <c r="I55" s="902" t="str">
        <f t="shared" si="16"/>
        <v/>
      </c>
      <c r="J55" s="902" t="str">
        <f t="shared" si="16"/>
        <v/>
      </c>
      <c r="K55" s="902" t="str">
        <f t="shared" si="16"/>
        <v/>
      </c>
      <c r="L55" s="902" t="str">
        <f t="shared" si="16"/>
        <v/>
      </c>
      <c r="M55" s="903" t="str">
        <f t="shared" si="16"/>
        <v/>
      </c>
      <c r="N55" s="904">
        <f t="shared" si="11"/>
        <v>0</v>
      </c>
    </row>
    <row r="56" spans="1:20" ht="18.75" customHeight="1" x14ac:dyDescent="0.3">
      <c r="A56" s="900" t="str">
        <f t="shared" si="12"/>
        <v/>
      </c>
      <c r="B56" s="901" t="str">
        <f t="shared" si="9"/>
        <v/>
      </c>
      <c r="C56" s="902" t="str">
        <f t="shared" ref="C56:M56" si="17">IF(OR($N22=0,C22=""),"",C22/$N22)</f>
        <v/>
      </c>
      <c r="D56" s="902" t="str">
        <f t="shared" si="17"/>
        <v/>
      </c>
      <c r="E56" s="902" t="str">
        <f t="shared" si="17"/>
        <v/>
      </c>
      <c r="F56" s="902" t="str">
        <f t="shared" si="17"/>
        <v/>
      </c>
      <c r="G56" s="902" t="str">
        <f t="shared" si="17"/>
        <v/>
      </c>
      <c r="H56" s="902" t="str">
        <f t="shared" si="17"/>
        <v/>
      </c>
      <c r="I56" s="902" t="str">
        <f t="shared" si="17"/>
        <v/>
      </c>
      <c r="J56" s="902" t="str">
        <f t="shared" si="17"/>
        <v/>
      </c>
      <c r="K56" s="902" t="str">
        <f t="shared" si="17"/>
        <v/>
      </c>
      <c r="L56" s="902" t="str">
        <f t="shared" si="17"/>
        <v/>
      </c>
      <c r="M56" s="903" t="str">
        <f t="shared" si="17"/>
        <v/>
      </c>
      <c r="N56" s="904">
        <f t="shared" si="11"/>
        <v>0</v>
      </c>
    </row>
    <row r="57" spans="1:20" ht="18.75" customHeight="1" x14ac:dyDescent="0.3">
      <c r="A57" s="900" t="str">
        <f t="shared" si="12"/>
        <v/>
      </c>
      <c r="B57" s="901" t="str">
        <f t="shared" si="9"/>
        <v/>
      </c>
      <c r="C57" s="902" t="str">
        <f t="shared" ref="C57:M57" si="18">IF(OR($N23=0,C23=""),"",C23/$N23)</f>
        <v/>
      </c>
      <c r="D57" s="902" t="str">
        <f t="shared" si="18"/>
        <v/>
      </c>
      <c r="E57" s="902" t="str">
        <f t="shared" si="18"/>
        <v/>
      </c>
      <c r="F57" s="902" t="str">
        <f t="shared" si="18"/>
        <v/>
      </c>
      <c r="G57" s="902" t="str">
        <f t="shared" si="18"/>
        <v/>
      </c>
      <c r="H57" s="902" t="str">
        <f t="shared" si="18"/>
        <v/>
      </c>
      <c r="I57" s="902" t="str">
        <f t="shared" si="18"/>
        <v/>
      </c>
      <c r="J57" s="902" t="str">
        <f t="shared" si="18"/>
        <v/>
      </c>
      <c r="K57" s="902" t="str">
        <f t="shared" si="18"/>
        <v/>
      </c>
      <c r="L57" s="902" t="str">
        <f t="shared" si="18"/>
        <v/>
      </c>
      <c r="M57" s="903" t="str">
        <f t="shared" si="18"/>
        <v/>
      </c>
      <c r="N57" s="904">
        <f t="shared" si="11"/>
        <v>0</v>
      </c>
    </row>
    <row r="58" spans="1:20" ht="18.75" customHeight="1" thickBot="1" x14ac:dyDescent="0.35">
      <c r="A58" s="905" t="str">
        <f t="shared" si="12"/>
        <v/>
      </c>
      <c r="B58" s="906" t="str">
        <f t="shared" si="9"/>
        <v/>
      </c>
      <c r="C58" s="907" t="str">
        <f t="shared" ref="C58:M58" si="19">IF(OR($N24=0,C24=""),"",C24/$N24)</f>
        <v/>
      </c>
      <c r="D58" s="907" t="str">
        <f t="shared" si="19"/>
        <v/>
      </c>
      <c r="E58" s="907" t="str">
        <f t="shared" si="19"/>
        <v/>
      </c>
      <c r="F58" s="907" t="str">
        <f t="shared" si="19"/>
        <v/>
      </c>
      <c r="G58" s="907" t="str">
        <f t="shared" si="19"/>
        <v/>
      </c>
      <c r="H58" s="907" t="str">
        <f t="shared" si="19"/>
        <v/>
      </c>
      <c r="I58" s="907" t="str">
        <f t="shared" si="19"/>
        <v/>
      </c>
      <c r="J58" s="907" t="str">
        <f t="shared" si="19"/>
        <v/>
      </c>
      <c r="K58" s="907" t="str">
        <f t="shared" si="19"/>
        <v/>
      </c>
      <c r="L58" s="907" t="str">
        <f t="shared" si="19"/>
        <v/>
      </c>
      <c r="M58" s="908" t="str">
        <f t="shared" si="19"/>
        <v/>
      </c>
      <c r="N58" s="909">
        <f t="shared" si="11"/>
        <v>0</v>
      </c>
    </row>
    <row r="59" spans="1:20" s="307" customFormat="1" ht="18.75" customHeight="1" thickBot="1" x14ac:dyDescent="0.35">
      <c r="A59" s="910" t="s">
        <v>891</v>
      </c>
      <c r="B59" s="911" t="e">
        <f t="shared" ref="B59:M59" si="20">B25/$N$25</f>
        <v>#DIV/0!</v>
      </c>
      <c r="C59" s="912" t="e">
        <f t="shared" si="20"/>
        <v>#DIV/0!</v>
      </c>
      <c r="D59" s="912" t="e">
        <f t="shared" si="20"/>
        <v>#DIV/0!</v>
      </c>
      <c r="E59" s="912" t="e">
        <f t="shared" si="20"/>
        <v>#DIV/0!</v>
      </c>
      <c r="F59" s="912" t="e">
        <f t="shared" si="20"/>
        <v>#DIV/0!</v>
      </c>
      <c r="G59" s="912" t="e">
        <f t="shared" si="20"/>
        <v>#DIV/0!</v>
      </c>
      <c r="H59" s="912" t="e">
        <f t="shared" si="20"/>
        <v>#DIV/0!</v>
      </c>
      <c r="I59" s="912" t="e">
        <f t="shared" si="20"/>
        <v>#DIV/0!</v>
      </c>
      <c r="J59" s="912" t="e">
        <f t="shared" si="20"/>
        <v>#DIV/0!</v>
      </c>
      <c r="K59" s="912" t="e">
        <f t="shared" si="20"/>
        <v>#DIV/0!</v>
      </c>
      <c r="L59" s="912" t="e">
        <f t="shared" si="20"/>
        <v>#DIV/0!</v>
      </c>
      <c r="M59" s="912" t="e">
        <f t="shared" si="20"/>
        <v>#DIV/0!</v>
      </c>
      <c r="N59" s="913" t="e">
        <f t="shared" si="11"/>
        <v>#DIV/0!</v>
      </c>
      <c r="O59" s="305"/>
      <c r="P59" s="446"/>
      <c r="Q59" s="446"/>
      <c r="R59" s="446"/>
      <c r="S59" s="446"/>
      <c r="T59" s="446"/>
    </row>
    <row r="60" spans="1:20" s="307" customFormat="1" ht="18.75" customHeight="1" x14ac:dyDescent="0.3"/>
    <row r="62" spans="1:20" x14ac:dyDescent="0.25">
      <c r="B62" s="446"/>
    </row>
    <row r="63" spans="1:20" x14ac:dyDescent="0.25">
      <c r="B63" s="446"/>
    </row>
    <row r="64" spans="1:20" x14ac:dyDescent="0.25">
      <c r="B64" s="446"/>
    </row>
    <row r="65" spans="2:2" x14ac:dyDescent="0.25">
      <c r="B65" s="446"/>
    </row>
    <row r="66" spans="2:2" x14ac:dyDescent="0.25">
      <c r="B66" s="446"/>
    </row>
    <row r="67" spans="2:2" x14ac:dyDescent="0.25">
      <c r="B67" s="446"/>
    </row>
    <row r="68" spans="2:2" x14ac:dyDescent="0.25">
      <c r="B68" s="446"/>
    </row>
    <row r="69" spans="2:2" x14ac:dyDescent="0.25">
      <c r="B69" s="446"/>
    </row>
    <row r="70" spans="2:2" x14ac:dyDescent="0.25">
      <c r="B70" s="446"/>
    </row>
    <row r="71" spans="2:2" x14ac:dyDescent="0.25">
      <c r="B71" s="446"/>
    </row>
    <row r="72" spans="2:2" x14ac:dyDescent="0.25">
      <c r="B72" s="446"/>
    </row>
    <row r="73" spans="2:2" x14ac:dyDescent="0.25">
      <c r="B73" s="446"/>
    </row>
    <row r="74" spans="2:2" x14ac:dyDescent="0.25">
      <c r="B74" s="446"/>
    </row>
    <row r="75" spans="2:2" x14ac:dyDescent="0.25">
      <c r="B75" s="446"/>
    </row>
    <row r="76" spans="2:2" x14ac:dyDescent="0.25">
      <c r="B76" s="446"/>
    </row>
    <row r="77" spans="2:2" x14ac:dyDescent="0.25">
      <c r="B77" s="446"/>
    </row>
    <row r="78" spans="2:2" x14ac:dyDescent="0.25">
      <c r="B78" s="446"/>
    </row>
    <row r="79" spans="2:2" x14ac:dyDescent="0.25">
      <c r="B79" s="446"/>
    </row>
    <row r="80" spans="2:2" x14ac:dyDescent="0.25">
      <c r="B80" s="446"/>
    </row>
    <row r="81" spans="2:2" x14ac:dyDescent="0.25">
      <c r="B81" s="446"/>
    </row>
    <row r="82" spans="2:2" x14ac:dyDescent="0.25">
      <c r="B82" s="446"/>
    </row>
    <row r="83" spans="2:2" x14ac:dyDescent="0.25">
      <c r="B83" s="446"/>
    </row>
    <row r="84" spans="2:2" x14ac:dyDescent="0.25">
      <c r="B84" s="446"/>
    </row>
    <row r="85" spans="2:2" x14ac:dyDescent="0.25">
      <c r="B85" s="446"/>
    </row>
    <row r="99" spans="2:2" x14ac:dyDescent="0.25">
      <c r="B99" s="446"/>
    </row>
    <row r="100" spans="2:2" x14ac:dyDescent="0.25">
      <c r="B100" s="446"/>
    </row>
  </sheetData>
  <sheetProtection sheet="1" objects="1" scenarios="1" formatCells="0" formatColumns="0"/>
  <phoneticPr fontId="13" type="noConversion"/>
  <conditionalFormatting sqref="B5:M12 B17:M25 B31:M39">
    <cfRule type="expression" dxfId="36" priority="2" stopIfTrue="1">
      <formula>B$13&lt;mes0</formula>
    </cfRule>
  </conditionalFormatting>
  <conditionalFormatting sqref="B51:M58">
    <cfRule type="expression" dxfId="35" priority="1" stopIfTrue="1">
      <formula>B51=""</formula>
    </cfRule>
  </conditionalFormatting>
  <printOptions horizontalCentered="1" verticalCentered="1"/>
  <pageMargins left="0.38" right="0.19685039370078741" top="0.53" bottom="0.97" header="0.51181102362204722" footer="0.39370078740157483"/>
  <pageSetup paperSize="9" scale="79" fitToHeight="2" orientation="landscape" horizontalDpi="300" verticalDpi="300" r:id="rId1"/>
  <headerFooter alignWithMargins="0">
    <oddFooter>&amp;A</oddFooter>
  </headerFooter>
  <rowBreaks count="1" manualBreakCount="1">
    <brk id="44" max="16383"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13">
    <tabColor rgb="FF7CC9D0"/>
    <pageSetUpPr fitToPage="1"/>
  </sheetPr>
  <dimension ref="A1:T100"/>
  <sheetViews>
    <sheetView showGridLines="0" workbookViewId="0"/>
  </sheetViews>
  <sheetFormatPr baseColWidth="10" defaultRowHeight="15" x14ac:dyDescent="0.25"/>
  <cols>
    <col min="1" max="1" width="24.125" style="305" customWidth="1"/>
    <col min="2" max="2" width="15.125" style="445" bestFit="1" customWidth="1"/>
    <col min="3" max="3" width="13" style="446" customWidth="1"/>
    <col min="4" max="4" width="9.25" style="446" customWidth="1"/>
    <col min="5" max="5" width="10.125" style="446" bestFit="1" customWidth="1"/>
    <col min="6" max="6" width="9.125" style="446" customWidth="1"/>
    <col min="7" max="7" width="10.125" style="446" bestFit="1" customWidth="1"/>
    <col min="8" max="8" width="9.875" style="446" customWidth="1"/>
    <col min="9" max="9" width="10.25" style="446" bestFit="1" customWidth="1"/>
    <col min="10" max="10" width="12.125" style="446" bestFit="1" customWidth="1"/>
    <col min="11" max="11" width="9.375" style="446" customWidth="1"/>
    <col min="12" max="13" width="9.125" style="446" customWidth="1"/>
    <col min="14" max="14" width="8.75" style="446" customWidth="1"/>
    <col min="15" max="15" width="11.5" style="305" customWidth="1"/>
    <col min="16" max="16384" width="11" style="446"/>
  </cols>
  <sheetData>
    <row r="1" spans="1:15" ht="24.75" x14ac:dyDescent="0.4">
      <c r="A1" s="449" t="str">
        <f>'Prev.Ventas 0'!A1</f>
        <v>Previsiones de Ventas de la empresa</v>
      </c>
      <c r="E1" s="887">
        <f>'Datos Básicos'!C17</f>
        <v>2027</v>
      </c>
    </row>
    <row r="2" spans="1:15" ht="27.75" x14ac:dyDescent="0.45">
      <c r="A2" s="408">
        <f>'Datos Básicos'!B8</f>
        <v>0</v>
      </c>
    </row>
    <row r="3" spans="1:15" ht="14.25" customHeight="1" thickBot="1" x14ac:dyDescent="0.5">
      <c r="A3" s="408"/>
    </row>
    <row r="4" spans="1:15" s="445" customFormat="1" ht="15.75" thickBot="1" x14ac:dyDescent="0.3">
      <c r="A4" s="914" t="s">
        <v>52</v>
      </c>
      <c r="B4" s="889" t="str">
        <f>'Datos Gastos Fijos'!D7</f>
        <v>enero</v>
      </c>
      <c r="C4" s="890" t="str">
        <f>'Datos Gastos Fijos'!E7</f>
        <v>febrero</v>
      </c>
      <c r="D4" s="890" t="str">
        <f>'Datos Gastos Fijos'!F7</f>
        <v>marzo</v>
      </c>
      <c r="E4" s="890" t="str">
        <f>'Datos Gastos Fijos'!G7</f>
        <v>abril</v>
      </c>
      <c r="F4" s="890" t="str">
        <f>'Datos Gastos Fijos'!H7</f>
        <v>mayo</v>
      </c>
      <c r="G4" s="890" t="str">
        <f>'Datos Gastos Fijos'!I7</f>
        <v>junio</v>
      </c>
      <c r="H4" s="890" t="str">
        <f>'Datos Gastos Fijos'!J7</f>
        <v>julio</v>
      </c>
      <c r="I4" s="890" t="str">
        <f>'Datos Gastos Fijos'!K7</f>
        <v>agosto</v>
      </c>
      <c r="J4" s="890" t="str">
        <f>'Datos Gastos Fijos'!L7</f>
        <v>septiembre</v>
      </c>
      <c r="K4" s="890" t="str">
        <f>'Datos Gastos Fijos'!M7</f>
        <v>octubre</v>
      </c>
      <c r="L4" s="890" t="str">
        <f>'Datos Gastos Fijos'!N7</f>
        <v>noviembre</v>
      </c>
      <c r="M4" s="890" t="str">
        <f>'Datos Gastos Fijos'!O7</f>
        <v>diciembre</v>
      </c>
      <c r="N4" s="891" t="s">
        <v>865</v>
      </c>
    </row>
    <row r="5" spans="1:15" ht="15.75" customHeight="1" x14ac:dyDescent="0.25">
      <c r="A5" s="465" t="str">
        <f>IF(Parametros!A24="","",Parametros!A24)</f>
        <v/>
      </c>
      <c r="B5" s="959">
        <f>'Estimacion Ventas'!B25</f>
        <v>0</v>
      </c>
      <c r="C5" s="959">
        <f>'Estimacion Ventas'!C25</f>
        <v>0</v>
      </c>
      <c r="D5" s="959">
        <f>'Estimacion Ventas'!D25</f>
        <v>0</v>
      </c>
      <c r="E5" s="959">
        <f>'Estimacion Ventas'!E25</f>
        <v>0</v>
      </c>
      <c r="F5" s="959">
        <f>'Estimacion Ventas'!F25</f>
        <v>0</v>
      </c>
      <c r="G5" s="959">
        <f>'Estimacion Ventas'!G25</f>
        <v>0</v>
      </c>
      <c r="H5" s="959">
        <f>'Estimacion Ventas'!H25</f>
        <v>0</v>
      </c>
      <c r="I5" s="959">
        <f>'Estimacion Ventas'!I25</f>
        <v>0</v>
      </c>
      <c r="J5" s="959">
        <f>'Estimacion Ventas'!J25</f>
        <v>0</v>
      </c>
      <c r="K5" s="959">
        <f>'Estimacion Ventas'!K25</f>
        <v>0</v>
      </c>
      <c r="L5" s="959">
        <f>'Estimacion Ventas'!L25</f>
        <v>0</v>
      </c>
      <c r="M5" s="959">
        <f>'Estimacion Ventas'!M25</f>
        <v>0</v>
      </c>
      <c r="N5" s="994">
        <f t="shared" ref="N5:N12" si="0">SUM(B5:M5)</f>
        <v>0</v>
      </c>
      <c r="O5" s="446"/>
    </row>
    <row r="6" spans="1:15" ht="15.75" x14ac:dyDescent="0.25">
      <c r="A6" s="466" t="str">
        <f>IF(Parametros!A25="","",Parametros!A25)</f>
        <v/>
      </c>
      <c r="B6" s="961">
        <f>'Estimacion Ventas'!B26</f>
        <v>0</v>
      </c>
      <c r="C6" s="961">
        <f>'Estimacion Ventas'!C26</f>
        <v>0</v>
      </c>
      <c r="D6" s="961">
        <f>'Estimacion Ventas'!D26</f>
        <v>0</v>
      </c>
      <c r="E6" s="961">
        <f>'Estimacion Ventas'!E26</f>
        <v>0</v>
      </c>
      <c r="F6" s="961">
        <f>'Estimacion Ventas'!F26</f>
        <v>0</v>
      </c>
      <c r="G6" s="961">
        <f>'Estimacion Ventas'!G26</f>
        <v>0</v>
      </c>
      <c r="H6" s="961">
        <f>'Estimacion Ventas'!H26</f>
        <v>0</v>
      </c>
      <c r="I6" s="961">
        <f>'Estimacion Ventas'!I26</f>
        <v>0</v>
      </c>
      <c r="J6" s="961">
        <f>'Estimacion Ventas'!J26</f>
        <v>0</v>
      </c>
      <c r="K6" s="961">
        <f>'Estimacion Ventas'!K26</f>
        <v>0</v>
      </c>
      <c r="L6" s="961">
        <f>'Estimacion Ventas'!L26</f>
        <v>0</v>
      </c>
      <c r="M6" s="961">
        <f>'Estimacion Ventas'!M26</f>
        <v>0</v>
      </c>
      <c r="N6" s="995">
        <f t="shared" si="0"/>
        <v>0</v>
      </c>
      <c r="O6" s="446"/>
    </row>
    <row r="7" spans="1:15" ht="15.75" x14ac:dyDescent="0.25">
      <c r="A7" s="466" t="str">
        <f>IF(Parametros!A26="","",Parametros!A26)</f>
        <v/>
      </c>
      <c r="B7" s="961">
        <f>'Estimacion Ventas'!B27</f>
        <v>0</v>
      </c>
      <c r="C7" s="961">
        <f>'Estimacion Ventas'!C27</f>
        <v>0</v>
      </c>
      <c r="D7" s="961">
        <f>'Estimacion Ventas'!D27</f>
        <v>0</v>
      </c>
      <c r="E7" s="961">
        <f>'Estimacion Ventas'!E27</f>
        <v>0</v>
      </c>
      <c r="F7" s="961">
        <f>'Estimacion Ventas'!F27</f>
        <v>0</v>
      </c>
      <c r="G7" s="961">
        <f>'Estimacion Ventas'!G27</f>
        <v>0</v>
      </c>
      <c r="H7" s="961">
        <f>'Estimacion Ventas'!H27</f>
        <v>0</v>
      </c>
      <c r="I7" s="961">
        <f>'Estimacion Ventas'!I27</f>
        <v>0</v>
      </c>
      <c r="J7" s="961">
        <f>'Estimacion Ventas'!J27</f>
        <v>0</v>
      </c>
      <c r="K7" s="961">
        <f>'Estimacion Ventas'!K27</f>
        <v>0</v>
      </c>
      <c r="L7" s="961">
        <f>'Estimacion Ventas'!L27</f>
        <v>0</v>
      </c>
      <c r="M7" s="961">
        <f>'Estimacion Ventas'!M27</f>
        <v>0</v>
      </c>
      <c r="N7" s="995">
        <f t="shared" si="0"/>
        <v>0</v>
      </c>
      <c r="O7" s="446"/>
    </row>
    <row r="8" spans="1:15" ht="15.75" x14ac:dyDescent="0.25">
      <c r="A8" s="466" t="str">
        <f>IF(Parametros!A27="","",Parametros!A27)</f>
        <v/>
      </c>
      <c r="B8" s="961">
        <f>'Estimacion Ventas'!B28</f>
        <v>0</v>
      </c>
      <c r="C8" s="961">
        <f>'Estimacion Ventas'!C28</f>
        <v>0</v>
      </c>
      <c r="D8" s="961">
        <f>'Estimacion Ventas'!D28</f>
        <v>0</v>
      </c>
      <c r="E8" s="961">
        <f>'Estimacion Ventas'!E28</f>
        <v>0</v>
      </c>
      <c r="F8" s="961">
        <f>'Estimacion Ventas'!F28</f>
        <v>0</v>
      </c>
      <c r="G8" s="961">
        <f>'Estimacion Ventas'!G28</f>
        <v>0</v>
      </c>
      <c r="H8" s="961">
        <f>'Estimacion Ventas'!H28</f>
        <v>0</v>
      </c>
      <c r="I8" s="961">
        <f>'Estimacion Ventas'!I28</f>
        <v>0</v>
      </c>
      <c r="J8" s="961">
        <f>'Estimacion Ventas'!J28</f>
        <v>0</v>
      </c>
      <c r="K8" s="961">
        <f>'Estimacion Ventas'!K28</f>
        <v>0</v>
      </c>
      <c r="L8" s="961">
        <f>'Estimacion Ventas'!L28</f>
        <v>0</v>
      </c>
      <c r="M8" s="961">
        <f>'Estimacion Ventas'!M28</f>
        <v>0</v>
      </c>
      <c r="N8" s="995">
        <f t="shared" si="0"/>
        <v>0</v>
      </c>
      <c r="O8" s="446"/>
    </row>
    <row r="9" spans="1:15" ht="15.75" x14ac:dyDescent="0.25">
      <c r="A9" s="466" t="str">
        <f>IF(Parametros!A28="","",Parametros!A28)</f>
        <v/>
      </c>
      <c r="B9" s="961">
        <f>'Estimacion Ventas'!B29</f>
        <v>0</v>
      </c>
      <c r="C9" s="961">
        <f>'Estimacion Ventas'!C29</f>
        <v>0</v>
      </c>
      <c r="D9" s="961">
        <f>'Estimacion Ventas'!D29</f>
        <v>0</v>
      </c>
      <c r="E9" s="961">
        <f>'Estimacion Ventas'!E29</f>
        <v>0</v>
      </c>
      <c r="F9" s="961">
        <f>'Estimacion Ventas'!F29</f>
        <v>0</v>
      </c>
      <c r="G9" s="961">
        <f>'Estimacion Ventas'!G29</f>
        <v>0</v>
      </c>
      <c r="H9" s="961">
        <f>'Estimacion Ventas'!H29</f>
        <v>0</v>
      </c>
      <c r="I9" s="961">
        <f>'Estimacion Ventas'!I29</f>
        <v>0</v>
      </c>
      <c r="J9" s="961">
        <f>'Estimacion Ventas'!J29</f>
        <v>0</v>
      </c>
      <c r="K9" s="961">
        <f>'Estimacion Ventas'!K29</f>
        <v>0</v>
      </c>
      <c r="L9" s="961">
        <f>'Estimacion Ventas'!L29</f>
        <v>0</v>
      </c>
      <c r="M9" s="961">
        <f>'Estimacion Ventas'!M29</f>
        <v>0</v>
      </c>
      <c r="N9" s="995">
        <f t="shared" si="0"/>
        <v>0</v>
      </c>
      <c r="O9" s="446"/>
    </row>
    <row r="10" spans="1:15" ht="15.75" x14ac:dyDescent="0.25">
      <c r="A10" s="466" t="str">
        <f>IF(Parametros!A29="","",Parametros!A29)</f>
        <v/>
      </c>
      <c r="B10" s="961">
        <f>'Estimacion Ventas'!B30</f>
        <v>0</v>
      </c>
      <c r="C10" s="961">
        <f>'Estimacion Ventas'!C30</f>
        <v>0</v>
      </c>
      <c r="D10" s="961">
        <f>'Estimacion Ventas'!D30</f>
        <v>0</v>
      </c>
      <c r="E10" s="961">
        <f>'Estimacion Ventas'!E30</f>
        <v>0</v>
      </c>
      <c r="F10" s="961">
        <f>'Estimacion Ventas'!F30</f>
        <v>0</v>
      </c>
      <c r="G10" s="961">
        <f>'Estimacion Ventas'!G30</f>
        <v>0</v>
      </c>
      <c r="H10" s="961">
        <f>'Estimacion Ventas'!H30</f>
        <v>0</v>
      </c>
      <c r="I10" s="961">
        <f>'Estimacion Ventas'!I30</f>
        <v>0</v>
      </c>
      <c r="J10" s="961">
        <f>'Estimacion Ventas'!J30</f>
        <v>0</v>
      </c>
      <c r="K10" s="961">
        <f>'Estimacion Ventas'!K30</f>
        <v>0</v>
      </c>
      <c r="L10" s="961">
        <f>'Estimacion Ventas'!L30</f>
        <v>0</v>
      </c>
      <c r="M10" s="961">
        <f>'Estimacion Ventas'!M30</f>
        <v>0</v>
      </c>
      <c r="N10" s="995">
        <f t="shared" si="0"/>
        <v>0</v>
      </c>
      <c r="O10" s="446"/>
    </row>
    <row r="11" spans="1:15" ht="15.75" x14ac:dyDescent="0.25">
      <c r="A11" s="466" t="str">
        <f>IF(Parametros!A30="","",Parametros!A30)</f>
        <v/>
      </c>
      <c r="B11" s="961">
        <f>'Estimacion Ventas'!B31</f>
        <v>0</v>
      </c>
      <c r="C11" s="961">
        <f>'Estimacion Ventas'!C31</f>
        <v>0</v>
      </c>
      <c r="D11" s="961">
        <f>'Estimacion Ventas'!D31</f>
        <v>0</v>
      </c>
      <c r="E11" s="961">
        <f>'Estimacion Ventas'!E31</f>
        <v>0</v>
      </c>
      <c r="F11" s="961">
        <f>'Estimacion Ventas'!F31</f>
        <v>0</v>
      </c>
      <c r="G11" s="961">
        <f>'Estimacion Ventas'!G31</f>
        <v>0</v>
      </c>
      <c r="H11" s="961">
        <f>'Estimacion Ventas'!H31</f>
        <v>0</v>
      </c>
      <c r="I11" s="961">
        <f>'Estimacion Ventas'!I31</f>
        <v>0</v>
      </c>
      <c r="J11" s="961">
        <f>'Estimacion Ventas'!J31</f>
        <v>0</v>
      </c>
      <c r="K11" s="961">
        <f>'Estimacion Ventas'!K31</f>
        <v>0</v>
      </c>
      <c r="L11" s="961">
        <f>'Estimacion Ventas'!L31</f>
        <v>0</v>
      </c>
      <c r="M11" s="961">
        <f>'Estimacion Ventas'!M31</f>
        <v>0</v>
      </c>
      <c r="N11" s="995">
        <f t="shared" si="0"/>
        <v>0</v>
      </c>
      <c r="O11" s="446"/>
    </row>
    <row r="12" spans="1:15" ht="16.5" thickBot="1" x14ac:dyDescent="0.3">
      <c r="A12" s="892" t="str">
        <f>IF(Parametros!A31="","",Parametros!A31)</f>
        <v/>
      </c>
      <c r="B12" s="963">
        <f>'Estimacion Ventas'!B32</f>
        <v>0</v>
      </c>
      <c r="C12" s="963">
        <f>'Estimacion Ventas'!C32</f>
        <v>0</v>
      </c>
      <c r="D12" s="963">
        <f>'Estimacion Ventas'!D32</f>
        <v>0</v>
      </c>
      <c r="E12" s="963">
        <f>'Estimacion Ventas'!E32</f>
        <v>0</v>
      </c>
      <c r="F12" s="963">
        <f>'Estimacion Ventas'!F32</f>
        <v>0</v>
      </c>
      <c r="G12" s="963">
        <f>'Estimacion Ventas'!G32</f>
        <v>0</v>
      </c>
      <c r="H12" s="963">
        <f>'Estimacion Ventas'!H32</f>
        <v>0</v>
      </c>
      <c r="I12" s="963">
        <f>'Estimacion Ventas'!I32</f>
        <v>0</v>
      </c>
      <c r="J12" s="963">
        <f>'Estimacion Ventas'!J32</f>
        <v>0</v>
      </c>
      <c r="K12" s="963">
        <f>'Estimacion Ventas'!K32</f>
        <v>0</v>
      </c>
      <c r="L12" s="963">
        <f>'Estimacion Ventas'!L32</f>
        <v>0</v>
      </c>
      <c r="M12" s="963">
        <f>'Estimacion Ventas'!M32</f>
        <v>0</v>
      </c>
      <c r="N12" s="996">
        <f t="shared" si="0"/>
        <v>0</v>
      </c>
      <c r="O12" s="446"/>
    </row>
    <row r="13" spans="1:15" ht="17.25" x14ac:dyDescent="0.3">
      <c r="A13" s="398"/>
    </row>
    <row r="14" spans="1:15" ht="17.25" x14ac:dyDescent="0.3">
      <c r="A14" s="450"/>
    </row>
    <row r="15" spans="1:15" ht="18" thickBot="1" x14ac:dyDescent="0.35">
      <c r="A15" s="450"/>
    </row>
    <row r="16" spans="1:15" ht="15.75" thickBot="1" x14ac:dyDescent="0.3">
      <c r="A16" s="888" t="str">
        <f>'Prev.Ventas 0'!A16</f>
        <v>Ventas (Euros)</v>
      </c>
      <c r="B16" s="889" t="str">
        <f t="shared" ref="B16:M16" si="1">B$4</f>
        <v>enero</v>
      </c>
      <c r="C16" s="890" t="str">
        <f t="shared" si="1"/>
        <v>febrero</v>
      </c>
      <c r="D16" s="890" t="str">
        <f t="shared" si="1"/>
        <v>marzo</v>
      </c>
      <c r="E16" s="890" t="str">
        <f t="shared" si="1"/>
        <v>abril</v>
      </c>
      <c r="F16" s="890" t="str">
        <f t="shared" si="1"/>
        <v>mayo</v>
      </c>
      <c r="G16" s="890" t="str">
        <f t="shared" si="1"/>
        <v>junio</v>
      </c>
      <c r="H16" s="890" t="str">
        <f t="shared" si="1"/>
        <v>julio</v>
      </c>
      <c r="I16" s="890" t="str">
        <f t="shared" si="1"/>
        <v>agosto</v>
      </c>
      <c r="J16" s="890" t="str">
        <f t="shared" si="1"/>
        <v>septiembre</v>
      </c>
      <c r="K16" s="890" t="str">
        <f t="shared" si="1"/>
        <v>octubre</v>
      </c>
      <c r="L16" s="890" t="str">
        <f t="shared" si="1"/>
        <v>noviembre</v>
      </c>
      <c r="M16" s="890" t="str">
        <f t="shared" si="1"/>
        <v>diciembre</v>
      </c>
      <c r="N16" s="891" t="s">
        <v>865</v>
      </c>
      <c r="O16" s="446"/>
    </row>
    <row r="17" spans="1:15" ht="15.75" x14ac:dyDescent="0.25">
      <c r="A17" s="465" t="str">
        <f>IF(Parametros!A24="","",Parametros!A24)</f>
        <v/>
      </c>
      <c r="B17" s="959">
        <f>B5*'Precios Venta y P. Cobros'!$D11</f>
        <v>0</v>
      </c>
      <c r="C17" s="959">
        <f>C5*'Precios Venta y P. Cobros'!$D11</f>
        <v>0</v>
      </c>
      <c r="D17" s="959">
        <f>D5*'Precios Venta y P. Cobros'!$D11</f>
        <v>0</v>
      </c>
      <c r="E17" s="959">
        <f>E5*'Precios Venta y P. Cobros'!$D11</f>
        <v>0</v>
      </c>
      <c r="F17" s="959">
        <f>F5*'Precios Venta y P. Cobros'!$D11</f>
        <v>0</v>
      </c>
      <c r="G17" s="959">
        <f>G5*'Precios Venta y P. Cobros'!$D11</f>
        <v>0</v>
      </c>
      <c r="H17" s="959">
        <f>H5*'Precios Venta y P. Cobros'!$D11</f>
        <v>0</v>
      </c>
      <c r="I17" s="959">
        <f>I5*'Precios Venta y P. Cobros'!$D11</f>
        <v>0</v>
      </c>
      <c r="J17" s="959">
        <f>J5*'Precios Venta y P. Cobros'!$D11</f>
        <v>0</v>
      </c>
      <c r="K17" s="959">
        <f>K5*'Precios Venta y P. Cobros'!$D11</f>
        <v>0</v>
      </c>
      <c r="L17" s="959">
        <f>L5*'Precios Venta y P. Cobros'!$D11</f>
        <v>0</v>
      </c>
      <c r="M17" s="959">
        <f>M5*'Precios Venta y P. Cobros'!$D11</f>
        <v>0</v>
      </c>
      <c r="N17" s="994">
        <f t="shared" ref="N17:N25" si="2">SUM(B17:M17)</f>
        <v>0</v>
      </c>
      <c r="O17" s="446"/>
    </row>
    <row r="18" spans="1:15" ht="15.75" x14ac:dyDescent="0.25">
      <c r="A18" s="466" t="str">
        <f>IF(Parametros!A25="","",Parametros!A25)</f>
        <v/>
      </c>
      <c r="B18" s="961">
        <f>B6*'Precios Venta y P. Cobros'!$D12</f>
        <v>0</v>
      </c>
      <c r="C18" s="961">
        <f>C6*'Precios Venta y P. Cobros'!$D12</f>
        <v>0</v>
      </c>
      <c r="D18" s="961">
        <f>D6*'Precios Venta y P. Cobros'!$D12</f>
        <v>0</v>
      </c>
      <c r="E18" s="961">
        <f>E6*'Precios Venta y P. Cobros'!$D12</f>
        <v>0</v>
      </c>
      <c r="F18" s="961">
        <f>F6*'Precios Venta y P. Cobros'!$D12</f>
        <v>0</v>
      </c>
      <c r="G18" s="961">
        <f>G6*'Precios Venta y P. Cobros'!$D12</f>
        <v>0</v>
      </c>
      <c r="H18" s="961">
        <f>H6*'Precios Venta y P. Cobros'!$D12</f>
        <v>0</v>
      </c>
      <c r="I18" s="961">
        <f>I6*'Precios Venta y P. Cobros'!$D12</f>
        <v>0</v>
      </c>
      <c r="J18" s="961">
        <f>J6*'Precios Venta y P. Cobros'!$D12</f>
        <v>0</v>
      </c>
      <c r="K18" s="961">
        <f>K6*'Precios Venta y P. Cobros'!$D12</f>
        <v>0</v>
      </c>
      <c r="L18" s="961">
        <f>L6*'Precios Venta y P. Cobros'!$D12</f>
        <v>0</v>
      </c>
      <c r="M18" s="961">
        <f>M6*'Precios Venta y P. Cobros'!$D12</f>
        <v>0</v>
      </c>
      <c r="N18" s="995">
        <f t="shared" si="2"/>
        <v>0</v>
      </c>
      <c r="O18" s="446"/>
    </row>
    <row r="19" spans="1:15" ht="15.75" x14ac:dyDescent="0.25">
      <c r="A19" s="466" t="str">
        <f>IF(Parametros!A26="","",Parametros!A26)</f>
        <v/>
      </c>
      <c r="B19" s="961">
        <f>B7*'Precios Venta y P. Cobros'!$D13</f>
        <v>0</v>
      </c>
      <c r="C19" s="961">
        <f>C7*'Precios Venta y P. Cobros'!$D13</f>
        <v>0</v>
      </c>
      <c r="D19" s="961">
        <f>D7*'Precios Venta y P. Cobros'!$D13</f>
        <v>0</v>
      </c>
      <c r="E19" s="961">
        <f>E7*'Precios Venta y P. Cobros'!$D13</f>
        <v>0</v>
      </c>
      <c r="F19" s="961">
        <f>F7*'Precios Venta y P. Cobros'!$D13</f>
        <v>0</v>
      </c>
      <c r="G19" s="961">
        <f>G7*'Precios Venta y P. Cobros'!$D13</f>
        <v>0</v>
      </c>
      <c r="H19" s="961">
        <f>H7*'Precios Venta y P. Cobros'!$D13</f>
        <v>0</v>
      </c>
      <c r="I19" s="961">
        <f>I7*'Precios Venta y P. Cobros'!$D13</f>
        <v>0</v>
      </c>
      <c r="J19" s="961">
        <f>J7*'Precios Venta y P. Cobros'!$D13</f>
        <v>0</v>
      </c>
      <c r="K19" s="961">
        <f>K7*'Precios Venta y P. Cobros'!$D13</f>
        <v>0</v>
      </c>
      <c r="L19" s="961">
        <f>L7*'Precios Venta y P. Cobros'!$D13</f>
        <v>0</v>
      </c>
      <c r="M19" s="961">
        <f>M7*'Precios Venta y P. Cobros'!$D13</f>
        <v>0</v>
      </c>
      <c r="N19" s="995">
        <f t="shared" si="2"/>
        <v>0</v>
      </c>
      <c r="O19" s="446"/>
    </row>
    <row r="20" spans="1:15" ht="15.75" x14ac:dyDescent="0.25">
      <c r="A20" s="466" t="str">
        <f>IF(Parametros!A27="","",Parametros!A27)</f>
        <v/>
      </c>
      <c r="B20" s="961">
        <f>B8*'Precios Venta y P. Cobros'!$D14</f>
        <v>0</v>
      </c>
      <c r="C20" s="961">
        <f>C8*'Precios Venta y P. Cobros'!$D14</f>
        <v>0</v>
      </c>
      <c r="D20" s="961">
        <f>D8*'Precios Venta y P. Cobros'!$D14</f>
        <v>0</v>
      </c>
      <c r="E20" s="961">
        <f>E8*'Precios Venta y P. Cobros'!$D14</f>
        <v>0</v>
      </c>
      <c r="F20" s="961">
        <f>F8*'Precios Venta y P. Cobros'!$D14</f>
        <v>0</v>
      </c>
      <c r="G20" s="961">
        <f>G8*'Precios Venta y P. Cobros'!$D14</f>
        <v>0</v>
      </c>
      <c r="H20" s="961">
        <f>H8*'Precios Venta y P. Cobros'!$D14</f>
        <v>0</v>
      </c>
      <c r="I20" s="961">
        <f>I8*'Precios Venta y P. Cobros'!$D14</f>
        <v>0</v>
      </c>
      <c r="J20" s="961">
        <f>J8*'Precios Venta y P. Cobros'!$D14</f>
        <v>0</v>
      </c>
      <c r="K20" s="961">
        <f>K8*'Precios Venta y P. Cobros'!$D14</f>
        <v>0</v>
      </c>
      <c r="L20" s="961">
        <f>L8*'Precios Venta y P. Cobros'!$D14</f>
        <v>0</v>
      </c>
      <c r="M20" s="961">
        <f>M8*'Precios Venta y P. Cobros'!$D14</f>
        <v>0</v>
      </c>
      <c r="N20" s="995">
        <f t="shared" si="2"/>
        <v>0</v>
      </c>
      <c r="O20" s="446"/>
    </row>
    <row r="21" spans="1:15" ht="15.75" x14ac:dyDescent="0.25">
      <c r="A21" s="466" t="str">
        <f>IF(Parametros!A28="","",Parametros!A28)</f>
        <v/>
      </c>
      <c r="B21" s="961">
        <f>B9*'Precios Venta y P. Cobros'!$D15</f>
        <v>0</v>
      </c>
      <c r="C21" s="961">
        <f>C9*'Precios Venta y P. Cobros'!$D15</f>
        <v>0</v>
      </c>
      <c r="D21" s="961">
        <f>D9*'Precios Venta y P. Cobros'!$D15</f>
        <v>0</v>
      </c>
      <c r="E21" s="961">
        <f>E9*'Precios Venta y P. Cobros'!$D15</f>
        <v>0</v>
      </c>
      <c r="F21" s="961">
        <f>F9*'Precios Venta y P. Cobros'!$D15</f>
        <v>0</v>
      </c>
      <c r="G21" s="961">
        <f>G9*'Precios Venta y P. Cobros'!$D15</f>
        <v>0</v>
      </c>
      <c r="H21" s="961">
        <f>H9*'Precios Venta y P. Cobros'!$D15</f>
        <v>0</v>
      </c>
      <c r="I21" s="961">
        <f>I9*'Precios Venta y P. Cobros'!$D15</f>
        <v>0</v>
      </c>
      <c r="J21" s="961">
        <f>J9*'Precios Venta y P. Cobros'!$D15</f>
        <v>0</v>
      </c>
      <c r="K21" s="961">
        <f>K9*'Precios Venta y P. Cobros'!$D15</f>
        <v>0</v>
      </c>
      <c r="L21" s="961">
        <f>L9*'Precios Venta y P. Cobros'!$D15</f>
        <v>0</v>
      </c>
      <c r="M21" s="961">
        <f>M9*'Precios Venta y P. Cobros'!$D15</f>
        <v>0</v>
      </c>
      <c r="N21" s="995">
        <f t="shared" si="2"/>
        <v>0</v>
      </c>
      <c r="O21" s="446"/>
    </row>
    <row r="22" spans="1:15" ht="15.75" x14ac:dyDescent="0.25">
      <c r="A22" s="466" t="str">
        <f>IF(Parametros!A29="","",Parametros!A29)</f>
        <v/>
      </c>
      <c r="B22" s="961">
        <f>B10*'Precios Venta y P. Cobros'!$D16</f>
        <v>0</v>
      </c>
      <c r="C22" s="961">
        <f>C10*'Precios Venta y P. Cobros'!$D16</f>
        <v>0</v>
      </c>
      <c r="D22" s="961">
        <f>D10*'Precios Venta y P. Cobros'!$D16</f>
        <v>0</v>
      </c>
      <c r="E22" s="961">
        <f>E10*'Precios Venta y P. Cobros'!$D16</f>
        <v>0</v>
      </c>
      <c r="F22" s="961">
        <f>F10*'Precios Venta y P. Cobros'!$D16</f>
        <v>0</v>
      </c>
      <c r="G22" s="961">
        <f>G10*'Precios Venta y P. Cobros'!$D16</f>
        <v>0</v>
      </c>
      <c r="H22" s="961">
        <f>H10*'Precios Venta y P. Cobros'!$D16</f>
        <v>0</v>
      </c>
      <c r="I22" s="961">
        <f>I10*'Precios Venta y P. Cobros'!$D16</f>
        <v>0</v>
      </c>
      <c r="J22" s="961">
        <f>J10*'Precios Venta y P. Cobros'!$D16</f>
        <v>0</v>
      </c>
      <c r="K22" s="961">
        <f>K10*'Precios Venta y P. Cobros'!$D16</f>
        <v>0</v>
      </c>
      <c r="L22" s="961">
        <f>L10*'Precios Venta y P. Cobros'!$D16</f>
        <v>0</v>
      </c>
      <c r="M22" s="961">
        <f>M10*'Precios Venta y P. Cobros'!$D16</f>
        <v>0</v>
      </c>
      <c r="N22" s="995">
        <f t="shared" si="2"/>
        <v>0</v>
      </c>
      <c r="O22" s="446"/>
    </row>
    <row r="23" spans="1:15" ht="15.75" x14ac:dyDescent="0.25">
      <c r="A23" s="466" t="str">
        <f>IF(Parametros!A30="","",Parametros!A30)</f>
        <v/>
      </c>
      <c r="B23" s="961">
        <f>B11*'Precios Venta y P. Cobros'!$D17</f>
        <v>0</v>
      </c>
      <c r="C23" s="961">
        <f>C11*'Precios Venta y P. Cobros'!$D17</f>
        <v>0</v>
      </c>
      <c r="D23" s="961">
        <f>D11*'Precios Venta y P. Cobros'!$D17</f>
        <v>0</v>
      </c>
      <c r="E23" s="961">
        <f>E11*'Precios Venta y P. Cobros'!$D17</f>
        <v>0</v>
      </c>
      <c r="F23" s="961">
        <f>F11*'Precios Venta y P. Cobros'!$D17</f>
        <v>0</v>
      </c>
      <c r="G23" s="961">
        <f>G11*'Precios Venta y P. Cobros'!$D17</f>
        <v>0</v>
      </c>
      <c r="H23" s="961">
        <f>H11*'Precios Venta y P. Cobros'!$D17</f>
        <v>0</v>
      </c>
      <c r="I23" s="961">
        <f>I11*'Precios Venta y P. Cobros'!$D17</f>
        <v>0</v>
      </c>
      <c r="J23" s="961">
        <f>J11*'Precios Venta y P. Cobros'!$D17</f>
        <v>0</v>
      </c>
      <c r="K23" s="961">
        <f>K11*'Precios Venta y P. Cobros'!$D17</f>
        <v>0</v>
      </c>
      <c r="L23" s="961">
        <f>L11*'Precios Venta y P. Cobros'!$D17</f>
        <v>0</v>
      </c>
      <c r="M23" s="961">
        <f>M11*'Precios Venta y P. Cobros'!$D17</f>
        <v>0</v>
      </c>
      <c r="N23" s="995">
        <f t="shared" si="2"/>
        <v>0</v>
      </c>
      <c r="O23" s="446"/>
    </row>
    <row r="24" spans="1:15" ht="16.5" thickBot="1" x14ac:dyDescent="0.3">
      <c r="A24" s="893" t="str">
        <f>IF(Parametros!A31="","",Parametros!A31)</f>
        <v/>
      </c>
      <c r="B24" s="963">
        <f>B12*'Precios Venta y P. Cobros'!$D18</f>
        <v>0</v>
      </c>
      <c r="C24" s="963">
        <f>C12*'Precios Venta y P. Cobros'!$D18</f>
        <v>0</v>
      </c>
      <c r="D24" s="963">
        <f>D12*'Precios Venta y P. Cobros'!$D18</f>
        <v>0</v>
      </c>
      <c r="E24" s="963">
        <f>E12*'Precios Venta y P. Cobros'!$D18</f>
        <v>0</v>
      </c>
      <c r="F24" s="963">
        <f>F12*'Precios Venta y P. Cobros'!$D18</f>
        <v>0</v>
      </c>
      <c r="G24" s="963">
        <f>G12*'Precios Venta y P. Cobros'!$D18</f>
        <v>0</v>
      </c>
      <c r="H24" s="963">
        <f>H12*'Precios Venta y P. Cobros'!$D18</f>
        <v>0</v>
      </c>
      <c r="I24" s="963">
        <f>I12*'Precios Venta y P. Cobros'!$D18</f>
        <v>0</v>
      </c>
      <c r="J24" s="963">
        <f>J12*'Precios Venta y P. Cobros'!$D18</f>
        <v>0</v>
      </c>
      <c r="K24" s="963">
        <f>K12*'Precios Venta y P. Cobros'!$D18</f>
        <v>0</v>
      </c>
      <c r="L24" s="963">
        <f>L12*'Precios Venta y P. Cobros'!$D18</f>
        <v>0</v>
      </c>
      <c r="M24" s="963">
        <f>M12*'Precios Venta y P. Cobros'!$D18</f>
        <v>0</v>
      </c>
      <c r="N24" s="997">
        <f t="shared" si="2"/>
        <v>0</v>
      </c>
      <c r="O24" s="446"/>
    </row>
    <row r="25" spans="1:15" ht="16.5" thickTop="1" thickBot="1" x14ac:dyDescent="0.3">
      <c r="A25" s="467" t="s">
        <v>865</v>
      </c>
      <c r="B25" s="1007">
        <f t="shared" ref="B25:M25" si="3">B17+B18+B19+B20+B21+B22+B23+B24</f>
        <v>0</v>
      </c>
      <c r="C25" s="1007">
        <f t="shared" si="3"/>
        <v>0</v>
      </c>
      <c r="D25" s="1007">
        <f t="shared" si="3"/>
        <v>0</v>
      </c>
      <c r="E25" s="1007">
        <f t="shared" si="3"/>
        <v>0</v>
      </c>
      <c r="F25" s="1007">
        <f t="shared" si="3"/>
        <v>0</v>
      </c>
      <c r="G25" s="1007">
        <f t="shared" si="3"/>
        <v>0</v>
      </c>
      <c r="H25" s="1007">
        <f t="shared" si="3"/>
        <v>0</v>
      </c>
      <c r="I25" s="1007">
        <f t="shared" si="3"/>
        <v>0</v>
      </c>
      <c r="J25" s="1007">
        <f t="shared" si="3"/>
        <v>0</v>
      </c>
      <c r="K25" s="1007">
        <f t="shared" si="3"/>
        <v>0</v>
      </c>
      <c r="L25" s="1007">
        <f t="shared" si="3"/>
        <v>0</v>
      </c>
      <c r="M25" s="1007">
        <f t="shared" si="3"/>
        <v>0</v>
      </c>
      <c r="N25" s="1000">
        <f t="shared" si="2"/>
        <v>0</v>
      </c>
      <c r="O25" s="446"/>
    </row>
    <row r="26" spans="1:15" ht="17.25" x14ac:dyDescent="0.3">
      <c r="A26" s="450"/>
    </row>
    <row r="27" spans="1:15" ht="17.25" x14ac:dyDescent="0.3">
      <c r="A27" s="450"/>
    </row>
    <row r="28" spans="1:15" ht="24.75" x14ac:dyDescent="0.4">
      <c r="A28" s="449" t="str">
        <f>'Prev.Ventas 0'!A28</f>
        <v>Previsión de Costes Variables de la empresa</v>
      </c>
      <c r="F28" s="887">
        <f>E1</f>
        <v>2027</v>
      </c>
    </row>
    <row r="29" spans="1:15" ht="28.5" thickBot="1" x14ac:dyDescent="0.5">
      <c r="A29" s="408">
        <f>'Datos Básicos'!B8</f>
        <v>0</v>
      </c>
    </row>
    <row r="30" spans="1:15" ht="15.75" thickBot="1" x14ac:dyDescent="0.3">
      <c r="A30" s="894" t="s">
        <v>893</v>
      </c>
      <c r="B30" s="890" t="str">
        <f t="shared" ref="B30:M30" si="4">B$4</f>
        <v>enero</v>
      </c>
      <c r="C30" s="890" t="str">
        <f t="shared" si="4"/>
        <v>febrero</v>
      </c>
      <c r="D30" s="890" t="str">
        <f t="shared" si="4"/>
        <v>marzo</v>
      </c>
      <c r="E30" s="890" t="str">
        <f t="shared" si="4"/>
        <v>abril</v>
      </c>
      <c r="F30" s="890" t="str">
        <f t="shared" si="4"/>
        <v>mayo</v>
      </c>
      <c r="G30" s="890" t="str">
        <f t="shared" si="4"/>
        <v>junio</v>
      </c>
      <c r="H30" s="890" t="str">
        <f t="shared" si="4"/>
        <v>julio</v>
      </c>
      <c r="I30" s="890" t="str">
        <f t="shared" si="4"/>
        <v>agosto</v>
      </c>
      <c r="J30" s="890" t="str">
        <f t="shared" si="4"/>
        <v>septiembre</v>
      </c>
      <c r="K30" s="890" t="str">
        <f t="shared" si="4"/>
        <v>octubre</v>
      </c>
      <c r="L30" s="890" t="str">
        <f t="shared" si="4"/>
        <v>noviembre</v>
      </c>
      <c r="M30" s="890" t="str">
        <f t="shared" si="4"/>
        <v>diciembre</v>
      </c>
      <c r="N30" s="891" t="s">
        <v>865</v>
      </c>
      <c r="O30" s="446"/>
    </row>
    <row r="31" spans="1:15" ht="15.75" x14ac:dyDescent="0.25">
      <c r="A31" s="465" t="str">
        <f t="shared" ref="A31:A38" si="5">A5</f>
        <v/>
      </c>
      <c r="B31" s="1009">
        <f>B5*'Precios-CV'!$D11</f>
        <v>0</v>
      </c>
      <c r="C31" s="959">
        <f>C5*'Precios-CV'!$D11</f>
        <v>0</v>
      </c>
      <c r="D31" s="959">
        <f>D5*'Precios-CV'!$D11</f>
        <v>0</v>
      </c>
      <c r="E31" s="959">
        <f>E5*'Precios-CV'!$D11</f>
        <v>0</v>
      </c>
      <c r="F31" s="959">
        <f>F5*'Precios-CV'!$D11</f>
        <v>0</v>
      </c>
      <c r="G31" s="959">
        <f>G5*'Precios-CV'!$D11</f>
        <v>0</v>
      </c>
      <c r="H31" s="959">
        <f>H5*'Precios-CV'!$D11</f>
        <v>0</v>
      </c>
      <c r="I31" s="959">
        <f>I5*'Precios-CV'!$D11</f>
        <v>0</v>
      </c>
      <c r="J31" s="959">
        <f>J5*'Precios-CV'!$D11</f>
        <v>0</v>
      </c>
      <c r="K31" s="959">
        <f>K5*'Precios-CV'!$D11</f>
        <v>0</v>
      </c>
      <c r="L31" s="959">
        <f>L5*'Precios-CV'!$D11</f>
        <v>0</v>
      </c>
      <c r="M31" s="1002">
        <f>M5*'Precios-CV'!$D11</f>
        <v>0</v>
      </c>
      <c r="N31" s="994">
        <f t="shared" ref="N31:N38" si="6">SUM(B31:M31)</f>
        <v>0</v>
      </c>
      <c r="O31" s="446"/>
    </row>
    <row r="32" spans="1:15" ht="15.75" x14ac:dyDescent="0.25">
      <c r="A32" s="466" t="str">
        <f t="shared" si="5"/>
        <v/>
      </c>
      <c r="B32" s="1010">
        <f>B6*'Precios-CV'!$D12</f>
        <v>0</v>
      </c>
      <c r="C32" s="961">
        <f>C6*'Precios-CV'!$D12</f>
        <v>0</v>
      </c>
      <c r="D32" s="961">
        <f>D6*'Precios-CV'!$D12</f>
        <v>0</v>
      </c>
      <c r="E32" s="961">
        <f>E6*'Precios-CV'!$D12</f>
        <v>0</v>
      </c>
      <c r="F32" s="961">
        <f>F6*'Precios-CV'!$D12</f>
        <v>0</v>
      </c>
      <c r="G32" s="961">
        <f>G6*'Precios-CV'!$D12</f>
        <v>0</v>
      </c>
      <c r="H32" s="961">
        <f>H6*'Precios-CV'!$D12</f>
        <v>0</v>
      </c>
      <c r="I32" s="961">
        <f>I6*'Precios-CV'!$D12</f>
        <v>0</v>
      </c>
      <c r="J32" s="961">
        <f>J6*'Precios-CV'!$D12</f>
        <v>0</v>
      </c>
      <c r="K32" s="961">
        <f>K6*'Precios-CV'!$D12</f>
        <v>0</v>
      </c>
      <c r="L32" s="961">
        <f>L6*'Precios-CV'!$D12</f>
        <v>0</v>
      </c>
      <c r="M32" s="1004">
        <f>M6*'Precios-CV'!$D12</f>
        <v>0</v>
      </c>
      <c r="N32" s="995">
        <f t="shared" si="6"/>
        <v>0</v>
      </c>
      <c r="O32" s="446"/>
    </row>
    <row r="33" spans="1:15" ht="15.75" x14ac:dyDescent="0.25">
      <c r="A33" s="466" t="str">
        <f t="shared" si="5"/>
        <v/>
      </c>
      <c r="B33" s="1010">
        <f>B7*'Precios-CV'!$D13</f>
        <v>0</v>
      </c>
      <c r="C33" s="961">
        <f>C7*'Precios-CV'!$D13</f>
        <v>0</v>
      </c>
      <c r="D33" s="961">
        <f>D7*'Precios-CV'!$D13</f>
        <v>0</v>
      </c>
      <c r="E33" s="961">
        <f>E7*'Precios-CV'!$D13</f>
        <v>0</v>
      </c>
      <c r="F33" s="961">
        <f>F7*'Precios-CV'!$D13</f>
        <v>0</v>
      </c>
      <c r="G33" s="961">
        <f>G7*'Precios-CV'!$D13</f>
        <v>0</v>
      </c>
      <c r="H33" s="961">
        <f>H7*'Precios-CV'!$D13</f>
        <v>0</v>
      </c>
      <c r="I33" s="961">
        <f>I7*'Precios-CV'!$D13</f>
        <v>0</v>
      </c>
      <c r="J33" s="961">
        <f>J7*'Precios-CV'!$D13</f>
        <v>0</v>
      </c>
      <c r="K33" s="961">
        <f>K7*'Precios-CV'!$D13</f>
        <v>0</v>
      </c>
      <c r="L33" s="961">
        <f>L7*'Precios-CV'!$D13</f>
        <v>0</v>
      </c>
      <c r="M33" s="1004">
        <f>M7*'Precios-CV'!$D13</f>
        <v>0</v>
      </c>
      <c r="N33" s="995">
        <f t="shared" si="6"/>
        <v>0</v>
      </c>
      <c r="O33" s="446"/>
    </row>
    <row r="34" spans="1:15" ht="15.75" x14ac:dyDescent="0.25">
      <c r="A34" s="466" t="str">
        <f t="shared" si="5"/>
        <v/>
      </c>
      <c r="B34" s="1010">
        <f>B8*'Precios-CV'!$D14</f>
        <v>0</v>
      </c>
      <c r="C34" s="961">
        <f>C8*'Precios-CV'!$D14</f>
        <v>0</v>
      </c>
      <c r="D34" s="961">
        <f>D8*'Precios-CV'!$D14</f>
        <v>0</v>
      </c>
      <c r="E34" s="961">
        <f>E8*'Precios-CV'!$D14</f>
        <v>0</v>
      </c>
      <c r="F34" s="961">
        <f>F8*'Precios-CV'!$D14</f>
        <v>0</v>
      </c>
      <c r="G34" s="961">
        <f>G8*'Precios-CV'!$D14</f>
        <v>0</v>
      </c>
      <c r="H34" s="961">
        <f>H8*'Precios-CV'!$D14</f>
        <v>0</v>
      </c>
      <c r="I34" s="961">
        <f>I8*'Precios-CV'!$D14</f>
        <v>0</v>
      </c>
      <c r="J34" s="961">
        <f>J8*'Precios-CV'!$D14</f>
        <v>0</v>
      </c>
      <c r="K34" s="961">
        <f>K8*'Precios-CV'!$D14</f>
        <v>0</v>
      </c>
      <c r="L34" s="961">
        <f>L8*'Precios-CV'!$D14</f>
        <v>0</v>
      </c>
      <c r="M34" s="1004">
        <f>M8*'Precios-CV'!$D14</f>
        <v>0</v>
      </c>
      <c r="N34" s="995">
        <f t="shared" si="6"/>
        <v>0</v>
      </c>
      <c r="O34" s="446"/>
    </row>
    <row r="35" spans="1:15" ht="15.75" x14ac:dyDescent="0.25">
      <c r="A35" s="466" t="str">
        <f t="shared" si="5"/>
        <v/>
      </c>
      <c r="B35" s="1010">
        <f>B9*'Precios-CV'!$D15</f>
        <v>0</v>
      </c>
      <c r="C35" s="961">
        <f>C9*'Precios-CV'!$D15</f>
        <v>0</v>
      </c>
      <c r="D35" s="961">
        <f>D9*'Precios-CV'!$D15</f>
        <v>0</v>
      </c>
      <c r="E35" s="961">
        <f>E9*'Precios-CV'!$D15</f>
        <v>0</v>
      </c>
      <c r="F35" s="961">
        <f>F9*'Precios-CV'!$D15</f>
        <v>0</v>
      </c>
      <c r="G35" s="961">
        <f>G9*'Precios-CV'!$D15</f>
        <v>0</v>
      </c>
      <c r="H35" s="961">
        <f>H9*'Precios-CV'!$D15</f>
        <v>0</v>
      </c>
      <c r="I35" s="961">
        <f>I9*'Precios-CV'!$D15</f>
        <v>0</v>
      </c>
      <c r="J35" s="961">
        <f>J9*'Precios-CV'!$D15</f>
        <v>0</v>
      </c>
      <c r="K35" s="961">
        <f>K9*'Precios-CV'!$D15</f>
        <v>0</v>
      </c>
      <c r="L35" s="961">
        <f>L9*'Precios-CV'!$D15</f>
        <v>0</v>
      </c>
      <c r="M35" s="1004">
        <f>M9*'Precios-CV'!$D15</f>
        <v>0</v>
      </c>
      <c r="N35" s="995">
        <f t="shared" si="6"/>
        <v>0</v>
      </c>
      <c r="O35" s="446"/>
    </row>
    <row r="36" spans="1:15" ht="15.75" x14ac:dyDescent="0.25">
      <c r="A36" s="466" t="str">
        <f t="shared" si="5"/>
        <v/>
      </c>
      <c r="B36" s="1010">
        <f>B10*'Precios-CV'!$D16</f>
        <v>0</v>
      </c>
      <c r="C36" s="961">
        <f>C10*'Precios-CV'!$D16</f>
        <v>0</v>
      </c>
      <c r="D36" s="961">
        <f>D10*'Precios-CV'!$D16</f>
        <v>0</v>
      </c>
      <c r="E36" s="961">
        <f>E10*'Precios-CV'!$D16</f>
        <v>0</v>
      </c>
      <c r="F36" s="961">
        <f>F10*'Precios-CV'!$D16</f>
        <v>0</v>
      </c>
      <c r="G36" s="961">
        <f>G10*'Precios-CV'!$D16</f>
        <v>0</v>
      </c>
      <c r="H36" s="961">
        <f>H10*'Precios-CV'!$D16</f>
        <v>0</v>
      </c>
      <c r="I36" s="961">
        <f>I10*'Precios-CV'!$D16</f>
        <v>0</v>
      </c>
      <c r="J36" s="961">
        <f>J10*'Precios-CV'!$D16</f>
        <v>0</v>
      </c>
      <c r="K36" s="961">
        <f>K10*'Precios-CV'!$D16</f>
        <v>0</v>
      </c>
      <c r="L36" s="961">
        <f>L10*'Precios-CV'!$D16</f>
        <v>0</v>
      </c>
      <c r="M36" s="1004">
        <f>M10*'Precios-CV'!$D16</f>
        <v>0</v>
      </c>
      <c r="N36" s="995">
        <f t="shared" si="6"/>
        <v>0</v>
      </c>
      <c r="O36" s="446"/>
    </row>
    <row r="37" spans="1:15" ht="15.75" x14ac:dyDescent="0.25">
      <c r="A37" s="466" t="str">
        <f t="shared" si="5"/>
        <v/>
      </c>
      <c r="B37" s="1010">
        <f>B11*'Precios-CV'!$D17</f>
        <v>0</v>
      </c>
      <c r="C37" s="961">
        <f>C11*'Precios-CV'!$D17</f>
        <v>0</v>
      </c>
      <c r="D37" s="961">
        <f>D11*'Precios-CV'!$D17</f>
        <v>0</v>
      </c>
      <c r="E37" s="961">
        <f>E11*'Precios-CV'!$D17</f>
        <v>0</v>
      </c>
      <c r="F37" s="961">
        <f>F11*'Precios-CV'!$D17</f>
        <v>0</v>
      </c>
      <c r="G37" s="961">
        <f>G11*'Precios-CV'!$D17</f>
        <v>0</v>
      </c>
      <c r="H37" s="961">
        <f>H11*'Precios-CV'!$D17</f>
        <v>0</v>
      </c>
      <c r="I37" s="961">
        <f>I11*'Precios-CV'!$D17</f>
        <v>0</v>
      </c>
      <c r="J37" s="961">
        <f>J11*'Precios-CV'!$D17</f>
        <v>0</v>
      </c>
      <c r="K37" s="961">
        <f>K11*'Precios-CV'!$D17</f>
        <v>0</v>
      </c>
      <c r="L37" s="961">
        <f>L11*'Precios-CV'!$D17</f>
        <v>0</v>
      </c>
      <c r="M37" s="1004">
        <f>M11*'Precios-CV'!$D17</f>
        <v>0</v>
      </c>
      <c r="N37" s="995">
        <f t="shared" si="6"/>
        <v>0</v>
      </c>
      <c r="O37" s="446"/>
    </row>
    <row r="38" spans="1:15" ht="16.5" thickBot="1" x14ac:dyDescent="0.3">
      <c r="A38" s="893" t="str">
        <f t="shared" si="5"/>
        <v/>
      </c>
      <c r="B38" s="1011">
        <f>B12*'Precios-CV'!$D18</f>
        <v>0</v>
      </c>
      <c r="C38" s="963">
        <f>C12*'Precios-CV'!$D18</f>
        <v>0</v>
      </c>
      <c r="D38" s="963">
        <f>D12*'Precios-CV'!$D18</f>
        <v>0</v>
      </c>
      <c r="E38" s="963">
        <f>E12*'Precios-CV'!$D18</f>
        <v>0</v>
      </c>
      <c r="F38" s="963">
        <f>F12*'Precios-CV'!$D18</f>
        <v>0</v>
      </c>
      <c r="G38" s="963">
        <f>G12*'Precios-CV'!$D18</f>
        <v>0</v>
      </c>
      <c r="H38" s="963">
        <f>H12*'Precios-CV'!$D18</f>
        <v>0</v>
      </c>
      <c r="I38" s="963">
        <f>I12*'Precios-CV'!$D18</f>
        <v>0</v>
      </c>
      <c r="J38" s="963">
        <f>J12*'Precios-CV'!$D18</f>
        <v>0</v>
      </c>
      <c r="K38" s="963">
        <f>K12*'Precios-CV'!$D18</f>
        <v>0</v>
      </c>
      <c r="L38" s="963">
        <f>L12*'Precios-CV'!$D18</f>
        <v>0</v>
      </c>
      <c r="M38" s="1006">
        <f>M12*'Precios-CV'!$D18</f>
        <v>0</v>
      </c>
      <c r="N38" s="997">
        <f t="shared" si="6"/>
        <v>0</v>
      </c>
      <c r="O38" s="446"/>
    </row>
    <row r="39" spans="1:15" s="305" customFormat="1" ht="16.5" thickTop="1" thickBot="1" x14ac:dyDescent="0.3">
      <c r="A39" s="467" t="s">
        <v>860</v>
      </c>
      <c r="B39" s="1008">
        <f t="shared" ref="B39:N39" si="7">SUM(B31:B38)</f>
        <v>0</v>
      </c>
      <c r="C39" s="1008">
        <f t="shared" si="7"/>
        <v>0</v>
      </c>
      <c r="D39" s="1008">
        <f t="shared" si="7"/>
        <v>0</v>
      </c>
      <c r="E39" s="1008">
        <f t="shared" si="7"/>
        <v>0</v>
      </c>
      <c r="F39" s="1008">
        <f t="shared" si="7"/>
        <v>0</v>
      </c>
      <c r="G39" s="1008">
        <f t="shared" si="7"/>
        <v>0</v>
      </c>
      <c r="H39" s="1008">
        <f t="shared" si="7"/>
        <v>0</v>
      </c>
      <c r="I39" s="1008">
        <f t="shared" si="7"/>
        <v>0</v>
      </c>
      <c r="J39" s="1008">
        <f t="shared" si="7"/>
        <v>0</v>
      </c>
      <c r="K39" s="1008">
        <f t="shared" si="7"/>
        <v>0</v>
      </c>
      <c r="L39" s="1008">
        <f t="shared" si="7"/>
        <v>0</v>
      </c>
      <c r="M39" s="1008">
        <f t="shared" si="7"/>
        <v>0</v>
      </c>
      <c r="N39" s="1000">
        <f t="shared" si="7"/>
        <v>0</v>
      </c>
    </row>
    <row r="40" spans="1:15" s="305" customFormat="1" x14ac:dyDescent="0.25">
      <c r="A40" s="445"/>
      <c r="B40" s="445"/>
    </row>
    <row r="41" spans="1:15" s="305" customFormat="1" x14ac:dyDescent="0.25">
      <c r="A41" s="445"/>
      <c r="B41" s="445"/>
    </row>
    <row r="42" spans="1:15" s="305" customFormat="1" x14ac:dyDescent="0.25">
      <c r="A42" s="445"/>
      <c r="B42" s="445"/>
    </row>
    <row r="43" spans="1:15" s="305" customFormat="1" x14ac:dyDescent="0.25">
      <c r="A43" s="445"/>
      <c r="B43" s="445"/>
    </row>
    <row r="44" spans="1:15" s="305" customFormat="1" x14ac:dyDescent="0.25">
      <c r="A44" s="445"/>
      <c r="B44" s="445"/>
    </row>
    <row r="45" spans="1:15" x14ac:dyDescent="0.25">
      <c r="A45" s="445"/>
    </row>
    <row r="46" spans="1:15" x14ac:dyDescent="0.25">
      <c r="A46" s="445"/>
    </row>
    <row r="47" spans="1:15" ht="23.25" customHeight="1" x14ac:dyDescent="0.45">
      <c r="A47" s="408" t="str">
        <f>'Prev.Ventas 0'!A47</f>
        <v>Estacionalidad de las Ventas</v>
      </c>
      <c r="B47" s="446"/>
      <c r="D47" s="887">
        <f>E1</f>
        <v>2027</v>
      </c>
    </row>
    <row r="48" spans="1:15" ht="27.75" x14ac:dyDescent="0.45">
      <c r="A48" s="408">
        <f>'Datos Básicos'!B8</f>
        <v>0</v>
      </c>
    </row>
    <row r="49" spans="1:20" ht="28.5" thickBot="1" x14ac:dyDescent="0.5">
      <c r="A49" s="408"/>
    </row>
    <row r="50" spans="1:20" ht="18.75" customHeight="1" thickBot="1" x14ac:dyDescent="0.35">
      <c r="A50" s="410" t="s">
        <v>468</v>
      </c>
      <c r="B50" s="467" t="str">
        <f t="shared" ref="B50:M50" si="8">B$4</f>
        <v>enero</v>
      </c>
      <c r="C50" s="890" t="str">
        <f t="shared" si="8"/>
        <v>febrero</v>
      </c>
      <c r="D50" s="890" t="str">
        <f t="shared" si="8"/>
        <v>marzo</v>
      </c>
      <c r="E50" s="890" t="str">
        <f t="shared" si="8"/>
        <v>abril</v>
      </c>
      <c r="F50" s="890" t="str">
        <f t="shared" si="8"/>
        <v>mayo</v>
      </c>
      <c r="G50" s="890" t="str">
        <f t="shared" si="8"/>
        <v>junio</v>
      </c>
      <c r="H50" s="890" t="str">
        <f t="shared" si="8"/>
        <v>julio</v>
      </c>
      <c r="I50" s="890" t="str">
        <f t="shared" si="8"/>
        <v>agosto</v>
      </c>
      <c r="J50" s="890" t="str">
        <f t="shared" si="8"/>
        <v>septiembre</v>
      </c>
      <c r="K50" s="890" t="str">
        <f t="shared" si="8"/>
        <v>octubre</v>
      </c>
      <c r="L50" s="890" t="str">
        <f t="shared" si="8"/>
        <v>noviembre</v>
      </c>
      <c r="M50" s="890" t="str">
        <f t="shared" si="8"/>
        <v>diciembre</v>
      </c>
      <c r="N50" s="891" t="s">
        <v>865</v>
      </c>
    </row>
    <row r="51" spans="1:20" ht="18.75" customHeight="1" x14ac:dyDescent="0.3">
      <c r="A51" s="895" t="str">
        <f>A31</f>
        <v/>
      </c>
      <c r="B51" s="896" t="str">
        <f t="shared" ref="B51:M51" si="9">IF($N17=0,"",B17/$N17)</f>
        <v/>
      </c>
      <c r="C51" s="897" t="str">
        <f t="shared" si="9"/>
        <v/>
      </c>
      <c r="D51" s="897" t="str">
        <f t="shared" si="9"/>
        <v/>
      </c>
      <c r="E51" s="897" t="str">
        <f t="shared" si="9"/>
        <v/>
      </c>
      <c r="F51" s="897" t="str">
        <f t="shared" si="9"/>
        <v/>
      </c>
      <c r="G51" s="897" t="str">
        <f t="shared" si="9"/>
        <v/>
      </c>
      <c r="H51" s="897" t="str">
        <f t="shared" si="9"/>
        <v/>
      </c>
      <c r="I51" s="897" t="str">
        <f t="shared" si="9"/>
        <v/>
      </c>
      <c r="J51" s="897" t="str">
        <f t="shared" si="9"/>
        <v/>
      </c>
      <c r="K51" s="897" t="str">
        <f t="shared" si="9"/>
        <v/>
      </c>
      <c r="L51" s="897" t="str">
        <f t="shared" si="9"/>
        <v/>
      </c>
      <c r="M51" s="898" t="str">
        <f t="shared" si="9"/>
        <v/>
      </c>
      <c r="N51" s="899">
        <f t="shared" ref="N51:N59" si="10">SUM(B51:M51)</f>
        <v>0</v>
      </c>
    </row>
    <row r="52" spans="1:20" ht="18.75" customHeight="1" x14ac:dyDescent="0.3">
      <c r="A52" s="900" t="str">
        <f t="shared" ref="A52:A58" si="11">A32</f>
        <v/>
      </c>
      <c r="B52" s="901" t="str">
        <f t="shared" ref="B52:M52" si="12">IF($N18=0,"",B18/$N18)</f>
        <v/>
      </c>
      <c r="C52" s="902" t="str">
        <f t="shared" si="12"/>
        <v/>
      </c>
      <c r="D52" s="902" t="str">
        <f t="shared" si="12"/>
        <v/>
      </c>
      <c r="E52" s="902" t="str">
        <f t="shared" si="12"/>
        <v/>
      </c>
      <c r="F52" s="902" t="str">
        <f t="shared" si="12"/>
        <v/>
      </c>
      <c r="G52" s="902" t="str">
        <f t="shared" si="12"/>
        <v/>
      </c>
      <c r="H52" s="902" t="str">
        <f t="shared" si="12"/>
        <v/>
      </c>
      <c r="I52" s="902" t="str">
        <f t="shared" si="12"/>
        <v/>
      </c>
      <c r="J52" s="902" t="str">
        <f t="shared" si="12"/>
        <v/>
      </c>
      <c r="K52" s="902" t="str">
        <f t="shared" si="12"/>
        <v/>
      </c>
      <c r="L52" s="902" t="str">
        <f t="shared" si="12"/>
        <v/>
      </c>
      <c r="M52" s="903" t="str">
        <f t="shared" si="12"/>
        <v/>
      </c>
      <c r="N52" s="904">
        <f t="shared" si="10"/>
        <v>0</v>
      </c>
    </row>
    <row r="53" spans="1:20" ht="18.75" customHeight="1" x14ac:dyDescent="0.3">
      <c r="A53" s="900" t="str">
        <f t="shared" si="11"/>
        <v/>
      </c>
      <c r="B53" s="901" t="str">
        <f t="shared" ref="B53:M53" si="13">IF($N19=0,"",B19/$N19)</f>
        <v/>
      </c>
      <c r="C53" s="902" t="str">
        <f t="shared" si="13"/>
        <v/>
      </c>
      <c r="D53" s="902" t="str">
        <f t="shared" si="13"/>
        <v/>
      </c>
      <c r="E53" s="902" t="str">
        <f t="shared" si="13"/>
        <v/>
      </c>
      <c r="F53" s="902" t="str">
        <f t="shared" si="13"/>
        <v/>
      </c>
      <c r="G53" s="902" t="str">
        <f t="shared" si="13"/>
        <v/>
      </c>
      <c r="H53" s="902" t="str">
        <f t="shared" si="13"/>
        <v/>
      </c>
      <c r="I53" s="902" t="str">
        <f t="shared" si="13"/>
        <v/>
      </c>
      <c r="J53" s="902" t="str">
        <f t="shared" si="13"/>
        <v/>
      </c>
      <c r="K53" s="902" t="str">
        <f t="shared" si="13"/>
        <v/>
      </c>
      <c r="L53" s="902" t="str">
        <f t="shared" si="13"/>
        <v/>
      </c>
      <c r="M53" s="903" t="str">
        <f t="shared" si="13"/>
        <v/>
      </c>
      <c r="N53" s="904">
        <f t="shared" si="10"/>
        <v>0</v>
      </c>
    </row>
    <row r="54" spans="1:20" ht="18.75" customHeight="1" x14ac:dyDescent="0.3">
      <c r="A54" s="900" t="str">
        <f t="shared" si="11"/>
        <v/>
      </c>
      <c r="B54" s="901" t="str">
        <f t="shared" ref="B54:M54" si="14">IF($N20=0,"",B20/$N20)</f>
        <v/>
      </c>
      <c r="C54" s="902" t="str">
        <f t="shared" si="14"/>
        <v/>
      </c>
      <c r="D54" s="902" t="str">
        <f t="shared" si="14"/>
        <v/>
      </c>
      <c r="E54" s="902" t="str">
        <f t="shared" si="14"/>
        <v/>
      </c>
      <c r="F54" s="902" t="str">
        <f t="shared" si="14"/>
        <v/>
      </c>
      <c r="G54" s="902" t="str">
        <f t="shared" si="14"/>
        <v/>
      </c>
      <c r="H54" s="902" t="str">
        <f t="shared" si="14"/>
        <v/>
      </c>
      <c r="I54" s="902" t="str">
        <f t="shared" si="14"/>
        <v/>
      </c>
      <c r="J54" s="902" t="str">
        <f t="shared" si="14"/>
        <v/>
      </c>
      <c r="K54" s="902" t="str">
        <f t="shared" si="14"/>
        <v/>
      </c>
      <c r="L54" s="902" t="str">
        <f t="shared" si="14"/>
        <v/>
      </c>
      <c r="M54" s="903" t="str">
        <f t="shared" si="14"/>
        <v/>
      </c>
      <c r="N54" s="904">
        <f t="shared" si="10"/>
        <v>0</v>
      </c>
    </row>
    <row r="55" spans="1:20" ht="18.75" customHeight="1" x14ac:dyDescent="0.3">
      <c r="A55" s="900" t="str">
        <f t="shared" si="11"/>
        <v/>
      </c>
      <c r="B55" s="901" t="str">
        <f t="shared" ref="B55:M55" si="15">IF($N21=0,"",B21/$N21)</f>
        <v/>
      </c>
      <c r="C55" s="902" t="str">
        <f t="shared" si="15"/>
        <v/>
      </c>
      <c r="D55" s="902" t="str">
        <f t="shared" si="15"/>
        <v/>
      </c>
      <c r="E55" s="902" t="str">
        <f t="shared" si="15"/>
        <v/>
      </c>
      <c r="F55" s="902" t="str">
        <f t="shared" si="15"/>
        <v/>
      </c>
      <c r="G55" s="902" t="str">
        <f t="shared" si="15"/>
        <v/>
      </c>
      <c r="H55" s="902" t="str">
        <f t="shared" si="15"/>
        <v/>
      </c>
      <c r="I55" s="902" t="str">
        <f t="shared" si="15"/>
        <v/>
      </c>
      <c r="J55" s="902" t="str">
        <f t="shared" si="15"/>
        <v/>
      </c>
      <c r="K55" s="902" t="str">
        <f t="shared" si="15"/>
        <v/>
      </c>
      <c r="L55" s="902" t="str">
        <f t="shared" si="15"/>
        <v/>
      </c>
      <c r="M55" s="903" t="str">
        <f t="shared" si="15"/>
        <v/>
      </c>
      <c r="N55" s="904">
        <f t="shared" si="10"/>
        <v>0</v>
      </c>
    </row>
    <row r="56" spans="1:20" ht="18.75" customHeight="1" x14ac:dyDescent="0.3">
      <c r="A56" s="900" t="str">
        <f t="shared" si="11"/>
        <v/>
      </c>
      <c r="B56" s="901" t="str">
        <f t="shared" ref="B56:M56" si="16">IF($N22=0,"",B22/$N22)</f>
        <v/>
      </c>
      <c r="C56" s="902" t="str">
        <f t="shared" si="16"/>
        <v/>
      </c>
      <c r="D56" s="902" t="str">
        <f t="shared" si="16"/>
        <v/>
      </c>
      <c r="E56" s="902" t="str">
        <f t="shared" si="16"/>
        <v/>
      </c>
      <c r="F56" s="902" t="str">
        <f t="shared" si="16"/>
        <v/>
      </c>
      <c r="G56" s="902" t="str">
        <f t="shared" si="16"/>
        <v/>
      </c>
      <c r="H56" s="902" t="str">
        <f t="shared" si="16"/>
        <v/>
      </c>
      <c r="I56" s="902" t="str">
        <f t="shared" si="16"/>
        <v/>
      </c>
      <c r="J56" s="902" t="str">
        <f t="shared" si="16"/>
        <v/>
      </c>
      <c r="K56" s="902" t="str">
        <f t="shared" si="16"/>
        <v/>
      </c>
      <c r="L56" s="902" t="str">
        <f t="shared" si="16"/>
        <v/>
      </c>
      <c r="M56" s="903" t="str">
        <f t="shared" si="16"/>
        <v/>
      </c>
      <c r="N56" s="904">
        <f t="shared" si="10"/>
        <v>0</v>
      </c>
    </row>
    <row r="57" spans="1:20" ht="18.75" customHeight="1" x14ac:dyDescent="0.3">
      <c r="A57" s="900" t="str">
        <f t="shared" si="11"/>
        <v/>
      </c>
      <c r="B57" s="901" t="str">
        <f t="shared" ref="B57:M57" si="17">IF($N23=0,"",B23/$N23)</f>
        <v/>
      </c>
      <c r="C57" s="902" t="str">
        <f t="shared" si="17"/>
        <v/>
      </c>
      <c r="D57" s="902" t="str">
        <f t="shared" si="17"/>
        <v/>
      </c>
      <c r="E57" s="902" t="str">
        <f t="shared" si="17"/>
        <v/>
      </c>
      <c r="F57" s="902" t="str">
        <f t="shared" si="17"/>
        <v/>
      </c>
      <c r="G57" s="902" t="str">
        <f t="shared" si="17"/>
        <v/>
      </c>
      <c r="H57" s="902" t="str">
        <f t="shared" si="17"/>
        <v/>
      </c>
      <c r="I57" s="902" t="str">
        <f t="shared" si="17"/>
        <v/>
      </c>
      <c r="J57" s="902" t="str">
        <f t="shared" si="17"/>
        <v/>
      </c>
      <c r="K57" s="902" t="str">
        <f t="shared" si="17"/>
        <v/>
      </c>
      <c r="L57" s="902" t="str">
        <f t="shared" si="17"/>
        <v/>
      </c>
      <c r="M57" s="903" t="str">
        <f t="shared" si="17"/>
        <v/>
      </c>
      <c r="N57" s="904">
        <f t="shared" si="10"/>
        <v>0</v>
      </c>
    </row>
    <row r="58" spans="1:20" ht="18.75" customHeight="1" thickBot="1" x14ac:dyDescent="0.35">
      <c r="A58" s="905" t="str">
        <f t="shared" si="11"/>
        <v/>
      </c>
      <c r="B58" s="906" t="str">
        <f t="shared" ref="B58:M58" si="18">IF($N24=0,"",B24/$N24)</f>
        <v/>
      </c>
      <c r="C58" s="907" t="str">
        <f t="shared" si="18"/>
        <v/>
      </c>
      <c r="D58" s="907" t="str">
        <f t="shared" si="18"/>
        <v/>
      </c>
      <c r="E58" s="907" t="str">
        <f t="shared" si="18"/>
        <v/>
      </c>
      <c r="F58" s="907" t="str">
        <f t="shared" si="18"/>
        <v/>
      </c>
      <c r="G58" s="907" t="str">
        <f t="shared" si="18"/>
        <v/>
      </c>
      <c r="H58" s="907" t="str">
        <f t="shared" si="18"/>
        <v/>
      </c>
      <c r="I58" s="907" t="str">
        <f t="shared" si="18"/>
        <v/>
      </c>
      <c r="J58" s="907" t="str">
        <f t="shared" si="18"/>
        <v/>
      </c>
      <c r="K58" s="907" t="str">
        <f t="shared" si="18"/>
        <v/>
      </c>
      <c r="L58" s="907" t="str">
        <f t="shared" si="18"/>
        <v/>
      </c>
      <c r="M58" s="908" t="str">
        <f t="shared" si="18"/>
        <v/>
      </c>
      <c r="N58" s="909">
        <f t="shared" si="10"/>
        <v>0</v>
      </c>
    </row>
    <row r="59" spans="1:20" s="307" customFormat="1" ht="18.75" customHeight="1" thickBot="1" x14ac:dyDescent="0.35">
      <c r="A59" s="917" t="s">
        <v>891</v>
      </c>
      <c r="B59" s="911" t="e">
        <f t="shared" ref="B59:M59" si="19">B25/$N$25</f>
        <v>#DIV/0!</v>
      </c>
      <c r="C59" s="912" t="e">
        <f t="shared" si="19"/>
        <v>#DIV/0!</v>
      </c>
      <c r="D59" s="912" t="e">
        <f t="shared" si="19"/>
        <v>#DIV/0!</v>
      </c>
      <c r="E59" s="912" t="e">
        <f t="shared" si="19"/>
        <v>#DIV/0!</v>
      </c>
      <c r="F59" s="912" t="e">
        <f t="shared" si="19"/>
        <v>#DIV/0!</v>
      </c>
      <c r="G59" s="912" t="e">
        <f t="shared" si="19"/>
        <v>#DIV/0!</v>
      </c>
      <c r="H59" s="912" t="e">
        <f t="shared" si="19"/>
        <v>#DIV/0!</v>
      </c>
      <c r="I59" s="912" t="e">
        <f t="shared" si="19"/>
        <v>#DIV/0!</v>
      </c>
      <c r="J59" s="912" t="e">
        <f t="shared" si="19"/>
        <v>#DIV/0!</v>
      </c>
      <c r="K59" s="912" t="e">
        <f t="shared" si="19"/>
        <v>#DIV/0!</v>
      </c>
      <c r="L59" s="912" t="e">
        <f t="shared" si="19"/>
        <v>#DIV/0!</v>
      </c>
      <c r="M59" s="912" t="e">
        <f t="shared" si="19"/>
        <v>#DIV/0!</v>
      </c>
      <c r="N59" s="913" t="e">
        <f t="shared" si="10"/>
        <v>#DIV/0!</v>
      </c>
      <c r="O59" s="305"/>
      <c r="P59" s="446"/>
      <c r="Q59" s="446"/>
      <c r="R59" s="446"/>
      <c r="S59" s="446"/>
      <c r="T59" s="446"/>
    </row>
    <row r="60" spans="1:20" s="307" customFormat="1" ht="18.75" customHeight="1" x14ac:dyDescent="0.3"/>
    <row r="62" spans="1:20" x14ac:dyDescent="0.25">
      <c r="B62" s="446"/>
    </row>
    <row r="63" spans="1:20" x14ac:dyDescent="0.25">
      <c r="B63" s="446"/>
    </row>
    <row r="64" spans="1:20" x14ac:dyDescent="0.25">
      <c r="B64" s="446"/>
    </row>
    <row r="65" spans="2:2" x14ac:dyDescent="0.25">
      <c r="B65" s="446"/>
    </row>
    <row r="66" spans="2:2" x14ac:dyDescent="0.25">
      <c r="B66" s="446"/>
    </row>
    <row r="67" spans="2:2" x14ac:dyDescent="0.25">
      <c r="B67" s="446"/>
    </row>
    <row r="68" spans="2:2" x14ac:dyDescent="0.25">
      <c r="B68" s="446"/>
    </row>
    <row r="69" spans="2:2" x14ac:dyDescent="0.25">
      <c r="B69" s="446"/>
    </row>
    <row r="70" spans="2:2" x14ac:dyDescent="0.25">
      <c r="B70" s="446"/>
    </row>
    <row r="71" spans="2:2" x14ac:dyDescent="0.25">
      <c r="B71" s="446"/>
    </row>
    <row r="72" spans="2:2" x14ac:dyDescent="0.25">
      <c r="B72" s="446"/>
    </row>
    <row r="73" spans="2:2" x14ac:dyDescent="0.25">
      <c r="B73" s="446"/>
    </row>
    <row r="74" spans="2:2" x14ac:dyDescent="0.25">
      <c r="B74" s="446"/>
    </row>
    <row r="75" spans="2:2" x14ac:dyDescent="0.25">
      <c r="B75" s="446"/>
    </row>
    <row r="76" spans="2:2" x14ac:dyDescent="0.25">
      <c r="B76" s="446"/>
    </row>
    <row r="77" spans="2:2" x14ac:dyDescent="0.25">
      <c r="B77" s="446"/>
    </row>
    <row r="78" spans="2:2" x14ac:dyDescent="0.25">
      <c r="B78" s="446"/>
    </row>
    <row r="79" spans="2:2" x14ac:dyDescent="0.25">
      <c r="B79" s="446"/>
    </row>
    <row r="80" spans="2:2" x14ac:dyDescent="0.25">
      <c r="B80" s="446"/>
    </row>
    <row r="81" spans="2:2" x14ac:dyDescent="0.25">
      <c r="B81" s="446"/>
    </row>
    <row r="82" spans="2:2" x14ac:dyDescent="0.25">
      <c r="B82" s="446"/>
    </row>
    <row r="83" spans="2:2" x14ac:dyDescent="0.25">
      <c r="B83" s="446"/>
    </row>
    <row r="84" spans="2:2" x14ac:dyDescent="0.25">
      <c r="B84" s="446"/>
    </row>
    <row r="85" spans="2:2" x14ac:dyDescent="0.25">
      <c r="B85" s="446"/>
    </row>
    <row r="99" spans="2:2" x14ac:dyDescent="0.25">
      <c r="B99" s="446"/>
    </row>
    <row r="100" spans="2:2" x14ac:dyDescent="0.25">
      <c r="B100" s="446"/>
    </row>
  </sheetData>
  <sheetProtection sheet="1" objects="1" scenarios="1" formatCells="0" formatColumns="0"/>
  <phoneticPr fontId="13" type="noConversion"/>
  <printOptions horizontalCentered="1" verticalCentered="1"/>
  <pageMargins left="0.38" right="0.19685039370078741" top="0.53" bottom="0.71" header="0.51181102362204722" footer="0.39370078740157483"/>
  <pageSetup paperSize="9" scale="82" fitToHeight="2" orientation="landscape" horizontalDpi="300" verticalDpi="300" r:id="rId1"/>
  <headerFooter alignWithMargins="0">
    <oddFooter>&amp;A</oddFooter>
  </headerFooter>
  <rowBreaks count="1" manualBreakCount="1">
    <brk id="44" max="16383"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14">
    <tabColor rgb="FF7CC9D0"/>
    <pageSetUpPr fitToPage="1"/>
  </sheetPr>
  <dimension ref="A1:T100"/>
  <sheetViews>
    <sheetView showGridLines="0" workbookViewId="0"/>
  </sheetViews>
  <sheetFormatPr baseColWidth="10" defaultRowHeight="15" x14ac:dyDescent="0.25"/>
  <cols>
    <col min="1" max="1" width="24.125" style="305" customWidth="1"/>
    <col min="2" max="2" width="15.125" style="445" bestFit="1" customWidth="1"/>
    <col min="3" max="3" width="13" style="446" customWidth="1"/>
    <col min="4" max="4" width="9.25" style="446" bestFit="1" customWidth="1"/>
    <col min="5" max="5" width="10.125" style="446" bestFit="1" customWidth="1"/>
    <col min="6" max="6" width="8.875" style="446" customWidth="1"/>
    <col min="7" max="7" width="10.125" style="446" bestFit="1" customWidth="1"/>
    <col min="8" max="8" width="9.375" style="446" customWidth="1"/>
    <col min="9" max="9" width="10.25" style="446" bestFit="1" customWidth="1"/>
    <col min="10" max="10" width="12.125" style="446" bestFit="1" customWidth="1"/>
    <col min="11" max="11" width="9.375" style="446" customWidth="1"/>
    <col min="12" max="13" width="9.125" style="446" customWidth="1"/>
    <col min="14" max="14" width="8.75" style="446" customWidth="1"/>
    <col min="15" max="15" width="12.25" style="305" customWidth="1"/>
    <col min="16" max="16384" width="11" style="446"/>
  </cols>
  <sheetData>
    <row r="1" spans="1:15" ht="24.75" x14ac:dyDescent="0.4">
      <c r="A1" s="449" t="str">
        <f>'Prev.Ventas 0'!A1</f>
        <v>Previsiones de Ventas de la empresa</v>
      </c>
      <c r="E1" s="887">
        <f>'Datos Básicos'!D17</f>
        <v>2028</v>
      </c>
    </row>
    <row r="2" spans="1:15" ht="27.75" x14ac:dyDescent="0.45">
      <c r="A2" s="408">
        <f>'Datos Básicos'!B8</f>
        <v>0</v>
      </c>
    </row>
    <row r="3" spans="1:15" ht="14.25" customHeight="1" thickBot="1" x14ac:dyDescent="0.5">
      <c r="A3" s="408"/>
    </row>
    <row r="4" spans="1:15" s="445" customFormat="1" ht="15.75" thickBot="1" x14ac:dyDescent="0.3">
      <c r="A4" s="914" t="s">
        <v>52</v>
      </c>
      <c r="B4" s="889" t="str">
        <f>'Datos Gastos Fijos'!D7</f>
        <v>enero</v>
      </c>
      <c r="C4" s="890" t="str">
        <f>'Datos Gastos Fijos'!E7</f>
        <v>febrero</v>
      </c>
      <c r="D4" s="890" t="str">
        <f>'Datos Gastos Fijos'!F7</f>
        <v>marzo</v>
      </c>
      <c r="E4" s="890" t="str">
        <f>'Datos Gastos Fijos'!G7</f>
        <v>abril</v>
      </c>
      <c r="F4" s="890" t="str">
        <f>'Datos Gastos Fijos'!H7</f>
        <v>mayo</v>
      </c>
      <c r="G4" s="890" t="str">
        <f>'Datos Gastos Fijos'!I7</f>
        <v>junio</v>
      </c>
      <c r="H4" s="890" t="str">
        <f>'Datos Gastos Fijos'!J7</f>
        <v>julio</v>
      </c>
      <c r="I4" s="890" t="str">
        <f>'Datos Gastos Fijos'!K7</f>
        <v>agosto</v>
      </c>
      <c r="J4" s="890" t="str">
        <f>'Datos Gastos Fijos'!L7</f>
        <v>septiembre</v>
      </c>
      <c r="K4" s="890" t="str">
        <f>'Datos Gastos Fijos'!M7</f>
        <v>octubre</v>
      </c>
      <c r="L4" s="890" t="str">
        <f>'Datos Gastos Fijos'!N7</f>
        <v>noviembre</v>
      </c>
      <c r="M4" s="890" t="str">
        <f>'Datos Gastos Fijos'!O7</f>
        <v>diciembre</v>
      </c>
      <c r="N4" s="891" t="s">
        <v>865</v>
      </c>
    </row>
    <row r="5" spans="1:15" ht="15.75" customHeight="1" x14ac:dyDescent="0.25">
      <c r="A5" s="465" t="str">
        <f>IF(Parametros!A24="","",Parametros!A24)</f>
        <v/>
      </c>
      <c r="B5" s="959">
        <f>'Estimacion Ventas'!B38</f>
        <v>0</v>
      </c>
      <c r="C5" s="959">
        <f>'Estimacion Ventas'!C38</f>
        <v>0</v>
      </c>
      <c r="D5" s="959">
        <f>'Estimacion Ventas'!D38</f>
        <v>0</v>
      </c>
      <c r="E5" s="959">
        <f>'Estimacion Ventas'!E38</f>
        <v>0</v>
      </c>
      <c r="F5" s="959">
        <f>'Estimacion Ventas'!F38</f>
        <v>0</v>
      </c>
      <c r="G5" s="959">
        <f>'Estimacion Ventas'!G38</f>
        <v>0</v>
      </c>
      <c r="H5" s="959">
        <f>'Estimacion Ventas'!H38</f>
        <v>0</v>
      </c>
      <c r="I5" s="959">
        <f>'Estimacion Ventas'!I38</f>
        <v>0</v>
      </c>
      <c r="J5" s="959">
        <f>'Estimacion Ventas'!J38</f>
        <v>0</v>
      </c>
      <c r="K5" s="959">
        <f>'Estimacion Ventas'!K38</f>
        <v>0</v>
      </c>
      <c r="L5" s="959">
        <f>'Estimacion Ventas'!L38</f>
        <v>0</v>
      </c>
      <c r="M5" s="959">
        <f>'Estimacion Ventas'!M38</f>
        <v>0</v>
      </c>
      <c r="N5" s="994">
        <f t="shared" ref="N5:N12" si="0">SUM(B5:M5)</f>
        <v>0</v>
      </c>
      <c r="O5" s="446"/>
    </row>
    <row r="6" spans="1:15" ht="15.75" x14ac:dyDescent="0.25">
      <c r="A6" s="466" t="str">
        <f>IF(Parametros!A25="","",Parametros!A25)</f>
        <v/>
      </c>
      <c r="B6" s="961">
        <f>'Estimacion Ventas'!B39</f>
        <v>0</v>
      </c>
      <c r="C6" s="961">
        <f>'Estimacion Ventas'!C39</f>
        <v>0</v>
      </c>
      <c r="D6" s="961">
        <f>'Estimacion Ventas'!D39</f>
        <v>0</v>
      </c>
      <c r="E6" s="961">
        <f>'Estimacion Ventas'!E39</f>
        <v>0</v>
      </c>
      <c r="F6" s="961">
        <f>'Estimacion Ventas'!F39</f>
        <v>0</v>
      </c>
      <c r="G6" s="961">
        <f>'Estimacion Ventas'!G39</f>
        <v>0</v>
      </c>
      <c r="H6" s="961">
        <f>'Estimacion Ventas'!H39</f>
        <v>0</v>
      </c>
      <c r="I6" s="961">
        <f>'Estimacion Ventas'!I39</f>
        <v>0</v>
      </c>
      <c r="J6" s="961">
        <f>'Estimacion Ventas'!J39</f>
        <v>0</v>
      </c>
      <c r="K6" s="961">
        <f>'Estimacion Ventas'!K39</f>
        <v>0</v>
      </c>
      <c r="L6" s="961">
        <f>'Estimacion Ventas'!L39</f>
        <v>0</v>
      </c>
      <c r="M6" s="961">
        <f>'Estimacion Ventas'!M39</f>
        <v>0</v>
      </c>
      <c r="N6" s="995">
        <f t="shared" si="0"/>
        <v>0</v>
      </c>
      <c r="O6" s="446"/>
    </row>
    <row r="7" spans="1:15" ht="15.75" x14ac:dyDescent="0.25">
      <c r="A7" s="466" t="str">
        <f>IF(Parametros!A26="","",Parametros!A26)</f>
        <v/>
      </c>
      <c r="B7" s="961">
        <f>'Estimacion Ventas'!B40</f>
        <v>0</v>
      </c>
      <c r="C7" s="961">
        <f>'Estimacion Ventas'!C40</f>
        <v>0</v>
      </c>
      <c r="D7" s="961">
        <f>'Estimacion Ventas'!D40</f>
        <v>0</v>
      </c>
      <c r="E7" s="961">
        <f>'Estimacion Ventas'!E40</f>
        <v>0</v>
      </c>
      <c r="F7" s="961">
        <f>'Estimacion Ventas'!F40</f>
        <v>0</v>
      </c>
      <c r="G7" s="961">
        <f>'Estimacion Ventas'!G40</f>
        <v>0</v>
      </c>
      <c r="H7" s="961">
        <f>'Estimacion Ventas'!H40</f>
        <v>0</v>
      </c>
      <c r="I7" s="961">
        <f>'Estimacion Ventas'!I40</f>
        <v>0</v>
      </c>
      <c r="J7" s="961">
        <f>'Estimacion Ventas'!J40</f>
        <v>0</v>
      </c>
      <c r="K7" s="961">
        <f>'Estimacion Ventas'!K40</f>
        <v>0</v>
      </c>
      <c r="L7" s="961">
        <f>'Estimacion Ventas'!L40</f>
        <v>0</v>
      </c>
      <c r="M7" s="961">
        <f>'Estimacion Ventas'!M40</f>
        <v>0</v>
      </c>
      <c r="N7" s="995">
        <f t="shared" si="0"/>
        <v>0</v>
      </c>
      <c r="O7" s="446"/>
    </row>
    <row r="8" spans="1:15" ht="15.75" x14ac:dyDescent="0.25">
      <c r="A8" s="466" t="str">
        <f>IF(Parametros!A27="","",Parametros!A27)</f>
        <v/>
      </c>
      <c r="B8" s="961">
        <f>'Estimacion Ventas'!B41</f>
        <v>0</v>
      </c>
      <c r="C8" s="961">
        <f>'Estimacion Ventas'!C41</f>
        <v>0</v>
      </c>
      <c r="D8" s="961">
        <f>'Estimacion Ventas'!D41</f>
        <v>0</v>
      </c>
      <c r="E8" s="961">
        <f>'Estimacion Ventas'!E41</f>
        <v>0</v>
      </c>
      <c r="F8" s="961">
        <f>'Estimacion Ventas'!F41</f>
        <v>0</v>
      </c>
      <c r="G8" s="961">
        <f>'Estimacion Ventas'!G41</f>
        <v>0</v>
      </c>
      <c r="H8" s="961">
        <f>'Estimacion Ventas'!H41</f>
        <v>0</v>
      </c>
      <c r="I8" s="961">
        <f>'Estimacion Ventas'!I41</f>
        <v>0</v>
      </c>
      <c r="J8" s="961">
        <f>'Estimacion Ventas'!J41</f>
        <v>0</v>
      </c>
      <c r="K8" s="961">
        <f>'Estimacion Ventas'!K41</f>
        <v>0</v>
      </c>
      <c r="L8" s="961">
        <f>'Estimacion Ventas'!L41</f>
        <v>0</v>
      </c>
      <c r="M8" s="961">
        <f>'Estimacion Ventas'!M41</f>
        <v>0</v>
      </c>
      <c r="N8" s="995">
        <f t="shared" si="0"/>
        <v>0</v>
      </c>
      <c r="O8" s="446"/>
    </row>
    <row r="9" spans="1:15" ht="15.75" x14ac:dyDescent="0.25">
      <c r="A9" s="466" t="str">
        <f>IF(Parametros!A28="","",Parametros!A28)</f>
        <v/>
      </c>
      <c r="B9" s="961">
        <f>'Estimacion Ventas'!B42</f>
        <v>0</v>
      </c>
      <c r="C9" s="961">
        <f>'Estimacion Ventas'!C42</f>
        <v>0</v>
      </c>
      <c r="D9" s="961">
        <f>'Estimacion Ventas'!D42</f>
        <v>0</v>
      </c>
      <c r="E9" s="961">
        <f>'Estimacion Ventas'!E42</f>
        <v>0</v>
      </c>
      <c r="F9" s="961">
        <f>'Estimacion Ventas'!F42</f>
        <v>0</v>
      </c>
      <c r="G9" s="961">
        <f>'Estimacion Ventas'!G42</f>
        <v>0</v>
      </c>
      <c r="H9" s="961">
        <f>'Estimacion Ventas'!H42</f>
        <v>0</v>
      </c>
      <c r="I9" s="961">
        <f>'Estimacion Ventas'!I42</f>
        <v>0</v>
      </c>
      <c r="J9" s="961">
        <f>'Estimacion Ventas'!J42</f>
        <v>0</v>
      </c>
      <c r="K9" s="961">
        <f>'Estimacion Ventas'!K42</f>
        <v>0</v>
      </c>
      <c r="L9" s="961">
        <f>'Estimacion Ventas'!L42</f>
        <v>0</v>
      </c>
      <c r="M9" s="961">
        <f>'Estimacion Ventas'!M42</f>
        <v>0</v>
      </c>
      <c r="N9" s="995">
        <f t="shared" si="0"/>
        <v>0</v>
      </c>
      <c r="O9" s="446"/>
    </row>
    <row r="10" spans="1:15" ht="15.75" x14ac:dyDescent="0.25">
      <c r="A10" s="466" t="str">
        <f>IF(Parametros!A29="","",Parametros!A29)</f>
        <v/>
      </c>
      <c r="B10" s="961">
        <f>'Estimacion Ventas'!B43</f>
        <v>0</v>
      </c>
      <c r="C10" s="961">
        <f>'Estimacion Ventas'!C43</f>
        <v>0</v>
      </c>
      <c r="D10" s="961">
        <f>'Estimacion Ventas'!D43</f>
        <v>0</v>
      </c>
      <c r="E10" s="961">
        <f>'Estimacion Ventas'!E43</f>
        <v>0</v>
      </c>
      <c r="F10" s="961">
        <f>'Estimacion Ventas'!F43</f>
        <v>0</v>
      </c>
      <c r="G10" s="961">
        <f>'Estimacion Ventas'!G43</f>
        <v>0</v>
      </c>
      <c r="H10" s="961">
        <f>'Estimacion Ventas'!H43</f>
        <v>0</v>
      </c>
      <c r="I10" s="961">
        <f>'Estimacion Ventas'!I43</f>
        <v>0</v>
      </c>
      <c r="J10" s="961">
        <f>'Estimacion Ventas'!J43</f>
        <v>0</v>
      </c>
      <c r="K10" s="961">
        <f>'Estimacion Ventas'!K43</f>
        <v>0</v>
      </c>
      <c r="L10" s="961">
        <f>'Estimacion Ventas'!L43</f>
        <v>0</v>
      </c>
      <c r="M10" s="961">
        <f>'Estimacion Ventas'!M43</f>
        <v>0</v>
      </c>
      <c r="N10" s="995">
        <f t="shared" si="0"/>
        <v>0</v>
      </c>
      <c r="O10" s="446"/>
    </row>
    <row r="11" spans="1:15" ht="15.75" x14ac:dyDescent="0.25">
      <c r="A11" s="466" t="str">
        <f>IF(Parametros!A30="","",Parametros!A30)</f>
        <v/>
      </c>
      <c r="B11" s="961">
        <f>'Estimacion Ventas'!B44</f>
        <v>0</v>
      </c>
      <c r="C11" s="961">
        <f>'Estimacion Ventas'!C44</f>
        <v>0</v>
      </c>
      <c r="D11" s="961">
        <f>'Estimacion Ventas'!D44</f>
        <v>0</v>
      </c>
      <c r="E11" s="961">
        <f>'Estimacion Ventas'!E44</f>
        <v>0</v>
      </c>
      <c r="F11" s="961">
        <f>'Estimacion Ventas'!F44</f>
        <v>0</v>
      </c>
      <c r="G11" s="961">
        <f>'Estimacion Ventas'!G44</f>
        <v>0</v>
      </c>
      <c r="H11" s="961">
        <f>'Estimacion Ventas'!H44</f>
        <v>0</v>
      </c>
      <c r="I11" s="961">
        <f>'Estimacion Ventas'!I44</f>
        <v>0</v>
      </c>
      <c r="J11" s="961">
        <f>'Estimacion Ventas'!J44</f>
        <v>0</v>
      </c>
      <c r="K11" s="961">
        <f>'Estimacion Ventas'!K44</f>
        <v>0</v>
      </c>
      <c r="L11" s="961">
        <f>'Estimacion Ventas'!L44</f>
        <v>0</v>
      </c>
      <c r="M11" s="961">
        <f>'Estimacion Ventas'!M44</f>
        <v>0</v>
      </c>
      <c r="N11" s="995">
        <f t="shared" si="0"/>
        <v>0</v>
      </c>
      <c r="O11" s="446"/>
    </row>
    <row r="12" spans="1:15" ht="16.5" thickBot="1" x14ac:dyDescent="0.3">
      <c r="A12" s="892" t="str">
        <f>IF(Parametros!A31="","",Parametros!A31)</f>
        <v/>
      </c>
      <c r="B12" s="963">
        <f>'Estimacion Ventas'!B45</f>
        <v>0</v>
      </c>
      <c r="C12" s="963">
        <f>'Estimacion Ventas'!C45</f>
        <v>0</v>
      </c>
      <c r="D12" s="963">
        <f>'Estimacion Ventas'!D45</f>
        <v>0</v>
      </c>
      <c r="E12" s="963">
        <f>'Estimacion Ventas'!E45</f>
        <v>0</v>
      </c>
      <c r="F12" s="963">
        <f>'Estimacion Ventas'!F45</f>
        <v>0</v>
      </c>
      <c r="G12" s="963">
        <f>'Estimacion Ventas'!G45</f>
        <v>0</v>
      </c>
      <c r="H12" s="963">
        <f>'Estimacion Ventas'!H45</f>
        <v>0</v>
      </c>
      <c r="I12" s="963">
        <f>'Estimacion Ventas'!I45</f>
        <v>0</v>
      </c>
      <c r="J12" s="963">
        <f>'Estimacion Ventas'!J45</f>
        <v>0</v>
      </c>
      <c r="K12" s="963">
        <f>'Estimacion Ventas'!K45</f>
        <v>0</v>
      </c>
      <c r="L12" s="963">
        <f>'Estimacion Ventas'!L45</f>
        <v>0</v>
      </c>
      <c r="M12" s="963">
        <f>'Estimacion Ventas'!M45</f>
        <v>0</v>
      </c>
      <c r="N12" s="996">
        <f t="shared" si="0"/>
        <v>0</v>
      </c>
      <c r="O12" s="446"/>
    </row>
    <row r="13" spans="1:15" ht="17.25" x14ac:dyDescent="0.3">
      <c r="A13" s="398"/>
    </row>
    <row r="14" spans="1:15" ht="17.25" x14ac:dyDescent="0.3">
      <c r="A14" s="450"/>
    </row>
    <row r="15" spans="1:15" ht="18" thickBot="1" x14ac:dyDescent="0.35">
      <c r="A15" s="450"/>
    </row>
    <row r="16" spans="1:15" ht="15.75" thickBot="1" x14ac:dyDescent="0.3">
      <c r="A16" s="888" t="str">
        <f>'Prev.Ventas 0'!A16</f>
        <v>Ventas (Euros)</v>
      </c>
      <c r="B16" s="889" t="str">
        <f t="shared" ref="B16:M16" si="1">B$4</f>
        <v>enero</v>
      </c>
      <c r="C16" s="890" t="str">
        <f t="shared" si="1"/>
        <v>febrero</v>
      </c>
      <c r="D16" s="890" t="str">
        <f t="shared" si="1"/>
        <v>marzo</v>
      </c>
      <c r="E16" s="890" t="str">
        <f t="shared" si="1"/>
        <v>abril</v>
      </c>
      <c r="F16" s="890" t="str">
        <f t="shared" si="1"/>
        <v>mayo</v>
      </c>
      <c r="G16" s="890" t="str">
        <f t="shared" si="1"/>
        <v>junio</v>
      </c>
      <c r="H16" s="890" t="str">
        <f t="shared" si="1"/>
        <v>julio</v>
      </c>
      <c r="I16" s="890" t="str">
        <f t="shared" si="1"/>
        <v>agosto</v>
      </c>
      <c r="J16" s="890" t="str">
        <f t="shared" si="1"/>
        <v>septiembre</v>
      </c>
      <c r="K16" s="890" t="str">
        <f t="shared" si="1"/>
        <v>octubre</v>
      </c>
      <c r="L16" s="890" t="str">
        <f t="shared" si="1"/>
        <v>noviembre</v>
      </c>
      <c r="M16" s="890" t="str">
        <f t="shared" si="1"/>
        <v>diciembre</v>
      </c>
      <c r="N16" s="891" t="s">
        <v>865</v>
      </c>
      <c r="O16" s="446"/>
    </row>
    <row r="17" spans="1:15" ht="15.75" x14ac:dyDescent="0.25">
      <c r="A17" s="465" t="str">
        <f>IF(Parametros!A24="","",Parametros!A24)</f>
        <v/>
      </c>
      <c r="B17" s="1001">
        <f>B5*'Precios Venta y P. Cobros'!$F11</f>
        <v>0</v>
      </c>
      <c r="C17" s="959">
        <f>C5*'Precios Venta y P. Cobros'!$F11</f>
        <v>0</v>
      </c>
      <c r="D17" s="959">
        <f>D5*'Precios Venta y P. Cobros'!$F11</f>
        <v>0</v>
      </c>
      <c r="E17" s="959">
        <f>E5*'Precios Venta y P. Cobros'!$F11</f>
        <v>0</v>
      </c>
      <c r="F17" s="959">
        <f>F5*'Precios Venta y P. Cobros'!$F11</f>
        <v>0</v>
      </c>
      <c r="G17" s="959">
        <f>G5*'Precios Venta y P. Cobros'!$F11</f>
        <v>0</v>
      </c>
      <c r="H17" s="959">
        <f>H5*'Precios Venta y P. Cobros'!$F11</f>
        <v>0</v>
      </c>
      <c r="I17" s="959">
        <f>I5*'Precios Venta y P. Cobros'!$F11</f>
        <v>0</v>
      </c>
      <c r="J17" s="959">
        <f>J5*'Precios Venta y P. Cobros'!$F11</f>
        <v>0</v>
      </c>
      <c r="K17" s="959">
        <f>K5*'Precios Venta y P. Cobros'!$F11</f>
        <v>0</v>
      </c>
      <c r="L17" s="959">
        <f>L5*'Precios Venta y P. Cobros'!$F11</f>
        <v>0</v>
      </c>
      <c r="M17" s="1002">
        <f>M5*'Precios Venta y P. Cobros'!$F11</f>
        <v>0</v>
      </c>
      <c r="N17" s="994">
        <f t="shared" ref="N17:N25" si="2">SUM(B17:M17)</f>
        <v>0</v>
      </c>
      <c r="O17" s="446"/>
    </row>
    <row r="18" spans="1:15" ht="15.75" x14ac:dyDescent="0.25">
      <c r="A18" s="466" t="str">
        <f>IF(Parametros!A25="","",Parametros!A25)</f>
        <v/>
      </c>
      <c r="B18" s="1003">
        <f>B6*'Precios Venta y P. Cobros'!$F12</f>
        <v>0</v>
      </c>
      <c r="C18" s="961">
        <f>C6*'Precios Venta y P. Cobros'!$F12</f>
        <v>0</v>
      </c>
      <c r="D18" s="961">
        <f>D6*'Precios Venta y P. Cobros'!$F12</f>
        <v>0</v>
      </c>
      <c r="E18" s="961">
        <f>E6*'Precios Venta y P. Cobros'!$F12</f>
        <v>0</v>
      </c>
      <c r="F18" s="961">
        <f>F6*'Precios Venta y P. Cobros'!$F12</f>
        <v>0</v>
      </c>
      <c r="G18" s="961">
        <f>G6*'Precios Venta y P. Cobros'!$F12</f>
        <v>0</v>
      </c>
      <c r="H18" s="961">
        <f>H6*'Precios Venta y P. Cobros'!$F12</f>
        <v>0</v>
      </c>
      <c r="I18" s="961">
        <f>I6*'Precios Venta y P. Cobros'!$F12</f>
        <v>0</v>
      </c>
      <c r="J18" s="961">
        <f>J6*'Precios Venta y P. Cobros'!$F12</f>
        <v>0</v>
      </c>
      <c r="K18" s="961">
        <f>K6*'Precios Venta y P. Cobros'!$F12</f>
        <v>0</v>
      </c>
      <c r="L18" s="961">
        <f>L6*'Precios Venta y P. Cobros'!$F12</f>
        <v>0</v>
      </c>
      <c r="M18" s="1004">
        <f>M6*'Precios Venta y P. Cobros'!$F12</f>
        <v>0</v>
      </c>
      <c r="N18" s="995">
        <f t="shared" si="2"/>
        <v>0</v>
      </c>
      <c r="O18" s="446"/>
    </row>
    <row r="19" spans="1:15" ht="15.75" x14ac:dyDescent="0.25">
      <c r="A19" s="466" t="str">
        <f>IF(Parametros!A26="","",Parametros!A26)</f>
        <v/>
      </c>
      <c r="B19" s="1003">
        <f>B7*'Precios Venta y P. Cobros'!$F13</f>
        <v>0</v>
      </c>
      <c r="C19" s="961">
        <f>C7*'Precios Venta y P. Cobros'!$F13</f>
        <v>0</v>
      </c>
      <c r="D19" s="961">
        <f>D7*'Precios Venta y P. Cobros'!$F13</f>
        <v>0</v>
      </c>
      <c r="E19" s="961">
        <f>E7*'Precios Venta y P. Cobros'!$F13</f>
        <v>0</v>
      </c>
      <c r="F19" s="961">
        <f>F7*'Precios Venta y P. Cobros'!$F13</f>
        <v>0</v>
      </c>
      <c r="G19" s="961">
        <f>G7*'Precios Venta y P. Cobros'!$F13</f>
        <v>0</v>
      </c>
      <c r="H19" s="961">
        <f>H7*'Precios Venta y P. Cobros'!$F13</f>
        <v>0</v>
      </c>
      <c r="I19" s="961">
        <f>I7*'Precios Venta y P. Cobros'!$F13</f>
        <v>0</v>
      </c>
      <c r="J19" s="961">
        <f>J7*'Precios Venta y P. Cobros'!$F13</f>
        <v>0</v>
      </c>
      <c r="K19" s="961">
        <f>K7*'Precios Venta y P. Cobros'!$F13</f>
        <v>0</v>
      </c>
      <c r="L19" s="961">
        <f>L7*'Precios Venta y P. Cobros'!$F13</f>
        <v>0</v>
      </c>
      <c r="M19" s="1004">
        <f>M7*'Precios Venta y P. Cobros'!$F13</f>
        <v>0</v>
      </c>
      <c r="N19" s="995">
        <f t="shared" si="2"/>
        <v>0</v>
      </c>
      <c r="O19" s="446"/>
    </row>
    <row r="20" spans="1:15" ht="15.75" x14ac:dyDescent="0.25">
      <c r="A20" s="466" t="str">
        <f>IF(Parametros!A27="","",Parametros!A27)</f>
        <v/>
      </c>
      <c r="B20" s="1003">
        <f>B8*'Precios Venta y P. Cobros'!$F14</f>
        <v>0</v>
      </c>
      <c r="C20" s="961">
        <f>C8*'Precios Venta y P. Cobros'!$F14</f>
        <v>0</v>
      </c>
      <c r="D20" s="961">
        <f>D8*'Precios Venta y P. Cobros'!$F14</f>
        <v>0</v>
      </c>
      <c r="E20" s="961">
        <f>E8*'Precios Venta y P. Cobros'!$F14</f>
        <v>0</v>
      </c>
      <c r="F20" s="961">
        <f>F8*'Precios Venta y P. Cobros'!$F14</f>
        <v>0</v>
      </c>
      <c r="G20" s="961">
        <f>G8*'Precios Venta y P. Cobros'!$F14</f>
        <v>0</v>
      </c>
      <c r="H20" s="961">
        <f>H8*'Precios Venta y P. Cobros'!$F14</f>
        <v>0</v>
      </c>
      <c r="I20" s="961">
        <f>I8*'Precios Venta y P. Cobros'!$F14</f>
        <v>0</v>
      </c>
      <c r="J20" s="961">
        <f>J8*'Precios Venta y P. Cobros'!$F14</f>
        <v>0</v>
      </c>
      <c r="K20" s="961">
        <f>K8*'Precios Venta y P. Cobros'!$F14</f>
        <v>0</v>
      </c>
      <c r="L20" s="961">
        <f>L8*'Precios Venta y P. Cobros'!$F14</f>
        <v>0</v>
      </c>
      <c r="M20" s="1004">
        <f>M8*'Precios Venta y P. Cobros'!$F14</f>
        <v>0</v>
      </c>
      <c r="N20" s="995">
        <f t="shared" si="2"/>
        <v>0</v>
      </c>
      <c r="O20" s="446"/>
    </row>
    <row r="21" spans="1:15" ht="15.75" x14ac:dyDescent="0.25">
      <c r="A21" s="466" t="str">
        <f>IF(Parametros!A28="","",Parametros!A28)</f>
        <v/>
      </c>
      <c r="B21" s="1003">
        <f>B9*'Precios Venta y P. Cobros'!$F15</f>
        <v>0</v>
      </c>
      <c r="C21" s="961">
        <f>C9*'Precios Venta y P. Cobros'!$F15</f>
        <v>0</v>
      </c>
      <c r="D21" s="961">
        <f>D9*'Precios Venta y P. Cobros'!$F15</f>
        <v>0</v>
      </c>
      <c r="E21" s="961">
        <f>E9*'Precios Venta y P. Cobros'!$F15</f>
        <v>0</v>
      </c>
      <c r="F21" s="961">
        <f>F9*'Precios Venta y P. Cobros'!$F15</f>
        <v>0</v>
      </c>
      <c r="G21" s="961">
        <f>G9*'Precios Venta y P. Cobros'!$F15</f>
        <v>0</v>
      </c>
      <c r="H21" s="961">
        <f>H9*'Precios Venta y P. Cobros'!$F15</f>
        <v>0</v>
      </c>
      <c r="I21" s="961">
        <f>I9*'Precios Venta y P. Cobros'!$F15</f>
        <v>0</v>
      </c>
      <c r="J21" s="961">
        <f>J9*'Precios Venta y P. Cobros'!$F15</f>
        <v>0</v>
      </c>
      <c r="K21" s="961">
        <f>K9*'Precios Venta y P. Cobros'!$F15</f>
        <v>0</v>
      </c>
      <c r="L21" s="961">
        <f>L9*'Precios Venta y P. Cobros'!$F15</f>
        <v>0</v>
      </c>
      <c r="M21" s="1004">
        <f>M9*'Precios Venta y P. Cobros'!$F15</f>
        <v>0</v>
      </c>
      <c r="N21" s="995">
        <f t="shared" si="2"/>
        <v>0</v>
      </c>
      <c r="O21" s="446"/>
    </row>
    <row r="22" spans="1:15" ht="15.75" x14ac:dyDescent="0.25">
      <c r="A22" s="466" t="str">
        <f>IF(Parametros!A29="","",Parametros!A29)</f>
        <v/>
      </c>
      <c r="B22" s="1003">
        <f>B10*'Precios Venta y P. Cobros'!$F16</f>
        <v>0</v>
      </c>
      <c r="C22" s="961">
        <f>C10*'Precios Venta y P. Cobros'!$F16</f>
        <v>0</v>
      </c>
      <c r="D22" s="961">
        <f>D10*'Precios Venta y P. Cobros'!$F16</f>
        <v>0</v>
      </c>
      <c r="E22" s="961">
        <f>E10*'Precios Venta y P. Cobros'!$F16</f>
        <v>0</v>
      </c>
      <c r="F22" s="961">
        <f>F10*'Precios Venta y P. Cobros'!$F16</f>
        <v>0</v>
      </c>
      <c r="G22" s="961">
        <f>G10*'Precios Venta y P. Cobros'!$F16</f>
        <v>0</v>
      </c>
      <c r="H22" s="961">
        <f>H10*'Precios Venta y P. Cobros'!$F16</f>
        <v>0</v>
      </c>
      <c r="I22" s="961">
        <f>I10*'Precios Venta y P. Cobros'!$F16</f>
        <v>0</v>
      </c>
      <c r="J22" s="961">
        <f>J10*'Precios Venta y P. Cobros'!$F16</f>
        <v>0</v>
      </c>
      <c r="K22" s="961">
        <f>K10*'Precios Venta y P. Cobros'!$F16</f>
        <v>0</v>
      </c>
      <c r="L22" s="961">
        <f>L10*'Precios Venta y P. Cobros'!$F16</f>
        <v>0</v>
      </c>
      <c r="M22" s="1004">
        <f>M10*'Precios Venta y P. Cobros'!$F16</f>
        <v>0</v>
      </c>
      <c r="N22" s="995">
        <f t="shared" si="2"/>
        <v>0</v>
      </c>
      <c r="O22" s="446"/>
    </row>
    <row r="23" spans="1:15" ht="15.75" x14ac:dyDescent="0.25">
      <c r="A23" s="466" t="str">
        <f>IF(Parametros!A30="","",Parametros!A30)</f>
        <v/>
      </c>
      <c r="B23" s="1003">
        <f>B11*'Precios Venta y P. Cobros'!$F17</f>
        <v>0</v>
      </c>
      <c r="C23" s="961">
        <f>C11*'Precios Venta y P. Cobros'!$F17</f>
        <v>0</v>
      </c>
      <c r="D23" s="961">
        <f>D11*'Precios Venta y P. Cobros'!$F17</f>
        <v>0</v>
      </c>
      <c r="E23" s="961">
        <f>E11*'Precios Venta y P. Cobros'!$F17</f>
        <v>0</v>
      </c>
      <c r="F23" s="961">
        <f>F11*'Precios Venta y P. Cobros'!$F17</f>
        <v>0</v>
      </c>
      <c r="G23" s="961">
        <f>G11*'Precios Venta y P. Cobros'!$F17</f>
        <v>0</v>
      </c>
      <c r="H23" s="961">
        <f>H11*'Precios Venta y P. Cobros'!$F17</f>
        <v>0</v>
      </c>
      <c r="I23" s="961">
        <f>I11*'Precios Venta y P. Cobros'!$F17</f>
        <v>0</v>
      </c>
      <c r="J23" s="961">
        <f>J11*'Precios Venta y P. Cobros'!$F17</f>
        <v>0</v>
      </c>
      <c r="K23" s="961">
        <f>K11*'Precios Venta y P. Cobros'!$F17</f>
        <v>0</v>
      </c>
      <c r="L23" s="961">
        <f>L11*'Precios Venta y P. Cobros'!$F17</f>
        <v>0</v>
      </c>
      <c r="M23" s="1004">
        <f>M11*'Precios Venta y P. Cobros'!$F17</f>
        <v>0</v>
      </c>
      <c r="N23" s="995">
        <f t="shared" si="2"/>
        <v>0</v>
      </c>
      <c r="O23" s="446"/>
    </row>
    <row r="24" spans="1:15" ht="16.5" thickBot="1" x14ac:dyDescent="0.3">
      <c r="A24" s="893" t="str">
        <f>IF(Parametros!A31="","",Parametros!A31)</f>
        <v/>
      </c>
      <c r="B24" s="1005">
        <f>B12*'Precios Venta y P. Cobros'!$F18</f>
        <v>0</v>
      </c>
      <c r="C24" s="963">
        <f>C12*'Precios Venta y P. Cobros'!$F18</f>
        <v>0</v>
      </c>
      <c r="D24" s="963">
        <f>D12*'Precios Venta y P. Cobros'!$F18</f>
        <v>0</v>
      </c>
      <c r="E24" s="963">
        <f>E12*'Precios Venta y P. Cobros'!$F18</f>
        <v>0</v>
      </c>
      <c r="F24" s="963">
        <f>F12*'Precios Venta y P. Cobros'!$F18</f>
        <v>0</v>
      </c>
      <c r="G24" s="963">
        <f>G12*'Precios Venta y P. Cobros'!$F18</f>
        <v>0</v>
      </c>
      <c r="H24" s="963">
        <f>H12*'Precios Venta y P. Cobros'!$F18</f>
        <v>0</v>
      </c>
      <c r="I24" s="963">
        <f>I12*'Precios Venta y P. Cobros'!$F18</f>
        <v>0</v>
      </c>
      <c r="J24" s="963">
        <f>J12*'Precios Venta y P. Cobros'!$F18</f>
        <v>0</v>
      </c>
      <c r="K24" s="963">
        <f>K12*'Precios Venta y P. Cobros'!$F18</f>
        <v>0</v>
      </c>
      <c r="L24" s="963">
        <f>L12*'Precios Venta y P. Cobros'!$F18</f>
        <v>0</v>
      </c>
      <c r="M24" s="1006">
        <f>M12*'Precios Venta y P. Cobros'!$F18</f>
        <v>0</v>
      </c>
      <c r="N24" s="997">
        <f t="shared" si="2"/>
        <v>0</v>
      </c>
      <c r="O24" s="446"/>
    </row>
    <row r="25" spans="1:15" ht="16.5" thickTop="1" thickBot="1" x14ac:dyDescent="0.3">
      <c r="A25" s="915" t="s">
        <v>865</v>
      </c>
      <c r="B25" s="1007">
        <f t="shared" ref="B25:M25" si="3">B17+B18+B19+B20+B21+B22+B23+B24</f>
        <v>0</v>
      </c>
      <c r="C25" s="1007">
        <f t="shared" si="3"/>
        <v>0</v>
      </c>
      <c r="D25" s="1007">
        <f t="shared" si="3"/>
        <v>0</v>
      </c>
      <c r="E25" s="1007">
        <f t="shared" si="3"/>
        <v>0</v>
      </c>
      <c r="F25" s="1007">
        <f t="shared" si="3"/>
        <v>0</v>
      </c>
      <c r="G25" s="1007">
        <f t="shared" si="3"/>
        <v>0</v>
      </c>
      <c r="H25" s="1007">
        <f t="shared" si="3"/>
        <v>0</v>
      </c>
      <c r="I25" s="1007">
        <f t="shared" si="3"/>
        <v>0</v>
      </c>
      <c r="J25" s="1007">
        <f t="shared" si="3"/>
        <v>0</v>
      </c>
      <c r="K25" s="1007">
        <f t="shared" si="3"/>
        <v>0</v>
      </c>
      <c r="L25" s="1007">
        <f t="shared" si="3"/>
        <v>0</v>
      </c>
      <c r="M25" s="1007">
        <f t="shared" si="3"/>
        <v>0</v>
      </c>
      <c r="N25" s="1000">
        <f t="shared" si="2"/>
        <v>0</v>
      </c>
      <c r="O25" s="446"/>
    </row>
    <row r="26" spans="1:15" ht="17.25" x14ac:dyDescent="0.3">
      <c r="A26" s="450"/>
    </row>
    <row r="27" spans="1:15" ht="17.25" x14ac:dyDescent="0.3">
      <c r="A27" s="450"/>
    </row>
    <row r="28" spans="1:15" ht="24.75" x14ac:dyDescent="0.4">
      <c r="A28" s="449" t="str">
        <f>'Prev.Ventas 0'!A28</f>
        <v>Previsión de Costes Variables de la empresa</v>
      </c>
      <c r="F28" s="887">
        <f>E1</f>
        <v>2028</v>
      </c>
    </row>
    <row r="29" spans="1:15" ht="28.5" thickBot="1" x14ac:dyDescent="0.5">
      <c r="A29" s="408">
        <f>'Datos Básicos'!B8</f>
        <v>0</v>
      </c>
    </row>
    <row r="30" spans="1:15" ht="15.75" thickBot="1" x14ac:dyDescent="0.3">
      <c r="A30" s="894" t="s">
        <v>893</v>
      </c>
      <c r="B30" s="890" t="str">
        <f t="shared" ref="B30:M30" si="4">B$4</f>
        <v>enero</v>
      </c>
      <c r="C30" s="890" t="str">
        <f t="shared" si="4"/>
        <v>febrero</v>
      </c>
      <c r="D30" s="890" t="str">
        <f t="shared" si="4"/>
        <v>marzo</v>
      </c>
      <c r="E30" s="890" t="str">
        <f t="shared" si="4"/>
        <v>abril</v>
      </c>
      <c r="F30" s="890" t="str">
        <f t="shared" si="4"/>
        <v>mayo</v>
      </c>
      <c r="G30" s="890" t="str">
        <f t="shared" si="4"/>
        <v>junio</v>
      </c>
      <c r="H30" s="890" t="str">
        <f t="shared" si="4"/>
        <v>julio</v>
      </c>
      <c r="I30" s="890" t="str">
        <f t="shared" si="4"/>
        <v>agosto</v>
      </c>
      <c r="J30" s="890" t="str">
        <f t="shared" si="4"/>
        <v>septiembre</v>
      </c>
      <c r="K30" s="890" t="str">
        <f t="shared" si="4"/>
        <v>octubre</v>
      </c>
      <c r="L30" s="890" t="str">
        <f t="shared" si="4"/>
        <v>noviembre</v>
      </c>
      <c r="M30" s="890" t="str">
        <f t="shared" si="4"/>
        <v>diciembre</v>
      </c>
      <c r="N30" s="891" t="s">
        <v>865</v>
      </c>
      <c r="O30" s="446"/>
    </row>
    <row r="31" spans="1:15" ht="15.75" x14ac:dyDescent="0.25">
      <c r="A31" s="465" t="str">
        <f t="shared" ref="A31:A38" si="5">A5</f>
        <v/>
      </c>
      <c r="B31" s="1009">
        <f>B5*'Precios-CV'!$F11</f>
        <v>0</v>
      </c>
      <c r="C31" s="959">
        <f>C5*'Precios-CV'!$F11</f>
        <v>0</v>
      </c>
      <c r="D31" s="959">
        <f>D5*'Precios-CV'!$F11</f>
        <v>0</v>
      </c>
      <c r="E31" s="959">
        <f>E5*'Precios-CV'!$F11</f>
        <v>0</v>
      </c>
      <c r="F31" s="959">
        <f>F5*'Precios-CV'!$F11</f>
        <v>0</v>
      </c>
      <c r="G31" s="959">
        <f>G5*'Precios-CV'!$F11</f>
        <v>0</v>
      </c>
      <c r="H31" s="959">
        <f>H5*'Precios-CV'!$F11</f>
        <v>0</v>
      </c>
      <c r="I31" s="959">
        <f>I5*'Precios-CV'!$F11</f>
        <v>0</v>
      </c>
      <c r="J31" s="959">
        <f>J5*'Precios-CV'!$F11</f>
        <v>0</v>
      </c>
      <c r="K31" s="959">
        <f>K5*'Precios-CV'!$F11</f>
        <v>0</v>
      </c>
      <c r="L31" s="959">
        <f>L5*'Precios-CV'!$F11</f>
        <v>0</v>
      </c>
      <c r="M31" s="1002">
        <f>M5*'Precios-CV'!$F11</f>
        <v>0</v>
      </c>
      <c r="N31" s="994">
        <f t="shared" ref="N31:N38" si="6">SUM(B31:M31)</f>
        <v>0</v>
      </c>
      <c r="O31" s="446"/>
    </row>
    <row r="32" spans="1:15" ht="15.75" x14ac:dyDescent="0.25">
      <c r="A32" s="466" t="str">
        <f t="shared" si="5"/>
        <v/>
      </c>
      <c r="B32" s="1010">
        <f>B6*'Precios-CV'!$F12</f>
        <v>0</v>
      </c>
      <c r="C32" s="961">
        <f>C6*'Precios-CV'!$F12</f>
        <v>0</v>
      </c>
      <c r="D32" s="961">
        <f>D6*'Precios-CV'!$F12</f>
        <v>0</v>
      </c>
      <c r="E32" s="961">
        <f>E6*'Precios-CV'!$F12</f>
        <v>0</v>
      </c>
      <c r="F32" s="961">
        <f>F6*'Precios-CV'!$F12</f>
        <v>0</v>
      </c>
      <c r="G32" s="961">
        <f>G6*'Precios-CV'!$F12</f>
        <v>0</v>
      </c>
      <c r="H32" s="961">
        <f>H6*'Precios-CV'!$F12</f>
        <v>0</v>
      </c>
      <c r="I32" s="961">
        <f>I6*'Precios-CV'!$F12</f>
        <v>0</v>
      </c>
      <c r="J32" s="961">
        <f>J6*'Precios-CV'!$F12</f>
        <v>0</v>
      </c>
      <c r="K32" s="961">
        <f>K6*'Precios-CV'!$F12</f>
        <v>0</v>
      </c>
      <c r="L32" s="961">
        <f>L6*'Precios-CV'!$F12</f>
        <v>0</v>
      </c>
      <c r="M32" s="1004">
        <f>M6*'Precios-CV'!$F12</f>
        <v>0</v>
      </c>
      <c r="N32" s="995">
        <f t="shared" si="6"/>
        <v>0</v>
      </c>
      <c r="O32" s="446"/>
    </row>
    <row r="33" spans="1:15" ht="15.75" x14ac:dyDescent="0.25">
      <c r="A33" s="466" t="str">
        <f t="shared" si="5"/>
        <v/>
      </c>
      <c r="B33" s="1010">
        <f>B7*'Precios-CV'!$F13</f>
        <v>0</v>
      </c>
      <c r="C33" s="961">
        <f>C7*'Precios-CV'!$F13</f>
        <v>0</v>
      </c>
      <c r="D33" s="961">
        <f>D7*'Precios-CV'!$F13</f>
        <v>0</v>
      </c>
      <c r="E33" s="961">
        <f>E7*'Precios-CV'!$F13</f>
        <v>0</v>
      </c>
      <c r="F33" s="961">
        <f>F7*'Precios-CV'!$F13</f>
        <v>0</v>
      </c>
      <c r="G33" s="961">
        <f>G7*'Precios-CV'!$F13</f>
        <v>0</v>
      </c>
      <c r="H33" s="961">
        <f>H7*'Precios-CV'!$F13</f>
        <v>0</v>
      </c>
      <c r="I33" s="961">
        <f>I7*'Precios-CV'!$F13</f>
        <v>0</v>
      </c>
      <c r="J33" s="961">
        <f>J7*'Precios-CV'!$F13</f>
        <v>0</v>
      </c>
      <c r="K33" s="961">
        <f>K7*'Precios-CV'!$F13</f>
        <v>0</v>
      </c>
      <c r="L33" s="961">
        <f>L7*'Precios-CV'!$F13</f>
        <v>0</v>
      </c>
      <c r="M33" s="1004">
        <f>M7*'Precios-CV'!$F13</f>
        <v>0</v>
      </c>
      <c r="N33" s="995">
        <f t="shared" si="6"/>
        <v>0</v>
      </c>
      <c r="O33" s="446"/>
    </row>
    <row r="34" spans="1:15" ht="15.75" x14ac:dyDescent="0.25">
      <c r="A34" s="466" t="str">
        <f t="shared" si="5"/>
        <v/>
      </c>
      <c r="B34" s="1010">
        <f>B8*'Precios-CV'!$F14</f>
        <v>0</v>
      </c>
      <c r="C34" s="961">
        <f>C8*'Precios-CV'!$F14</f>
        <v>0</v>
      </c>
      <c r="D34" s="961">
        <f>D8*'Precios-CV'!$F14</f>
        <v>0</v>
      </c>
      <c r="E34" s="961">
        <f>E8*'Precios-CV'!$F14</f>
        <v>0</v>
      </c>
      <c r="F34" s="961">
        <f>F8*'Precios-CV'!$F14</f>
        <v>0</v>
      </c>
      <c r="G34" s="961">
        <f>G8*'Precios-CV'!$F14</f>
        <v>0</v>
      </c>
      <c r="H34" s="961">
        <f>H8*'Precios-CV'!$F14</f>
        <v>0</v>
      </c>
      <c r="I34" s="961">
        <f>I8*'Precios-CV'!$F14</f>
        <v>0</v>
      </c>
      <c r="J34" s="961">
        <f>J8*'Precios-CV'!$F14</f>
        <v>0</v>
      </c>
      <c r="K34" s="961">
        <f>K8*'Precios-CV'!$F14</f>
        <v>0</v>
      </c>
      <c r="L34" s="961">
        <f>L8*'Precios-CV'!$F14</f>
        <v>0</v>
      </c>
      <c r="M34" s="1004">
        <f>M8*'Precios-CV'!$F14</f>
        <v>0</v>
      </c>
      <c r="N34" s="995">
        <f t="shared" si="6"/>
        <v>0</v>
      </c>
      <c r="O34" s="446"/>
    </row>
    <row r="35" spans="1:15" ht="15.75" x14ac:dyDescent="0.25">
      <c r="A35" s="466" t="str">
        <f t="shared" si="5"/>
        <v/>
      </c>
      <c r="B35" s="1010">
        <f>B9*'Precios-CV'!$F15</f>
        <v>0</v>
      </c>
      <c r="C35" s="961">
        <f>C9*'Precios-CV'!$F15</f>
        <v>0</v>
      </c>
      <c r="D35" s="961">
        <f>D9*'Precios-CV'!$F15</f>
        <v>0</v>
      </c>
      <c r="E35" s="961">
        <f>E9*'Precios-CV'!$F15</f>
        <v>0</v>
      </c>
      <c r="F35" s="961">
        <f>F9*'Precios-CV'!$F15</f>
        <v>0</v>
      </c>
      <c r="G35" s="961">
        <f>G9*'Precios-CV'!$F15</f>
        <v>0</v>
      </c>
      <c r="H35" s="961">
        <f>H9*'Precios-CV'!$F15</f>
        <v>0</v>
      </c>
      <c r="I35" s="961">
        <f>I9*'Precios-CV'!$F15</f>
        <v>0</v>
      </c>
      <c r="J35" s="961">
        <f>J9*'Precios-CV'!$F15</f>
        <v>0</v>
      </c>
      <c r="K35" s="961">
        <f>K9*'Precios-CV'!$F15</f>
        <v>0</v>
      </c>
      <c r="L35" s="961">
        <f>L9*'Precios-CV'!$F15</f>
        <v>0</v>
      </c>
      <c r="M35" s="1004">
        <f>M9*'Precios-CV'!$F15</f>
        <v>0</v>
      </c>
      <c r="N35" s="995">
        <f t="shared" si="6"/>
        <v>0</v>
      </c>
      <c r="O35" s="446"/>
    </row>
    <row r="36" spans="1:15" ht="15.75" x14ac:dyDescent="0.25">
      <c r="A36" s="466" t="str">
        <f t="shared" si="5"/>
        <v/>
      </c>
      <c r="B36" s="1010">
        <f>B10*'Precios-CV'!$F16</f>
        <v>0</v>
      </c>
      <c r="C36" s="961">
        <f>C10*'Precios-CV'!$F16</f>
        <v>0</v>
      </c>
      <c r="D36" s="961">
        <f>D10*'Precios-CV'!$F16</f>
        <v>0</v>
      </c>
      <c r="E36" s="961">
        <f>E10*'Precios-CV'!$F16</f>
        <v>0</v>
      </c>
      <c r="F36" s="961">
        <f>F10*'Precios-CV'!$F16</f>
        <v>0</v>
      </c>
      <c r="G36" s="961">
        <f>G10*'Precios-CV'!$F16</f>
        <v>0</v>
      </c>
      <c r="H36" s="961">
        <f>H10*'Precios-CV'!$F16</f>
        <v>0</v>
      </c>
      <c r="I36" s="961">
        <f>I10*'Precios-CV'!$F16</f>
        <v>0</v>
      </c>
      <c r="J36" s="961">
        <f>J10*'Precios-CV'!$F16</f>
        <v>0</v>
      </c>
      <c r="K36" s="961">
        <f>K10*'Precios-CV'!$F16</f>
        <v>0</v>
      </c>
      <c r="L36" s="961">
        <f>L10*'Precios-CV'!$F16</f>
        <v>0</v>
      </c>
      <c r="M36" s="1004">
        <f>M10*'Precios-CV'!$F16</f>
        <v>0</v>
      </c>
      <c r="N36" s="995">
        <f t="shared" si="6"/>
        <v>0</v>
      </c>
      <c r="O36" s="446"/>
    </row>
    <row r="37" spans="1:15" ht="15.75" x14ac:dyDescent="0.25">
      <c r="A37" s="466" t="str">
        <f t="shared" si="5"/>
        <v/>
      </c>
      <c r="B37" s="1010">
        <f>B11*'Precios-CV'!$F17</f>
        <v>0</v>
      </c>
      <c r="C37" s="961">
        <f>C11*'Precios-CV'!$F17</f>
        <v>0</v>
      </c>
      <c r="D37" s="961">
        <f>D11*'Precios-CV'!$F17</f>
        <v>0</v>
      </c>
      <c r="E37" s="961">
        <f>E11*'Precios-CV'!$F17</f>
        <v>0</v>
      </c>
      <c r="F37" s="961">
        <f>F11*'Precios-CV'!$F17</f>
        <v>0</v>
      </c>
      <c r="G37" s="961">
        <f>G11*'Precios-CV'!$F17</f>
        <v>0</v>
      </c>
      <c r="H37" s="961">
        <f>H11*'Precios-CV'!$F17</f>
        <v>0</v>
      </c>
      <c r="I37" s="961">
        <f>I11*'Precios-CV'!$F17</f>
        <v>0</v>
      </c>
      <c r="J37" s="961">
        <f>J11*'Precios-CV'!$F17</f>
        <v>0</v>
      </c>
      <c r="K37" s="961">
        <f>K11*'Precios-CV'!$F17</f>
        <v>0</v>
      </c>
      <c r="L37" s="961">
        <f>L11*'Precios-CV'!$F17</f>
        <v>0</v>
      </c>
      <c r="M37" s="1004">
        <f>M11*'Precios-CV'!$F17</f>
        <v>0</v>
      </c>
      <c r="N37" s="995">
        <f t="shared" si="6"/>
        <v>0</v>
      </c>
      <c r="O37" s="446"/>
    </row>
    <row r="38" spans="1:15" ht="16.5" thickBot="1" x14ac:dyDescent="0.3">
      <c r="A38" s="893" t="str">
        <f t="shared" si="5"/>
        <v/>
      </c>
      <c r="B38" s="1011">
        <f>B12*'Precios-CV'!$F18</f>
        <v>0</v>
      </c>
      <c r="C38" s="963">
        <f>C12*'Precios-CV'!$F18</f>
        <v>0</v>
      </c>
      <c r="D38" s="963">
        <f>D12*'Precios-CV'!$F18</f>
        <v>0</v>
      </c>
      <c r="E38" s="963">
        <f>E12*'Precios-CV'!$F18</f>
        <v>0</v>
      </c>
      <c r="F38" s="963">
        <f>F12*'Precios-CV'!$F18</f>
        <v>0</v>
      </c>
      <c r="G38" s="963">
        <f>G12*'Precios-CV'!$F18</f>
        <v>0</v>
      </c>
      <c r="H38" s="963">
        <f>H12*'Precios-CV'!$F18</f>
        <v>0</v>
      </c>
      <c r="I38" s="963">
        <f>I12*'Precios-CV'!$F18</f>
        <v>0</v>
      </c>
      <c r="J38" s="963">
        <f>J12*'Precios-CV'!$F18</f>
        <v>0</v>
      </c>
      <c r="K38" s="963">
        <f>K12*'Precios-CV'!$F18</f>
        <v>0</v>
      </c>
      <c r="L38" s="963">
        <f>L12*'Precios-CV'!$F18</f>
        <v>0</v>
      </c>
      <c r="M38" s="1006">
        <f>M12*'Precios-CV'!$F18</f>
        <v>0</v>
      </c>
      <c r="N38" s="997">
        <f t="shared" si="6"/>
        <v>0</v>
      </c>
      <c r="O38" s="446"/>
    </row>
    <row r="39" spans="1:15" s="305" customFormat="1" ht="16.5" thickTop="1" thickBot="1" x14ac:dyDescent="0.3">
      <c r="A39" s="467" t="s">
        <v>865</v>
      </c>
      <c r="B39" s="1008">
        <f t="shared" ref="B39:N39" si="7">SUM(B31:B38)</f>
        <v>0</v>
      </c>
      <c r="C39" s="1008">
        <f t="shared" si="7"/>
        <v>0</v>
      </c>
      <c r="D39" s="1008">
        <f t="shared" si="7"/>
        <v>0</v>
      </c>
      <c r="E39" s="1008">
        <f t="shared" si="7"/>
        <v>0</v>
      </c>
      <c r="F39" s="1008">
        <f t="shared" si="7"/>
        <v>0</v>
      </c>
      <c r="G39" s="1008">
        <f t="shared" si="7"/>
        <v>0</v>
      </c>
      <c r="H39" s="1008">
        <f t="shared" si="7"/>
        <v>0</v>
      </c>
      <c r="I39" s="1008">
        <f t="shared" si="7"/>
        <v>0</v>
      </c>
      <c r="J39" s="1008">
        <f t="shared" si="7"/>
        <v>0</v>
      </c>
      <c r="K39" s="1008">
        <f t="shared" si="7"/>
        <v>0</v>
      </c>
      <c r="L39" s="1008">
        <f t="shared" si="7"/>
        <v>0</v>
      </c>
      <c r="M39" s="1008">
        <f t="shared" si="7"/>
        <v>0</v>
      </c>
      <c r="N39" s="1000">
        <f t="shared" si="7"/>
        <v>0</v>
      </c>
    </row>
    <row r="40" spans="1:15" s="305" customFormat="1" x14ac:dyDescent="0.25">
      <c r="A40" s="445"/>
      <c r="B40" s="445"/>
    </row>
    <row r="41" spans="1:15" s="305" customFormat="1" x14ac:dyDescent="0.25">
      <c r="A41" s="445"/>
      <c r="B41" s="445"/>
    </row>
    <row r="42" spans="1:15" s="305" customFormat="1" x14ac:dyDescent="0.25">
      <c r="A42" s="445"/>
      <c r="B42" s="445"/>
    </row>
    <row r="43" spans="1:15" s="305" customFormat="1" x14ac:dyDescent="0.25">
      <c r="A43" s="445"/>
      <c r="B43" s="445"/>
    </row>
    <row r="44" spans="1:15" s="305" customFormat="1" x14ac:dyDescent="0.25">
      <c r="A44" s="445"/>
      <c r="B44" s="445"/>
    </row>
    <row r="45" spans="1:15" x14ac:dyDescent="0.25">
      <c r="A45" s="445"/>
    </row>
    <row r="46" spans="1:15" x14ac:dyDescent="0.25">
      <c r="A46" s="445"/>
    </row>
    <row r="47" spans="1:15" ht="23.25" customHeight="1" x14ac:dyDescent="0.45">
      <c r="A47" s="408" t="str">
        <f>'Prev.Ventas 0'!A47</f>
        <v>Estacionalidad de las Ventas</v>
      </c>
      <c r="B47" s="446"/>
      <c r="D47" s="887">
        <f>E1</f>
        <v>2028</v>
      </c>
    </row>
    <row r="48" spans="1:15" ht="27.75" x14ac:dyDescent="0.45">
      <c r="A48" s="408">
        <f>'Datos Básicos'!B8</f>
        <v>0</v>
      </c>
    </row>
    <row r="49" spans="1:20" ht="28.5" thickBot="1" x14ac:dyDescent="0.5">
      <c r="A49" s="408"/>
    </row>
    <row r="50" spans="1:20" ht="18.75" customHeight="1" thickBot="1" x14ac:dyDescent="0.35">
      <c r="A50" s="410" t="s">
        <v>468</v>
      </c>
      <c r="B50" s="916" t="str">
        <f t="shared" ref="B50:M50" si="8">B$4</f>
        <v>enero</v>
      </c>
      <c r="C50" s="916" t="str">
        <f t="shared" si="8"/>
        <v>febrero</v>
      </c>
      <c r="D50" s="916" t="str">
        <f t="shared" si="8"/>
        <v>marzo</v>
      </c>
      <c r="E50" s="916" t="str">
        <f t="shared" si="8"/>
        <v>abril</v>
      </c>
      <c r="F50" s="916" t="str">
        <f t="shared" si="8"/>
        <v>mayo</v>
      </c>
      <c r="G50" s="916" t="str">
        <f t="shared" si="8"/>
        <v>junio</v>
      </c>
      <c r="H50" s="916" t="str">
        <f t="shared" si="8"/>
        <v>julio</v>
      </c>
      <c r="I50" s="916" t="str">
        <f t="shared" si="8"/>
        <v>agosto</v>
      </c>
      <c r="J50" s="916" t="str">
        <f t="shared" si="8"/>
        <v>septiembre</v>
      </c>
      <c r="K50" s="916" t="str">
        <f t="shared" si="8"/>
        <v>octubre</v>
      </c>
      <c r="L50" s="916" t="str">
        <f t="shared" si="8"/>
        <v>noviembre</v>
      </c>
      <c r="M50" s="916" t="str">
        <f t="shared" si="8"/>
        <v>diciembre</v>
      </c>
      <c r="N50" s="916" t="s">
        <v>865</v>
      </c>
    </row>
    <row r="51" spans="1:20" ht="18.75" customHeight="1" x14ac:dyDescent="0.3">
      <c r="A51" s="895" t="str">
        <f>A31</f>
        <v/>
      </c>
      <c r="B51" s="896" t="str">
        <f t="shared" ref="B51:M51" si="9">IF($N17=0,"",B17/$N17)</f>
        <v/>
      </c>
      <c r="C51" s="897" t="str">
        <f t="shared" si="9"/>
        <v/>
      </c>
      <c r="D51" s="897" t="str">
        <f t="shared" si="9"/>
        <v/>
      </c>
      <c r="E51" s="897" t="str">
        <f t="shared" si="9"/>
        <v/>
      </c>
      <c r="F51" s="897" t="str">
        <f t="shared" si="9"/>
        <v/>
      </c>
      <c r="G51" s="897" t="str">
        <f t="shared" si="9"/>
        <v/>
      </c>
      <c r="H51" s="897" t="str">
        <f t="shared" si="9"/>
        <v/>
      </c>
      <c r="I51" s="897" t="str">
        <f t="shared" si="9"/>
        <v/>
      </c>
      <c r="J51" s="897" t="str">
        <f t="shared" si="9"/>
        <v/>
      </c>
      <c r="K51" s="897" t="str">
        <f t="shared" si="9"/>
        <v/>
      </c>
      <c r="L51" s="897" t="str">
        <f t="shared" si="9"/>
        <v/>
      </c>
      <c r="M51" s="898" t="str">
        <f t="shared" si="9"/>
        <v/>
      </c>
      <c r="N51" s="899">
        <f t="shared" ref="N51:N59" si="10">SUM(B51:M51)</f>
        <v>0</v>
      </c>
    </row>
    <row r="52" spans="1:20" ht="18.75" customHeight="1" x14ac:dyDescent="0.3">
      <c r="A52" s="900" t="str">
        <f t="shared" ref="A52:A58" si="11">A32</f>
        <v/>
      </c>
      <c r="B52" s="901" t="str">
        <f t="shared" ref="B52:M52" si="12">IF($N18=0,"",B18/$N18)</f>
        <v/>
      </c>
      <c r="C52" s="902" t="str">
        <f t="shared" si="12"/>
        <v/>
      </c>
      <c r="D52" s="902" t="str">
        <f t="shared" si="12"/>
        <v/>
      </c>
      <c r="E52" s="902" t="str">
        <f t="shared" si="12"/>
        <v/>
      </c>
      <c r="F52" s="902" t="str">
        <f t="shared" si="12"/>
        <v/>
      </c>
      <c r="G52" s="902" t="str">
        <f t="shared" si="12"/>
        <v/>
      </c>
      <c r="H52" s="902" t="str">
        <f t="shared" si="12"/>
        <v/>
      </c>
      <c r="I52" s="902" t="str">
        <f t="shared" si="12"/>
        <v/>
      </c>
      <c r="J52" s="902" t="str">
        <f t="shared" si="12"/>
        <v/>
      </c>
      <c r="K52" s="902" t="str">
        <f t="shared" si="12"/>
        <v/>
      </c>
      <c r="L52" s="902" t="str">
        <f t="shared" si="12"/>
        <v/>
      </c>
      <c r="M52" s="903" t="str">
        <f t="shared" si="12"/>
        <v/>
      </c>
      <c r="N52" s="904">
        <f t="shared" si="10"/>
        <v>0</v>
      </c>
    </row>
    <row r="53" spans="1:20" ht="18.75" customHeight="1" x14ac:dyDescent="0.3">
      <c r="A53" s="900" t="str">
        <f t="shared" si="11"/>
        <v/>
      </c>
      <c r="B53" s="901" t="str">
        <f t="shared" ref="B53:M53" si="13">IF($N19=0,"",B19/$N19)</f>
        <v/>
      </c>
      <c r="C53" s="902" t="str">
        <f t="shared" si="13"/>
        <v/>
      </c>
      <c r="D53" s="902" t="str">
        <f t="shared" si="13"/>
        <v/>
      </c>
      <c r="E53" s="902" t="str">
        <f t="shared" si="13"/>
        <v/>
      </c>
      <c r="F53" s="902" t="str">
        <f t="shared" si="13"/>
        <v/>
      </c>
      <c r="G53" s="902" t="str">
        <f t="shared" si="13"/>
        <v/>
      </c>
      <c r="H53" s="902" t="str">
        <f t="shared" si="13"/>
        <v/>
      </c>
      <c r="I53" s="902" t="str">
        <f t="shared" si="13"/>
        <v/>
      </c>
      <c r="J53" s="902" t="str">
        <f t="shared" si="13"/>
        <v/>
      </c>
      <c r="K53" s="902" t="str">
        <f t="shared" si="13"/>
        <v/>
      </c>
      <c r="L53" s="902" t="str">
        <f t="shared" si="13"/>
        <v/>
      </c>
      <c r="M53" s="903" t="str">
        <f t="shared" si="13"/>
        <v/>
      </c>
      <c r="N53" s="904">
        <f t="shared" si="10"/>
        <v>0</v>
      </c>
    </row>
    <row r="54" spans="1:20" ht="18.75" customHeight="1" x14ac:dyDescent="0.3">
      <c r="A54" s="900" t="str">
        <f t="shared" si="11"/>
        <v/>
      </c>
      <c r="B54" s="901" t="str">
        <f t="shared" ref="B54:M54" si="14">IF($N20=0,"",B20/$N20)</f>
        <v/>
      </c>
      <c r="C54" s="902" t="str">
        <f t="shared" si="14"/>
        <v/>
      </c>
      <c r="D54" s="902" t="str">
        <f t="shared" si="14"/>
        <v/>
      </c>
      <c r="E54" s="902" t="str">
        <f t="shared" si="14"/>
        <v/>
      </c>
      <c r="F54" s="902" t="str">
        <f t="shared" si="14"/>
        <v/>
      </c>
      <c r="G54" s="902" t="str">
        <f t="shared" si="14"/>
        <v/>
      </c>
      <c r="H54" s="902" t="str">
        <f t="shared" si="14"/>
        <v/>
      </c>
      <c r="I54" s="902" t="str">
        <f t="shared" si="14"/>
        <v/>
      </c>
      <c r="J54" s="902" t="str">
        <f t="shared" si="14"/>
        <v/>
      </c>
      <c r="K54" s="902" t="str">
        <f t="shared" si="14"/>
        <v/>
      </c>
      <c r="L54" s="902" t="str">
        <f t="shared" si="14"/>
        <v/>
      </c>
      <c r="M54" s="903" t="str">
        <f t="shared" si="14"/>
        <v/>
      </c>
      <c r="N54" s="904">
        <f t="shared" si="10"/>
        <v>0</v>
      </c>
    </row>
    <row r="55" spans="1:20" ht="18.75" customHeight="1" x14ac:dyDescent="0.3">
      <c r="A55" s="900" t="str">
        <f t="shared" si="11"/>
        <v/>
      </c>
      <c r="B55" s="901" t="str">
        <f t="shared" ref="B55:M55" si="15">IF($N21=0,"",B21/$N21)</f>
        <v/>
      </c>
      <c r="C55" s="902" t="str">
        <f t="shared" si="15"/>
        <v/>
      </c>
      <c r="D55" s="902" t="str">
        <f t="shared" si="15"/>
        <v/>
      </c>
      <c r="E55" s="902" t="str">
        <f t="shared" si="15"/>
        <v/>
      </c>
      <c r="F55" s="902" t="str">
        <f t="shared" si="15"/>
        <v/>
      </c>
      <c r="G55" s="902" t="str">
        <f t="shared" si="15"/>
        <v/>
      </c>
      <c r="H55" s="902" t="str">
        <f t="shared" si="15"/>
        <v/>
      </c>
      <c r="I55" s="902" t="str">
        <f t="shared" si="15"/>
        <v/>
      </c>
      <c r="J55" s="902" t="str">
        <f t="shared" si="15"/>
        <v/>
      </c>
      <c r="K55" s="902" t="str">
        <f t="shared" si="15"/>
        <v/>
      </c>
      <c r="L55" s="902" t="str">
        <f t="shared" si="15"/>
        <v/>
      </c>
      <c r="M55" s="903" t="str">
        <f t="shared" si="15"/>
        <v/>
      </c>
      <c r="N55" s="904">
        <f t="shared" si="10"/>
        <v>0</v>
      </c>
    </row>
    <row r="56" spans="1:20" ht="18.75" customHeight="1" x14ac:dyDescent="0.3">
      <c r="A56" s="900" t="str">
        <f t="shared" si="11"/>
        <v/>
      </c>
      <c r="B56" s="901" t="str">
        <f t="shared" ref="B56:M56" si="16">IF($N22=0,"",B22/$N22)</f>
        <v/>
      </c>
      <c r="C56" s="902" t="str">
        <f t="shared" si="16"/>
        <v/>
      </c>
      <c r="D56" s="902" t="str">
        <f t="shared" si="16"/>
        <v/>
      </c>
      <c r="E56" s="902" t="str">
        <f t="shared" si="16"/>
        <v/>
      </c>
      <c r="F56" s="902" t="str">
        <f t="shared" si="16"/>
        <v/>
      </c>
      <c r="G56" s="902" t="str">
        <f t="shared" si="16"/>
        <v/>
      </c>
      <c r="H56" s="902" t="str">
        <f t="shared" si="16"/>
        <v/>
      </c>
      <c r="I56" s="902" t="str">
        <f t="shared" si="16"/>
        <v/>
      </c>
      <c r="J56" s="902" t="str">
        <f t="shared" si="16"/>
        <v/>
      </c>
      <c r="K56" s="902" t="str">
        <f t="shared" si="16"/>
        <v/>
      </c>
      <c r="L56" s="902" t="str">
        <f t="shared" si="16"/>
        <v/>
      </c>
      <c r="M56" s="903" t="str">
        <f t="shared" si="16"/>
        <v/>
      </c>
      <c r="N56" s="904">
        <f t="shared" si="10"/>
        <v>0</v>
      </c>
    </row>
    <row r="57" spans="1:20" ht="18.75" customHeight="1" x14ac:dyDescent="0.3">
      <c r="A57" s="900" t="str">
        <f t="shared" si="11"/>
        <v/>
      </c>
      <c r="B57" s="901" t="str">
        <f t="shared" ref="B57:M57" si="17">IF($N23=0,"",B23/$N23)</f>
        <v/>
      </c>
      <c r="C57" s="902" t="str">
        <f t="shared" si="17"/>
        <v/>
      </c>
      <c r="D57" s="902" t="str">
        <f t="shared" si="17"/>
        <v/>
      </c>
      <c r="E57" s="902" t="str">
        <f t="shared" si="17"/>
        <v/>
      </c>
      <c r="F57" s="902" t="str">
        <f t="shared" si="17"/>
        <v/>
      </c>
      <c r="G57" s="902" t="str">
        <f t="shared" si="17"/>
        <v/>
      </c>
      <c r="H57" s="902" t="str">
        <f t="shared" si="17"/>
        <v/>
      </c>
      <c r="I57" s="902" t="str">
        <f t="shared" si="17"/>
        <v/>
      </c>
      <c r="J57" s="902" t="str">
        <f t="shared" si="17"/>
        <v/>
      </c>
      <c r="K57" s="902" t="str">
        <f t="shared" si="17"/>
        <v/>
      </c>
      <c r="L57" s="902" t="str">
        <f t="shared" si="17"/>
        <v/>
      </c>
      <c r="M57" s="903" t="str">
        <f t="shared" si="17"/>
        <v/>
      </c>
      <c r="N57" s="904">
        <f t="shared" si="10"/>
        <v>0</v>
      </c>
    </row>
    <row r="58" spans="1:20" ht="18.75" customHeight="1" thickBot="1" x14ac:dyDescent="0.35">
      <c r="A58" s="905" t="str">
        <f t="shared" si="11"/>
        <v/>
      </c>
      <c r="B58" s="906" t="str">
        <f t="shared" ref="B58:M58" si="18">IF($N24=0,"",B24/$N24)</f>
        <v/>
      </c>
      <c r="C58" s="907" t="str">
        <f t="shared" si="18"/>
        <v/>
      </c>
      <c r="D58" s="907" t="str">
        <f t="shared" si="18"/>
        <v/>
      </c>
      <c r="E58" s="907" t="str">
        <f t="shared" si="18"/>
        <v/>
      </c>
      <c r="F58" s="907" t="str">
        <f t="shared" si="18"/>
        <v/>
      </c>
      <c r="G58" s="907" t="str">
        <f t="shared" si="18"/>
        <v/>
      </c>
      <c r="H58" s="907" t="str">
        <f t="shared" si="18"/>
        <v/>
      </c>
      <c r="I58" s="907" t="str">
        <f t="shared" si="18"/>
        <v/>
      </c>
      <c r="J58" s="907" t="str">
        <f t="shared" si="18"/>
        <v/>
      </c>
      <c r="K58" s="907" t="str">
        <f t="shared" si="18"/>
        <v/>
      </c>
      <c r="L58" s="907" t="str">
        <f t="shared" si="18"/>
        <v/>
      </c>
      <c r="M58" s="908" t="str">
        <f t="shared" si="18"/>
        <v/>
      </c>
      <c r="N58" s="909">
        <f t="shared" si="10"/>
        <v>0</v>
      </c>
    </row>
    <row r="59" spans="1:20" s="307" customFormat="1" ht="18.75" customHeight="1" thickBot="1" x14ac:dyDescent="0.35">
      <c r="A59" s="917" t="s">
        <v>891</v>
      </c>
      <c r="B59" s="911" t="e">
        <f t="shared" ref="B59:M59" si="19">B25/$N$25</f>
        <v>#DIV/0!</v>
      </c>
      <c r="C59" s="912" t="e">
        <f t="shared" si="19"/>
        <v>#DIV/0!</v>
      </c>
      <c r="D59" s="912" t="e">
        <f t="shared" si="19"/>
        <v>#DIV/0!</v>
      </c>
      <c r="E59" s="912" t="e">
        <f t="shared" si="19"/>
        <v>#DIV/0!</v>
      </c>
      <c r="F59" s="912" t="e">
        <f t="shared" si="19"/>
        <v>#DIV/0!</v>
      </c>
      <c r="G59" s="912" t="e">
        <f t="shared" si="19"/>
        <v>#DIV/0!</v>
      </c>
      <c r="H59" s="912" t="e">
        <f t="shared" si="19"/>
        <v>#DIV/0!</v>
      </c>
      <c r="I59" s="912" t="e">
        <f t="shared" si="19"/>
        <v>#DIV/0!</v>
      </c>
      <c r="J59" s="912" t="e">
        <f t="shared" si="19"/>
        <v>#DIV/0!</v>
      </c>
      <c r="K59" s="912" t="e">
        <f t="shared" si="19"/>
        <v>#DIV/0!</v>
      </c>
      <c r="L59" s="912" t="e">
        <f t="shared" si="19"/>
        <v>#DIV/0!</v>
      </c>
      <c r="M59" s="912" t="e">
        <f t="shared" si="19"/>
        <v>#DIV/0!</v>
      </c>
      <c r="N59" s="913" t="e">
        <f t="shared" si="10"/>
        <v>#DIV/0!</v>
      </c>
      <c r="O59" s="305"/>
      <c r="P59" s="446"/>
      <c r="Q59" s="446"/>
      <c r="R59" s="446"/>
      <c r="S59" s="446"/>
      <c r="T59" s="446"/>
    </row>
    <row r="60" spans="1:20" s="307" customFormat="1" ht="18.75" customHeight="1" x14ac:dyDescent="0.3"/>
    <row r="62" spans="1:20" x14ac:dyDescent="0.25">
      <c r="B62" s="446"/>
    </row>
    <row r="63" spans="1:20" x14ac:dyDescent="0.25">
      <c r="B63" s="446"/>
    </row>
    <row r="64" spans="1:20" x14ac:dyDescent="0.25">
      <c r="B64" s="446"/>
    </row>
    <row r="65" spans="2:2" x14ac:dyDescent="0.25">
      <c r="B65" s="446"/>
    </row>
    <row r="66" spans="2:2" x14ac:dyDescent="0.25">
      <c r="B66" s="446"/>
    </row>
    <row r="67" spans="2:2" x14ac:dyDescent="0.25">
      <c r="B67" s="446"/>
    </row>
    <row r="68" spans="2:2" x14ac:dyDescent="0.25">
      <c r="B68" s="446"/>
    </row>
    <row r="69" spans="2:2" x14ac:dyDescent="0.25">
      <c r="B69" s="446"/>
    </row>
    <row r="70" spans="2:2" x14ac:dyDescent="0.25">
      <c r="B70" s="446"/>
    </row>
    <row r="71" spans="2:2" x14ac:dyDescent="0.25">
      <c r="B71" s="446"/>
    </row>
    <row r="72" spans="2:2" x14ac:dyDescent="0.25">
      <c r="B72" s="446"/>
    </row>
    <row r="73" spans="2:2" x14ac:dyDescent="0.25">
      <c r="B73" s="446"/>
    </row>
    <row r="74" spans="2:2" x14ac:dyDescent="0.25">
      <c r="B74" s="446"/>
    </row>
    <row r="75" spans="2:2" x14ac:dyDescent="0.25">
      <c r="B75" s="446"/>
    </row>
    <row r="76" spans="2:2" x14ac:dyDescent="0.25">
      <c r="B76" s="446"/>
    </row>
    <row r="77" spans="2:2" x14ac:dyDescent="0.25">
      <c r="B77" s="446"/>
    </row>
    <row r="78" spans="2:2" x14ac:dyDescent="0.25">
      <c r="B78" s="446"/>
    </row>
    <row r="79" spans="2:2" x14ac:dyDescent="0.25">
      <c r="B79" s="446"/>
    </row>
    <row r="80" spans="2:2" x14ac:dyDescent="0.25">
      <c r="B80" s="446"/>
    </row>
    <row r="81" spans="2:2" x14ac:dyDescent="0.25">
      <c r="B81" s="446"/>
    </row>
    <row r="82" spans="2:2" x14ac:dyDescent="0.25">
      <c r="B82" s="446"/>
    </row>
    <row r="83" spans="2:2" x14ac:dyDescent="0.25">
      <c r="B83" s="446"/>
    </row>
    <row r="84" spans="2:2" x14ac:dyDescent="0.25">
      <c r="B84" s="446"/>
    </row>
    <row r="85" spans="2:2" x14ac:dyDescent="0.25">
      <c r="B85" s="446"/>
    </row>
    <row r="99" spans="2:2" x14ac:dyDescent="0.25">
      <c r="B99" s="446"/>
    </row>
    <row r="100" spans="2:2" x14ac:dyDescent="0.25">
      <c r="B100" s="446"/>
    </row>
  </sheetData>
  <sheetProtection sheet="1" objects="1" scenarios="1" formatCells="0" formatColumns="0"/>
  <phoneticPr fontId="13" type="noConversion"/>
  <printOptions horizontalCentered="1" verticalCentered="1"/>
  <pageMargins left="0.38" right="0.19685039370078741" top="0.53" bottom="0.7" header="0.51181102362204722" footer="0.39370078740157483"/>
  <pageSetup paperSize="9" scale="82" fitToHeight="2" orientation="landscape" horizontalDpi="300" verticalDpi="300" r:id="rId1"/>
  <headerFooter alignWithMargins="0">
    <oddFooter>&amp;A</oddFooter>
  </headerFooter>
  <rowBreaks count="1" manualBreakCount="1">
    <brk id="44" max="1638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41">
    <tabColor rgb="FF7CC9D0"/>
    <pageSetUpPr fitToPage="1"/>
  </sheetPr>
  <dimension ref="A1:T100"/>
  <sheetViews>
    <sheetView showGridLines="0" workbookViewId="0"/>
  </sheetViews>
  <sheetFormatPr baseColWidth="10" defaultRowHeight="15" x14ac:dyDescent="0.25"/>
  <cols>
    <col min="1" max="1" width="24.125" style="305" customWidth="1"/>
    <col min="2" max="2" width="15.125" style="445" bestFit="1" customWidth="1"/>
    <col min="3" max="3" width="13" style="446" customWidth="1"/>
    <col min="4" max="4" width="9.25" style="446" bestFit="1" customWidth="1"/>
    <col min="5" max="5" width="10.125" style="446" bestFit="1" customWidth="1"/>
    <col min="6" max="6" width="8.875" style="446" customWidth="1"/>
    <col min="7" max="7" width="10.125" style="446" bestFit="1" customWidth="1"/>
    <col min="8" max="8" width="9.375" style="446" customWidth="1"/>
    <col min="9" max="9" width="10.25" style="446" bestFit="1" customWidth="1"/>
    <col min="10" max="10" width="12.125" style="446" bestFit="1" customWidth="1"/>
    <col min="11" max="11" width="9.375" style="446" customWidth="1"/>
    <col min="12" max="13" width="9.125" style="446" customWidth="1"/>
    <col min="14" max="14" width="8.75" style="446" customWidth="1"/>
    <col min="15" max="15" width="12.25" style="305" customWidth="1"/>
    <col min="16" max="16384" width="11" style="446"/>
  </cols>
  <sheetData>
    <row r="1" spans="1:15" ht="24.75" x14ac:dyDescent="0.4">
      <c r="A1" s="449" t="str">
        <f>'Prev.Ventas 0'!A1</f>
        <v>Previsiones de Ventas de la empresa</v>
      </c>
      <c r="E1" s="887">
        <f>'Datos Básicos'!D17+1</f>
        <v>2029</v>
      </c>
    </row>
    <row r="2" spans="1:15" ht="27.75" x14ac:dyDescent="0.45">
      <c r="A2" s="408">
        <f>'Datos Básicos'!B8</f>
        <v>0</v>
      </c>
    </row>
    <row r="3" spans="1:15" ht="14.25" customHeight="1" thickBot="1" x14ac:dyDescent="0.5">
      <c r="A3" s="408"/>
    </row>
    <row r="4" spans="1:15" s="445" customFormat="1" ht="15.75" thickBot="1" x14ac:dyDescent="0.3">
      <c r="A4" s="914" t="s">
        <v>52</v>
      </c>
      <c r="B4" s="889" t="str">
        <f>'Datos Gastos Fijos'!D7</f>
        <v>enero</v>
      </c>
      <c r="C4" s="890" t="str">
        <f>'Datos Gastos Fijos'!E7</f>
        <v>febrero</v>
      </c>
      <c r="D4" s="890" t="str">
        <f>'Datos Gastos Fijos'!F7</f>
        <v>marzo</v>
      </c>
      <c r="E4" s="890" t="str">
        <f>'Datos Gastos Fijos'!G7</f>
        <v>abril</v>
      </c>
      <c r="F4" s="890" t="str">
        <f>'Datos Gastos Fijos'!H7</f>
        <v>mayo</v>
      </c>
      <c r="G4" s="890" t="str">
        <f>'Datos Gastos Fijos'!I7</f>
        <v>junio</v>
      </c>
      <c r="H4" s="890" t="str">
        <f>'Datos Gastos Fijos'!J7</f>
        <v>julio</v>
      </c>
      <c r="I4" s="890" t="str">
        <f>'Datos Gastos Fijos'!K7</f>
        <v>agosto</v>
      </c>
      <c r="J4" s="890" t="str">
        <f>'Datos Gastos Fijos'!L7</f>
        <v>septiembre</v>
      </c>
      <c r="K4" s="890" t="str">
        <f>'Datos Gastos Fijos'!M7</f>
        <v>octubre</v>
      </c>
      <c r="L4" s="890" t="str">
        <f>'Datos Gastos Fijos'!N7</f>
        <v>noviembre</v>
      </c>
      <c r="M4" s="890" t="str">
        <f>'Datos Gastos Fijos'!O7</f>
        <v>diciembre</v>
      </c>
      <c r="N4" s="891" t="s">
        <v>865</v>
      </c>
    </row>
    <row r="5" spans="1:15" ht="15.75" customHeight="1" x14ac:dyDescent="0.25">
      <c r="A5" s="465" t="str">
        <f>IF(Parametros!A24="","",Parametros!A24)</f>
        <v/>
      </c>
      <c r="B5" s="959">
        <f>'Estimacion Ventas'!B51</f>
        <v>0</v>
      </c>
      <c r="C5" s="959">
        <f>'Estimacion Ventas'!C51</f>
        <v>0</v>
      </c>
      <c r="D5" s="959">
        <f>'Estimacion Ventas'!D51</f>
        <v>0</v>
      </c>
      <c r="E5" s="959">
        <f>'Estimacion Ventas'!E51</f>
        <v>0</v>
      </c>
      <c r="F5" s="959">
        <f>'Estimacion Ventas'!F51</f>
        <v>0</v>
      </c>
      <c r="G5" s="959">
        <f>'Estimacion Ventas'!G51</f>
        <v>0</v>
      </c>
      <c r="H5" s="959">
        <f>'Estimacion Ventas'!H51</f>
        <v>0</v>
      </c>
      <c r="I5" s="959">
        <f>'Estimacion Ventas'!I51</f>
        <v>0</v>
      </c>
      <c r="J5" s="959">
        <f>'Estimacion Ventas'!J51</f>
        <v>0</v>
      </c>
      <c r="K5" s="959">
        <f>'Estimacion Ventas'!K51</f>
        <v>0</v>
      </c>
      <c r="L5" s="959">
        <f>'Estimacion Ventas'!L51</f>
        <v>0</v>
      </c>
      <c r="M5" s="959">
        <f>'Estimacion Ventas'!M51</f>
        <v>0</v>
      </c>
      <c r="N5" s="994">
        <f t="shared" ref="N5:N12" si="0">SUM(B5:M5)</f>
        <v>0</v>
      </c>
      <c r="O5" s="446"/>
    </row>
    <row r="6" spans="1:15" ht="15.75" x14ac:dyDescent="0.25">
      <c r="A6" s="466" t="str">
        <f>IF(Parametros!A25="","",Parametros!A25)</f>
        <v/>
      </c>
      <c r="B6" s="961">
        <f>'Estimacion Ventas'!B52</f>
        <v>0</v>
      </c>
      <c r="C6" s="961">
        <f>'Estimacion Ventas'!C52</f>
        <v>0</v>
      </c>
      <c r="D6" s="961">
        <f>'Estimacion Ventas'!D52</f>
        <v>0</v>
      </c>
      <c r="E6" s="961">
        <f>'Estimacion Ventas'!E52</f>
        <v>0</v>
      </c>
      <c r="F6" s="961">
        <f>'Estimacion Ventas'!F52</f>
        <v>0</v>
      </c>
      <c r="G6" s="961">
        <f>'Estimacion Ventas'!G52</f>
        <v>0</v>
      </c>
      <c r="H6" s="961">
        <f>'Estimacion Ventas'!H52</f>
        <v>0</v>
      </c>
      <c r="I6" s="961">
        <f>'Estimacion Ventas'!I52</f>
        <v>0</v>
      </c>
      <c r="J6" s="961">
        <f>'Estimacion Ventas'!J52</f>
        <v>0</v>
      </c>
      <c r="K6" s="961">
        <f>'Estimacion Ventas'!K52</f>
        <v>0</v>
      </c>
      <c r="L6" s="961">
        <f>'Estimacion Ventas'!L52</f>
        <v>0</v>
      </c>
      <c r="M6" s="961">
        <f>'Estimacion Ventas'!M52</f>
        <v>0</v>
      </c>
      <c r="N6" s="995">
        <f t="shared" si="0"/>
        <v>0</v>
      </c>
      <c r="O6" s="446"/>
    </row>
    <row r="7" spans="1:15" ht="15.75" x14ac:dyDescent="0.25">
      <c r="A7" s="466" t="str">
        <f>IF(Parametros!A26="","",Parametros!A26)</f>
        <v/>
      </c>
      <c r="B7" s="961">
        <f>'Estimacion Ventas'!B53</f>
        <v>0</v>
      </c>
      <c r="C7" s="961">
        <f>'Estimacion Ventas'!C53</f>
        <v>0</v>
      </c>
      <c r="D7" s="961">
        <f>'Estimacion Ventas'!D53</f>
        <v>0</v>
      </c>
      <c r="E7" s="961">
        <f>'Estimacion Ventas'!E53</f>
        <v>0</v>
      </c>
      <c r="F7" s="961">
        <f>'Estimacion Ventas'!F53</f>
        <v>0</v>
      </c>
      <c r="G7" s="961">
        <f>'Estimacion Ventas'!G53</f>
        <v>0</v>
      </c>
      <c r="H7" s="961">
        <f>'Estimacion Ventas'!H53</f>
        <v>0</v>
      </c>
      <c r="I7" s="961">
        <f>'Estimacion Ventas'!I53</f>
        <v>0</v>
      </c>
      <c r="J7" s="961">
        <f>'Estimacion Ventas'!J53</f>
        <v>0</v>
      </c>
      <c r="K7" s="961">
        <f>'Estimacion Ventas'!K53</f>
        <v>0</v>
      </c>
      <c r="L7" s="961">
        <f>'Estimacion Ventas'!L53</f>
        <v>0</v>
      </c>
      <c r="M7" s="961">
        <f>'Estimacion Ventas'!M53</f>
        <v>0</v>
      </c>
      <c r="N7" s="995">
        <f t="shared" si="0"/>
        <v>0</v>
      </c>
      <c r="O7" s="446"/>
    </row>
    <row r="8" spans="1:15" ht="15.75" x14ac:dyDescent="0.25">
      <c r="A8" s="466" t="str">
        <f>IF(Parametros!A27="","",Parametros!A27)</f>
        <v/>
      </c>
      <c r="B8" s="961">
        <f>'Estimacion Ventas'!B54</f>
        <v>0</v>
      </c>
      <c r="C8" s="961">
        <f>'Estimacion Ventas'!C54</f>
        <v>0</v>
      </c>
      <c r="D8" s="961">
        <f>'Estimacion Ventas'!D54</f>
        <v>0</v>
      </c>
      <c r="E8" s="961">
        <f>'Estimacion Ventas'!E54</f>
        <v>0</v>
      </c>
      <c r="F8" s="961">
        <f>'Estimacion Ventas'!F54</f>
        <v>0</v>
      </c>
      <c r="G8" s="961">
        <f>'Estimacion Ventas'!G54</f>
        <v>0</v>
      </c>
      <c r="H8" s="961">
        <f>'Estimacion Ventas'!H54</f>
        <v>0</v>
      </c>
      <c r="I8" s="961">
        <f>'Estimacion Ventas'!I54</f>
        <v>0</v>
      </c>
      <c r="J8" s="961">
        <f>'Estimacion Ventas'!J54</f>
        <v>0</v>
      </c>
      <c r="K8" s="961">
        <f>'Estimacion Ventas'!K54</f>
        <v>0</v>
      </c>
      <c r="L8" s="961">
        <f>'Estimacion Ventas'!L54</f>
        <v>0</v>
      </c>
      <c r="M8" s="961">
        <f>'Estimacion Ventas'!M54</f>
        <v>0</v>
      </c>
      <c r="N8" s="995">
        <f t="shared" si="0"/>
        <v>0</v>
      </c>
      <c r="O8" s="446"/>
    </row>
    <row r="9" spans="1:15" ht="15.75" x14ac:dyDescent="0.25">
      <c r="A9" s="466" t="str">
        <f>IF(Parametros!A28="","",Parametros!A28)</f>
        <v/>
      </c>
      <c r="B9" s="961">
        <f>'Estimacion Ventas'!B55</f>
        <v>0</v>
      </c>
      <c r="C9" s="961">
        <f>'Estimacion Ventas'!C55</f>
        <v>0</v>
      </c>
      <c r="D9" s="961">
        <f>'Estimacion Ventas'!D55</f>
        <v>0</v>
      </c>
      <c r="E9" s="961">
        <f>'Estimacion Ventas'!E55</f>
        <v>0</v>
      </c>
      <c r="F9" s="961">
        <f>'Estimacion Ventas'!F55</f>
        <v>0</v>
      </c>
      <c r="G9" s="961">
        <f>'Estimacion Ventas'!G55</f>
        <v>0</v>
      </c>
      <c r="H9" s="961">
        <f>'Estimacion Ventas'!H55</f>
        <v>0</v>
      </c>
      <c r="I9" s="961">
        <f>'Estimacion Ventas'!I55</f>
        <v>0</v>
      </c>
      <c r="J9" s="961">
        <f>'Estimacion Ventas'!J55</f>
        <v>0</v>
      </c>
      <c r="K9" s="961">
        <f>'Estimacion Ventas'!K55</f>
        <v>0</v>
      </c>
      <c r="L9" s="961">
        <f>'Estimacion Ventas'!L55</f>
        <v>0</v>
      </c>
      <c r="M9" s="961">
        <f>'Estimacion Ventas'!M55</f>
        <v>0</v>
      </c>
      <c r="N9" s="995">
        <f t="shared" si="0"/>
        <v>0</v>
      </c>
      <c r="O9" s="446"/>
    </row>
    <row r="10" spans="1:15" ht="15.75" x14ac:dyDescent="0.25">
      <c r="A10" s="466" t="str">
        <f>IF(Parametros!A29="","",Parametros!A29)</f>
        <v/>
      </c>
      <c r="B10" s="961">
        <f>'Estimacion Ventas'!B56</f>
        <v>0</v>
      </c>
      <c r="C10" s="961">
        <f>'Estimacion Ventas'!C56</f>
        <v>0</v>
      </c>
      <c r="D10" s="961">
        <f>'Estimacion Ventas'!D56</f>
        <v>0</v>
      </c>
      <c r="E10" s="961">
        <f>'Estimacion Ventas'!E56</f>
        <v>0</v>
      </c>
      <c r="F10" s="961">
        <f>'Estimacion Ventas'!F56</f>
        <v>0</v>
      </c>
      <c r="G10" s="961">
        <f>'Estimacion Ventas'!G56</f>
        <v>0</v>
      </c>
      <c r="H10" s="961">
        <f>'Estimacion Ventas'!H56</f>
        <v>0</v>
      </c>
      <c r="I10" s="961">
        <f>'Estimacion Ventas'!I56</f>
        <v>0</v>
      </c>
      <c r="J10" s="961">
        <f>'Estimacion Ventas'!J56</f>
        <v>0</v>
      </c>
      <c r="K10" s="961">
        <f>'Estimacion Ventas'!K56</f>
        <v>0</v>
      </c>
      <c r="L10" s="961">
        <f>'Estimacion Ventas'!L56</f>
        <v>0</v>
      </c>
      <c r="M10" s="961">
        <f>'Estimacion Ventas'!M56</f>
        <v>0</v>
      </c>
      <c r="N10" s="995">
        <f t="shared" si="0"/>
        <v>0</v>
      </c>
      <c r="O10" s="446"/>
    </row>
    <row r="11" spans="1:15" ht="15.75" x14ac:dyDescent="0.25">
      <c r="A11" s="466" t="str">
        <f>IF(Parametros!A30="","",Parametros!A30)</f>
        <v/>
      </c>
      <c r="B11" s="961">
        <f>'Estimacion Ventas'!B57</f>
        <v>0</v>
      </c>
      <c r="C11" s="961">
        <f>'Estimacion Ventas'!C57</f>
        <v>0</v>
      </c>
      <c r="D11" s="961">
        <f>'Estimacion Ventas'!D57</f>
        <v>0</v>
      </c>
      <c r="E11" s="961">
        <f>'Estimacion Ventas'!E57</f>
        <v>0</v>
      </c>
      <c r="F11" s="961">
        <f>'Estimacion Ventas'!F57</f>
        <v>0</v>
      </c>
      <c r="G11" s="961">
        <f>'Estimacion Ventas'!G57</f>
        <v>0</v>
      </c>
      <c r="H11" s="961">
        <f>'Estimacion Ventas'!H57</f>
        <v>0</v>
      </c>
      <c r="I11" s="961">
        <f>'Estimacion Ventas'!I57</f>
        <v>0</v>
      </c>
      <c r="J11" s="961">
        <f>'Estimacion Ventas'!J57</f>
        <v>0</v>
      </c>
      <c r="K11" s="961">
        <f>'Estimacion Ventas'!K57</f>
        <v>0</v>
      </c>
      <c r="L11" s="961">
        <f>'Estimacion Ventas'!L57</f>
        <v>0</v>
      </c>
      <c r="M11" s="961">
        <f>'Estimacion Ventas'!M57</f>
        <v>0</v>
      </c>
      <c r="N11" s="995">
        <f t="shared" si="0"/>
        <v>0</v>
      </c>
      <c r="O11" s="446"/>
    </row>
    <row r="12" spans="1:15" ht="16.5" thickBot="1" x14ac:dyDescent="0.3">
      <c r="A12" s="892" t="str">
        <f>IF(Parametros!A31="","",Parametros!A31)</f>
        <v/>
      </c>
      <c r="B12" s="963">
        <f>'Estimacion Ventas'!B58</f>
        <v>0</v>
      </c>
      <c r="C12" s="963">
        <f>'Estimacion Ventas'!C58</f>
        <v>0</v>
      </c>
      <c r="D12" s="963">
        <f>'Estimacion Ventas'!D58</f>
        <v>0</v>
      </c>
      <c r="E12" s="963">
        <f>'Estimacion Ventas'!E58</f>
        <v>0</v>
      </c>
      <c r="F12" s="963">
        <f>'Estimacion Ventas'!F58</f>
        <v>0</v>
      </c>
      <c r="G12" s="963">
        <f>'Estimacion Ventas'!G58</f>
        <v>0</v>
      </c>
      <c r="H12" s="963">
        <f>'Estimacion Ventas'!H58</f>
        <v>0</v>
      </c>
      <c r="I12" s="963">
        <f>'Estimacion Ventas'!I58</f>
        <v>0</v>
      </c>
      <c r="J12" s="963">
        <f>'Estimacion Ventas'!J58</f>
        <v>0</v>
      </c>
      <c r="K12" s="963">
        <f>'Estimacion Ventas'!K58</f>
        <v>0</v>
      </c>
      <c r="L12" s="963">
        <f>'Estimacion Ventas'!L58</f>
        <v>0</v>
      </c>
      <c r="M12" s="963">
        <f>'Estimacion Ventas'!M58</f>
        <v>0</v>
      </c>
      <c r="N12" s="996">
        <f t="shared" si="0"/>
        <v>0</v>
      </c>
      <c r="O12" s="446"/>
    </row>
    <row r="13" spans="1:15" ht="17.25" x14ac:dyDescent="0.3">
      <c r="A13" s="398"/>
    </row>
    <row r="14" spans="1:15" ht="17.25" x14ac:dyDescent="0.3">
      <c r="A14" s="450"/>
    </row>
    <row r="15" spans="1:15" ht="18" thickBot="1" x14ac:dyDescent="0.35">
      <c r="A15" s="450"/>
    </row>
    <row r="16" spans="1:15" ht="15.75" thickBot="1" x14ac:dyDescent="0.3">
      <c r="A16" s="888" t="str">
        <f>'Prev.Ventas 0'!A16</f>
        <v>Ventas (Euros)</v>
      </c>
      <c r="B16" s="889" t="str">
        <f t="shared" ref="B16:M16" si="1">B$4</f>
        <v>enero</v>
      </c>
      <c r="C16" s="890" t="str">
        <f t="shared" si="1"/>
        <v>febrero</v>
      </c>
      <c r="D16" s="890" t="str">
        <f t="shared" si="1"/>
        <v>marzo</v>
      </c>
      <c r="E16" s="890" t="str">
        <f t="shared" si="1"/>
        <v>abril</v>
      </c>
      <c r="F16" s="890" t="str">
        <f t="shared" si="1"/>
        <v>mayo</v>
      </c>
      <c r="G16" s="890" t="str">
        <f t="shared" si="1"/>
        <v>junio</v>
      </c>
      <c r="H16" s="890" t="str">
        <f t="shared" si="1"/>
        <v>julio</v>
      </c>
      <c r="I16" s="890" t="str">
        <f t="shared" si="1"/>
        <v>agosto</v>
      </c>
      <c r="J16" s="890" t="str">
        <f t="shared" si="1"/>
        <v>septiembre</v>
      </c>
      <c r="K16" s="890" t="str">
        <f t="shared" si="1"/>
        <v>octubre</v>
      </c>
      <c r="L16" s="890" t="str">
        <f t="shared" si="1"/>
        <v>noviembre</v>
      </c>
      <c r="M16" s="890" t="str">
        <f t="shared" si="1"/>
        <v>diciembre</v>
      </c>
      <c r="N16" s="891" t="s">
        <v>865</v>
      </c>
      <c r="O16" s="446"/>
    </row>
    <row r="17" spans="1:15" ht="15.75" x14ac:dyDescent="0.25">
      <c r="A17" s="465" t="str">
        <f>IF(Parametros!A24="","",Parametros!A24)</f>
        <v/>
      </c>
      <c r="B17" s="1001">
        <f>B5*'Precios Venta y P. Cobros'!$H11</f>
        <v>0</v>
      </c>
      <c r="C17" s="959">
        <f>C5*'Precios Venta y P. Cobros'!$H11</f>
        <v>0</v>
      </c>
      <c r="D17" s="959">
        <f>D5*'Precios Venta y P. Cobros'!$H11</f>
        <v>0</v>
      </c>
      <c r="E17" s="959">
        <f>E5*'Precios Venta y P. Cobros'!$H11</f>
        <v>0</v>
      </c>
      <c r="F17" s="959">
        <f>F5*'Precios Venta y P. Cobros'!$H11</f>
        <v>0</v>
      </c>
      <c r="G17" s="959">
        <f>G5*'Precios Venta y P. Cobros'!$H11</f>
        <v>0</v>
      </c>
      <c r="H17" s="959">
        <f>H5*'Precios Venta y P. Cobros'!$H11</f>
        <v>0</v>
      </c>
      <c r="I17" s="959">
        <f>I5*'Precios Venta y P. Cobros'!$H11</f>
        <v>0</v>
      </c>
      <c r="J17" s="959">
        <f>J5*'Precios Venta y P. Cobros'!$H11</f>
        <v>0</v>
      </c>
      <c r="K17" s="959">
        <f>K5*'Precios Venta y P. Cobros'!$H11</f>
        <v>0</v>
      </c>
      <c r="L17" s="959">
        <f>L5*'Precios Venta y P. Cobros'!$H11</f>
        <v>0</v>
      </c>
      <c r="M17" s="1002">
        <f>M5*'Precios Venta y P. Cobros'!$H11</f>
        <v>0</v>
      </c>
      <c r="N17" s="994">
        <f t="shared" ref="N17:N25" si="2">SUM(B17:M17)</f>
        <v>0</v>
      </c>
      <c r="O17" s="446"/>
    </row>
    <row r="18" spans="1:15" ht="15.75" x14ac:dyDescent="0.25">
      <c r="A18" s="466" t="str">
        <f>IF(Parametros!A25="","",Parametros!A25)</f>
        <v/>
      </c>
      <c r="B18" s="1003">
        <f>B6*'Precios Venta y P. Cobros'!$H12</f>
        <v>0</v>
      </c>
      <c r="C18" s="961">
        <f>C6*'Precios Venta y P. Cobros'!$H12</f>
        <v>0</v>
      </c>
      <c r="D18" s="961">
        <f>D6*'Precios Venta y P. Cobros'!$H12</f>
        <v>0</v>
      </c>
      <c r="E18" s="961">
        <f>E6*'Precios Venta y P. Cobros'!$H12</f>
        <v>0</v>
      </c>
      <c r="F18" s="961">
        <f>F6*'Precios Venta y P. Cobros'!$H12</f>
        <v>0</v>
      </c>
      <c r="G18" s="961">
        <f>G6*'Precios Venta y P. Cobros'!$H12</f>
        <v>0</v>
      </c>
      <c r="H18" s="961">
        <f>H6*'Precios Venta y P. Cobros'!$H12</f>
        <v>0</v>
      </c>
      <c r="I18" s="961">
        <f>I6*'Precios Venta y P. Cobros'!$H12</f>
        <v>0</v>
      </c>
      <c r="J18" s="961">
        <f>J6*'Precios Venta y P. Cobros'!$H12</f>
        <v>0</v>
      </c>
      <c r="K18" s="961">
        <f>K6*'Precios Venta y P. Cobros'!$H12</f>
        <v>0</v>
      </c>
      <c r="L18" s="961">
        <f>L6*'Precios Venta y P. Cobros'!$H12</f>
        <v>0</v>
      </c>
      <c r="M18" s="1004">
        <f>M6*'Precios Venta y P. Cobros'!$H12</f>
        <v>0</v>
      </c>
      <c r="N18" s="995">
        <f t="shared" si="2"/>
        <v>0</v>
      </c>
      <c r="O18" s="446"/>
    </row>
    <row r="19" spans="1:15" ht="15.75" x14ac:dyDescent="0.25">
      <c r="A19" s="466" t="str">
        <f>IF(Parametros!A26="","",Parametros!A26)</f>
        <v/>
      </c>
      <c r="B19" s="1003">
        <f>B7*'Precios Venta y P. Cobros'!$H13</f>
        <v>0</v>
      </c>
      <c r="C19" s="961">
        <f>C7*'Precios Venta y P. Cobros'!$H13</f>
        <v>0</v>
      </c>
      <c r="D19" s="961">
        <f>D7*'Precios Venta y P. Cobros'!$H13</f>
        <v>0</v>
      </c>
      <c r="E19" s="961">
        <f>E7*'Precios Venta y P. Cobros'!$H13</f>
        <v>0</v>
      </c>
      <c r="F19" s="961">
        <f>F7*'Precios Venta y P. Cobros'!$H13</f>
        <v>0</v>
      </c>
      <c r="G19" s="961">
        <f>G7*'Precios Venta y P. Cobros'!$H13</f>
        <v>0</v>
      </c>
      <c r="H19" s="961">
        <f>H7*'Precios Venta y P. Cobros'!$H13</f>
        <v>0</v>
      </c>
      <c r="I19" s="961">
        <f>I7*'Precios Venta y P. Cobros'!$H13</f>
        <v>0</v>
      </c>
      <c r="J19" s="961">
        <f>J7*'Precios Venta y P. Cobros'!$H13</f>
        <v>0</v>
      </c>
      <c r="K19" s="961">
        <f>K7*'Precios Venta y P. Cobros'!$H13</f>
        <v>0</v>
      </c>
      <c r="L19" s="961">
        <f>L7*'Precios Venta y P. Cobros'!$H13</f>
        <v>0</v>
      </c>
      <c r="M19" s="1004">
        <f>M7*'Precios Venta y P. Cobros'!$H13</f>
        <v>0</v>
      </c>
      <c r="N19" s="995">
        <f t="shared" si="2"/>
        <v>0</v>
      </c>
      <c r="O19" s="446"/>
    </row>
    <row r="20" spans="1:15" ht="15.75" x14ac:dyDescent="0.25">
      <c r="A20" s="466" t="str">
        <f>IF(Parametros!A27="","",Parametros!A27)</f>
        <v/>
      </c>
      <c r="B20" s="1003">
        <f>B8*'Precios Venta y P. Cobros'!$H14</f>
        <v>0</v>
      </c>
      <c r="C20" s="961">
        <f>C8*'Precios Venta y P. Cobros'!$H14</f>
        <v>0</v>
      </c>
      <c r="D20" s="961">
        <f>D8*'Precios Venta y P. Cobros'!$H14</f>
        <v>0</v>
      </c>
      <c r="E20" s="961">
        <f>E8*'Precios Venta y P. Cobros'!$H14</f>
        <v>0</v>
      </c>
      <c r="F20" s="961">
        <f>F8*'Precios Venta y P. Cobros'!$H14</f>
        <v>0</v>
      </c>
      <c r="G20" s="961">
        <f>G8*'Precios Venta y P. Cobros'!$H14</f>
        <v>0</v>
      </c>
      <c r="H20" s="961">
        <f>H8*'Precios Venta y P. Cobros'!$H14</f>
        <v>0</v>
      </c>
      <c r="I20" s="961">
        <f>I8*'Precios Venta y P. Cobros'!$H14</f>
        <v>0</v>
      </c>
      <c r="J20" s="961">
        <f>J8*'Precios Venta y P. Cobros'!$H14</f>
        <v>0</v>
      </c>
      <c r="K20" s="961">
        <f>K8*'Precios Venta y P. Cobros'!$H14</f>
        <v>0</v>
      </c>
      <c r="L20" s="961">
        <f>L8*'Precios Venta y P. Cobros'!$H14</f>
        <v>0</v>
      </c>
      <c r="M20" s="1004">
        <f>M8*'Precios Venta y P. Cobros'!$H14</f>
        <v>0</v>
      </c>
      <c r="N20" s="995">
        <f t="shared" si="2"/>
        <v>0</v>
      </c>
      <c r="O20" s="446"/>
    </row>
    <row r="21" spans="1:15" ht="15.75" x14ac:dyDescent="0.25">
      <c r="A21" s="466" t="str">
        <f>IF(Parametros!A28="","",Parametros!A28)</f>
        <v/>
      </c>
      <c r="B21" s="1003">
        <f>B9*'Precios Venta y P. Cobros'!$H15</f>
        <v>0</v>
      </c>
      <c r="C21" s="961">
        <f>C9*'Precios Venta y P. Cobros'!$H15</f>
        <v>0</v>
      </c>
      <c r="D21" s="961">
        <f>D9*'Precios Venta y P. Cobros'!$H15</f>
        <v>0</v>
      </c>
      <c r="E21" s="961">
        <f>E9*'Precios Venta y P. Cobros'!$H15</f>
        <v>0</v>
      </c>
      <c r="F21" s="961">
        <f>F9*'Precios Venta y P. Cobros'!$H15</f>
        <v>0</v>
      </c>
      <c r="G21" s="961">
        <f>G9*'Precios Venta y P. Cobros'!$H15</f>
        <v>0</v>
      </c>
      <c r="H21" s="961">
        <f>H9*'Precios Venta y P. Cobros'!$H15</f>
        <v>0</v>
      </c>
      <c r="I21" s="961">
        <f>I9*'Precios Venta y P. Cobros'!$H15</f>
        <v>0</v>
      </c>
      <c r="J21" s="961">
        <f>J9*'Precios Venta y P. Cobros'!$H15</f>
        <v>0</v>
      </c>
      <c r="K21" s="961">
        <f>K9*'Precios Venta y P. Cobros'!$H15</f>
        <v>0</v>
      </c>
      <c r="L21" s="961">
        <f>L9*'Precios Venta y P. Cobros'!$H15</f>
        <v>0</v>
      </c>
      <c r="M21" s="1004">
        <f>M9*'Precios Venta y P. Cobros'!$H15</f>
        <v>0</v>
      </c>
      <c r="N21" s="995">
        <f t="shared" si="2"/>
        <v>0</v>
      </c>
      <c r="O21" s="446"/>
    </row>
    <row r="22" spans="1:15" ht="15.75" x14ac:dyDescent="0.25">
      <c r="A22" s="466" t="str">
        <f>IF(Parametros!A29="","",Parametros!A29)</f>
        <v/>
      </c>
      <c r="B22" s="1003">
        <f>B10*'Precios Venta y P. Cobros'!$H16</f>
        <v>0</v>
      </c>
      <c r="C22" s="961">
        <f>C10*'Precios Venta y P. Cobros'!$H16</f>
        <v>0</v>
      </c>
      <c r="D22" s="961">
        <f>D10*'Precios Venta y P. Cobros'!$H16</f>
        <v>0</v>
      </c>
      <c r="E22" s="961">
        <f>E10*'Precios Venta y P. Cobros'!$H16</f>
        <v>0</v>
      </c>
      <c r="F22" s="961">
        <f>F10*'Precios Venta y P. Cobros'!$H16</f>
        <v>0</v>
      </c>
      <c r="G22" s="961">
        <f>G10*'Precios Venta y P. Cobros'!$H16</f>
        <v>0</v>
      </c>
      <c r="H22" s="961">
        <f>H10*'Precios Venta y P. Cobros'!$H16</f>
        <v>0</v>
      </c>
      <c r="I22" s="961">
        <f>I10*'Precios Venta y P. Cobros'!$H16</f>
        <v>0</v>
      </c>
      <c r="J22" s="961">
        <f>J10*'Precios Venta y P. Cobros'!$H16</f>
        <v>0</v>
      </c>
      <c r="K22" s="961">
        <f>K10*'Precios Venta y P. Cobros'!$H16</f>
        <v>0</v>
      </c>
      <c r="L22" s="961">
        <f>L10*'Precios Venta y P. Cobros'!$H16</f>
        <v>0</v>
      </c>
      <c r="M22" s="1004">
        <f>M10*'Precios Venta y P. Cobros'!$H16</f>
        <v>0</v>
      </c>
      <c r="N22" s="995">
        <f t="shared" si="2"/>
        <v>0</v>
      </c>
      <c r="O22" s="446"/>
    </row>
    <row r="23" spans="1:15" ht="15.75" x14ac:dyDescent="0.25">
      <c r="A23" s="466" t="str">
        <f>IF(Parametros!A30="","",Parametros!A30)</f>
        <v/>
      </c>
      <c r="B23" s="1003">
        <f>B11*'Precios Venta y P. Cobros'!$H17</f>
        <v>0</v>
      </c>
      <c r="C23" s="961">
        <f>C11*'Precios Venta y P. Cobros'!$H17</f>
        <v>0</v>
      </c>
      <c r="D23" s="961">
        <f>D11*'Precios Venta y P. Cobros'!$H17</f>
        <v>0</v>
      </c>
      <c r="E23" s="961">
        <f>E11*'Precios Venta y P. Cobros'!$H17</f>
        <v>0</v>
      </c>
      <c r="F23" s="961">
        <f>F11*'Precios Venta y P. Cobros'!$H17</f>
        <v>0</v>
      </c>
      <c r="G23" s="961">
        <f>G11*'Precios Venta y P. Cobros'!$H17</f>
        <v>0</v>
      </c>
      <c r="H23" s="961">
        <f>H11*'Precios Venta y P. Cobros'!$H17</f>
        <v>0</v>
      </c>
      <c r="I23" s="961">
        <f>I11*'Precios Venta y P. Cobros'!$H17</f>
        <v>0</v>
      </c>
      <c r="J23" s="961">
        <f>J11*'Precios Venta y P. Cobros'!$H17</f>
        <v>0</v>
      </c>
      <c r="K23" s="961">
        <f>K11*'Precios Venta y P. Cobros'!$H17</f>
        <v>0</v>
      </c>
      <c r="L23" s="961">
        <f>L11*'Precios Venta y P. Cobros'!$H17</f>
        <v>0</v>
      </c>
      <c r="M23" s="1004">
        <f>M11*'Precios Venta y P. Cobros'!$H17</f>
        <v>0</v>
      </c>
      <c r="N23" s="995">
        <f t="shared" si="2"/>
        <v>0</v>
      </c>
      <c r="O23" s="446"/>
    </row>
    <row r="24" spans="1:15" ht="16.5" thickBot="1" x14ac:dyDescent="0.3">
      <c r="A24" s="893" t="str">
        <f>IF(Parametros!A31="","",Parametros!A31)</f>
        <v/>
      </c>
      <c r="B24" s="1005">
        <f>B12*'Precios Venta y P. Cobros'!$H18</f>
        <v>0</v>
      </c>
      <c r="C24" s="963">
        <f>C12*'Precios Venta y P. Cobros'!$H18</f>
        <v>0</v>
      </c>
      <c r="D24" s="963">
        <f>D12*'Precios Venta y P. Cobros'!$H18</f>
        <v>0</v>
      </c>
      <c r="E24" s="963">
        <f>E12*'Precios Venta y P. Cobros'!$H18</f>
        <v>0</v>
      </c>
      <c r="F24" s="963">
        <f>F12*'Precios Venta y P. Cobros'!$H18</f>
        <v>0</v>
      </c>
      <c r="G24" s="963">
        <f>G12*'Precios Venta y P. Cobros'!$H18</f>
        <v>0</v>
      </c>
      <c r="H24" s="963">
        <f>H12*'Precios Venta y P. Cobros'!$H18</f>
        <v>0</v>
      </c>
      <c r="I24" s="963">
        <f>I12*'Precios Venta y P. Cobros'!$H18</f>
        <v>0</v>
      </c>
      <c r="J24" s="963">
        <f>J12*'Precios Venta y P. Cobros'!$H18</f>
        <v>0</v>
      </c>
      <c r="K24" s="963">
        <f>K12*'Precios Venta y P. Cobros'!$H18</f>
        <v>0</v>
      </c>
      <c r="L24" s="963">
        <f>L12*'Precios Venta y P. Cobros'!$H18</f>
        <v>0</v>
      </c>
      <c r="M24" s="1006">
        <f>M12*'Precios Venta y P. Cobros'!$H18</f>
        <v>0</v>
      </c>
      <c r="N24" s="997">
        <f t="shared" si="2"/>
        <v>0</v>
      </c>
      <c r="O24" s="446"/>
    </row>
    <row r="25" spans="1:15" ht="16.5" thickTop="1" thickBot="1" x14ac:dyDescent="0.3">
      <c r="A25" s="915" t="s">
        <v>865</v>
      </c>
      <c r="B25" s="1007">
        <f t="shared" ref="B25:M25" si="3">B17+B18+B19+B20+B21+B22+B23+B24</f>
        <v>0</v>
      </c>
      <c r="C25" s="1007">
        <f t="shared" si="3"/>
        <v>0</v>
      </c>
      <c r="D25" s="1007">
        <f t="shared" si="3"/>
        <v>0</v>
      </c>
      <c r="E25" s="1007">
        <f t="shared" si="3"/>
        <v>0</v>
      </c>
      <c r="F25" s="1007">
        <f t="shared" si="3"/>
        <v>0</v>
      </c>
      <c r="G25" s="1007">
        <f t="shared" si="3"/>
        <v>0</v>
      </c>
      <c r="H25" s="1007">
        <f t="shared" si="3"/>
        <v>0</v>
      </c>
      <c r="I25" s="1007">
        <f t="shared" si="3"/>
        <v>0</v>
      </c>
      <c r="J25" s="1007">
        <f t="shared" si="3"/>
        <v>0</v>
      </c>
      <c r="K25" s="1007">
        <f t="shared" si="3"/>
        <v>0</v>
      </c>
      <c r="L25" s="1007">
        <f t="shared" si="3"/>
        <v>0</v>
      </c>
      <c r="M25" s="1007">
        <f t="shared" si="3"/>
        <v>0</v>
      </c>
      <c r="N25" s="1000">
        <f t="shared" si="2"/>
        <v>0</v>
      </c>
      <c r="O25" s="446"/>
    </row>
    <row r="26" spans="1:15" ht="17.25" x14ac:dyDescent="0.3">
      <c r="A26" s="450"/>
    </row>
    <row r="27" spans="1:15" ht="17.25" x14ac:dyDescent="0.3">
      <c r="A27" s="450"/>
    </row>
    <row r="28" spans="1:15" ht="24.75" x14ac:dyDescent="0.4">
      <c r="A28" s="449" t="str">
        <f>'Prev.Ventas 0'!A28</f>
        <v>Previsión de Costes Variables de la empresa</v>
      </c>
      <c r="F28" s="887">
        <f>E1</f>
        <v>2029</v>
      </c>
    </row>
    <row r="29" spans="1:15" ht="28.5" thickBot="1" x14ac:dyDescent="0.5">
      <c r="A29" s="408">
        <f>'Datos Básicos'!B8</f>
        <v>0</v>
      </c>
    </row>
    <row r="30" spans="1:15" ht="15.75" thickBot="1" x14ac:dyDescent="0.3">
      <c r="A30" s="894" t="s">
        <v>893</v>
      </c>
      <c r="B30" s="890" t="str">
        <f t="shared" ref="B30:M30" si="4">B$4</f>
        <v>enero</v>
      </c>
      <c r="C30" s="890" t="str">
        <f t="shared" si="4"/>
        <v>febrero</v>
      </c>
      <c r="D30" s="890" t="str">
        <f t="shared" si="4"/>
        <v>marzo</v>
      </c>
      <c r="E30" s="890" t="str">
        <f t="shared" si="4"/>
        <v>abril</v>
      </c>
      <c r="F30" s="890" t="str">
        <f t="shared" si="4"/>
        <v>mayo</v>
      </c>
      <c r="G30" s="890" t="str">
        <f t="shared" si="4"/>
        <v>junio</v>
      </c>
      <c r="H30" s="890" t="str">
        <f t="shared" si="4"/>
        <v>julio</v>
      </c>
      <c r="I30" s="890" t="str">
        <f t="shared" si="4"/>
        <v>agosto</v>
      </c>
      <c r="J30" s="890" t="str">
        <f t="shared" si="4"/>
        <v>septiembre</v>
      </c>
      <c r="K30" s="890" t="str">
        <f t="shared" si="4"/>
        <v>octubre</v>
      </c>
      <c r="L30" s="890" t="str">
        <f t="shared" si="4"/>
        <v>noviembre</v>
      </c>
      <c r="M30" s="890" t="str">
        <f t="shared" si="4"/>
        <v>diciembre</v>
      </c>
      <c r="N30" s="891" t="s">
        <v>865</v>
      </c>
      <c r="O30" s="446"/>
    </row>
    <row r="31" spans="1:15" ht="15.75" x14ac:dyDescent="0.25">
      <c r="A31" s="465" t="str">
        <f t="shared" ref="A31:A38" si="5">A5</f>
        <v/>
      </c>
      <c r="B31" s="1009">
        <f>B5*'Precios-CV'!$H11</f>
        <v>0</v>
      </c>
      <c r="C31" s="959">
        <f>C5*'Precios-CV'!$H11</f>
        <v>0</v>
      </c>
      <c r="D31" s="959">
        <f>D5*'Precios-CV'!$H11</f>
        <v>0</v>
      </c>
      <c r="E31" s="959">
        <f>E5*'Precios-CV'!$H11</f>
        <v>0</v>
      </c>
      <c r="F31" s="959">
        <f>F5*'Precios-CV'!$H11</f>
        <v>0</v>
      </c>
      <c r="G31" s="959">
        <f>G5*'Precios-CV'!$H11</f>
        <v>0</v>
      </c>
      <c r="H31" s="959">
        <f>H5*'Precios-CV'!$H11</f>
        <v>0</v>
      </c>
      <c r="I31" s="959">
        <f>I5*'Precios-CV'!$H11</f>
        <v>0</v>
      </c>
      <c r="J31" s="959">
        <f>J5*'Precios-CV'!$H11</f>
        <v>0</v>
      </c>
      <c r="K31" s="959">
        <f>K5*'Precios-CV'!$H11</f>
        <v>0</v>
      </c>
      <c r="L31" s="959">
        <f>L5*'Precios-CV'!$H11</f>
        <v>0</v>
      </c>
      <c r="M31" s="1002">
        <f>M5*'Precios-CV'!$H11</f>
        <v>0</v>
      </c>
      <c r="N31" s="994">
        <f t="shared" ref="N31:N38" si="6">SUM(B31:M31)</f>
        <v>0</v>
      </c>
      <c r="O31" s="446"/>
    </row>
    <row r="32" spans="1:15" ht="15.75" x14ac:dyDescent="0.25">
      <c r="A32" s="466" t="str">
        <f t="shared" si="5"/>
        <v/>
      </c>
      <c r="B32" s="1010">
        <f>B6*'Precios-CV'!$H12</f>
        <v>0</v>
      </c>
      <c r="C32" s="961">
        <f>C6*'Precios-CV'!$H12</f>
        <v>0</v>
      </c>
      <c r="D32" s="961">
        <f>D6*'Precios-CV'!$H12</f>
        <v>0</v>
      </c>
      <c r="E32" s="961">
        <f>E6*'Precios-CV'!$H12</f>
        <v>0</v>
      </c>
      <c r="F32" s="961">
        <f>F6*'Precios-CV'!$H12</f>
        <v>0</v>
      </c>
      <c r="G32" s="961">
        <f>G6*'Precios-CV'!$H12</f>
        <v>0</v>
      </c>
      <c r="H32" s="961">
        <f>H6*'Precios-CV'!$H12</f>
        <v>0</v>
      </c>
      <c r="I32" s="961">
        <f>I6*'Precios-CV'!$H12</f>
        <v>0</v>
      </c>
      <c r="J32" s="961">
        <f>J6*'Precios-CV'!$H12</f>
        <v>0</v>
      </c>
      <c r="K32" s="961">
        <f>K6*'Precios-CV'!$H12</f>
        <v>0</v>
      </c>
      <c r="L32" s="961">
        <f>L6*'Precios-CV'!$H12</f>
        <v>0</v>
      </c>
      <c r="M32" s="1004">
        <f>M6*'Precios-CV'!$H12</f>
        <v>0</v>
      </c>
      <c r="N32" s="995">
        <f t="shared" si="6"/>
        <v>0</v>
      </c>
      <c r="O32" s="446"/>
    </row>
    <row r="33" spans="1:15" ht="15.75" x14ac:dyDescent="0.25">
      <c r="A33" s="466" t="str">
        <f t="shared" si="5"/>
        <v/>
      </c>
      <c r="B33" s="1010">
        <f>B7*'Precios-CV'!$H13</f>
        <v>0</v>
      </c>
      <c r="C33" s="961">
        <f>C7*'Precios-CV'!$H13</f>
        <v>0</v>
      </c>
      <c r="D33" s="961">
        <f>D7*'Precios-CV'!$H13</f>
        <v>0</v>
      </c>
      <c r="E33" s="961">
        <f>E7*'Precios-CV'!$H13</f>
        <v>0</v>
      </c>
      <c r="F33" s="961">
        <f>F7*'Precios-CV'!$H13</f>
        <v>0</v>
      </c>
      <c r="G33" s="961">
        <f>G7*'Precios-CV'!$H13</f>
        <v>0</v>
      </c>
      <c r="H33" s="961">
        <f>H7*'Precios-CV'!$H13</f>
        <v>0</v>
      </c>
      <c r="I33" s="961">
        <f>I7*'Precios-CV'!$H13</f>
        <v>0</v>
      </c>
      <c r="J33" s="961">
        <f>J7*'Precios-CV'!$H13</f>
        <v>0</v>
      </c>
      <c r="K33" s="961">
        <f>K7*'Precios-CV'!$H13</f>
        <v>0</v>
      </c>
      <c r="L33" s="961">
        <f>L7*'Precios-CV'!$H13</f>
        <v>0</v>
      </c>
      <c r="M33" s="1004">
        <f>M7*'Precios-CV'!$H13</f>
        <v>0</v>
      </c>
      <c r="N33" s="995">
        <f t="shared" si="6"/>
        <v>0</v>
      </c>
      <c r="O33" s="446"/>
    </row>
    <row r="34" spans="1:15" ht="15.75" x14ac:dyDescent="0.25">
      <c r="A34" s="466" t="str">
        <f t="shared" si="5"/>
        <v/>
      </c>
      <c r="B34" s="1010">
        <f>B8*'Precios-CV'!$H14</f>
        <v>0</v>
      </c>
      <c r="C34" s="961">
        <f>C8*'Precios-CV'!$H14</f>
        <v>0</v>
      </c>
      <c r="D34" s="961">
        <f>D8*'Precios-CV'!$H14</f>
        <v>0</v>
      </c>
      <c r="E34" s="961">
        <f>E8*'Precios-CV'!$H14</f>
        <v>0</v>
      </c>
      <c r="F34" s="961">
        <f>F8*'Precios-CV'!$H14</f>
        <v>0</v>
      </c>
      <c r="G34" s="961">
        <f>G8*'Precios-CV'!$H14</f>
        <v>0</v>
      </c>
      <c r="H34" s="961">
        <f>H8*'Precios-CV'!$H14</f>
        <v>0</v>
      </c>
      <c r="I34" s="961">
        <f>I8*'Precios-CV'!$H14</f>
        <v>0</v>
      </c>
      <c r="J34" s="961">
        <f>J8*'Precios-CV'!$H14</f>
        <v>0</v>
      </c>
      <c r="K34" s="961">
        <f>K8*'Precios-CV'!$H14</f>
        <v>0</v>
      </c>
      <c r="L34" s="961">
        <f>L8*'Precios-CV'!$H14</f>
        <v>0</v>
      </c>
      <c r="M34" s="1004">
        <f>M8*'Precios-CV'!$H14</f>
        <v>0</v>
      </c>
      <c r="N34" s="995">
        <f t="shared" si="6"/>
        <v>0</v>
      </c>
      <c r="O34" s="446"/>
    </row>
    <row r="35" spans="1:15" ht="15.75" x14ac:dyDescent="0.25">
      <c r="A35" s="466" t="str">
        <f t="shared" si="5"/>
        <v/>
      </c>
      <c r="B35" s="1010">
        <f>B9*'Precios-CV'!$H15</f>
        <v>0</v>
      </c>
      <c r="C35" s="961">
        <f>C9*'Precios-CV'!$H15</f>
        <v>0</v>
      </c>
      <c r="D35" s="961">
        <f>D9*'Precios-CV'!$H15</f>
        <v>0</v>
      </c>
      <c r="E35" s="961">
        <f>E9*'Precios-CV'!$H15</f>
        <v>0</v>
      </c>
      <c r="F35" s="961">
        <f>F9*'Precios-CV'!$H15</f>
        <v>0</v>
      </c>
      <c r="G35" s="961">
        <f>G9*'Precios-CV'!$H15</f>
        <v>0</v>
      </c>
      <c r="H35" s="961">
        <f>H9*'Precios-CV'!$H15</f>
        <v>0</v>
      </c>
      <c r="I35" s="961">
        <f>I9*'Precios-CV'!$H15</f>
        <v>0</v>
      </c>
      <c r="J35" s="961">
        <f>J9*'Precios-CV'!$H15</f>
        <v>0</v>
      </c>
      <c r="K35" s="961">
        <f>K9*'Precios-CV'!$H15</f>
        <v>0</v>
      </c>
      <c r="L35" s="961">
        <f>L9*'Precios-CV'!$H15</f>
        <v>0</v>
      </c>
      <c r="M35" s="1004">
        <f>M9*'Precios-CV'!$H15</f>
        <v>0</v>
      </c>
      <c r="N35" s="995">
        <f t="shared" si="6"/>
        <v>0</v>
      </c>
      <c r="O35" s="446"/>
    </row>
    <row r="36" spans="1:15" ht="15.75" x14ac:dyDescent="0.25">
      <c r="A36" s="466" t="str">
        <f t="shared" si="5"/>
        <v/>
      </c>
      <c r="B36" s="1010">
        <f>B10*'Precios-CV'!$H16</f>
        <v>0</v>
      </c>
      <c r="C36" s="961">
        <f>C10*'Precios-CV'!$H16</f>
        <v>0</v>
      </c>
      <c r="D36" s="961">
        <f>D10*'Precios-CV'!$H16</f>
        <v>0</v>
      </c>
      <c r="E36" s="961">
        <f>E10*'Precios-CV'!$H16</f>
        <v>0</v>
      </c>
      <c r="F36" s="961">
        <f>F10*'Precios-CV'!$H16</f>
        <v>0</v>
      </c>
      <c r="G36" s="961">
        <f>G10*'Precios-CV'!$H16</f>
        <v>0</v>
      </c>
      <c r="H36" s="961">
        <f>H10*'Precios-CV'!$H16</f>
        <v>0</v>
      </c>
      <c r="I36" s="961">
        <f>I10*'Precios-CV'!$H16</f>
        <v>0</v>
      </c>
      <c r="J36" s="961">
        <f>J10*'Precios-CV'!$H16</f>
        <v>0</v>
      </c>
      <c r="K36" s="961">
        <f>K10*'Precios-CV'!$H16</f>
        <v>0</v>
      </c>
      <c r="L36" s="961">
        <f>L10*'Precios-CV'!$H16</f>
        <v>0</v>
      </c>
      <c r="M36" s="1004">
        <f>M10*'Precios-CV'!$H16</f>
        <v>0</v>
      </c>
      <c r="N36" s="995">
        <f t="shared" si="6"/>
        <v>0</v>
      </c>
      <c r="O36" s="446"/>
    </row>
    <row r="37" spans="1:15" ht="15.75" x14ac:dyDescent="0.25">
      <c r="A37" s="466" t="str">
        <f t="shared" si="5"/>
        <v/>
      </c>
      <c r="B37" s="1010">
        <f>B11*'Precios-CV'!$H17</f>
        <v>0</v>
      </c>
      <c r="C37" s="961">
        <f>C11*'Precios-CV'!$H17</f>
        <v>0</v>
      </c>
      <c r="D37" s="961">
        <f>D11*'Precios-CV'!$H17</f>
        <v>0</v>
      </c>
      <c r="E37" s="961">
        <f>E11*'Precios-CV'!$H17</f>
        <v>0</v>
      </c>
      <c r="F37" s="961">
        <f>F11*'Precios-CV'!$H17</f>
        <v>0</v>
      </c>
      <c r="G37" s="961">
        <f>G11*'Precios-CV'!$H17</f>
        <v>0</v>
      </c>
      <c r="H37" s="961">
        <f>H11*'Precios-CV'!$H17</f>
        <v>0</v>
      </c>
      <c r="I37" s="961">
        <f>I11*'Precios-CV'!$H17</f>
        <v>0</v>
      </c>
      <c r="J37" s="961">
        <f>J11*'Precios-CV'!$H17</f>
        <v>0</v>
      </c>
      <c r="K37" s="961">
        <f>K11*'Precios-CV'!$H17</f>
        <v>0</v>
      </c>
      <c r="L37" s="961">
        <f>L11*'Precios-CV'!$H17</f>
        <v>0</v>
      </c>
      <c r="M37" s="1004">
        <f>M11*'Precios-CV'!$H17</f>
        <v>0</v>
      </c>
      <c r="N37" s="995">
        <f t="shared" si="6"/>
        <v>0</v>
      </c>
      <c r="O37" s="446"/>
    </row>
    <row r="38" spans="1:15" ht="16.5" thickBot="1" x14ac:dyDescent="0.3">
      <c r="A38" s="893" t="str">
        <f t="shared" si="5"/>
        <v/>
      </c>
      <c r="B38" s="1011">
        <f>B12*'Precios-CV'!$H18</f>
        <v>0</v>
      </c>
      <c r="C38" s="963">
        <f>C12*'Precios-CV'!$H18</f>
        <v>0</v>
      </c>
      <c r="D38" s="963">
        <f>D12*'Precios-CV'!$H18</f>
        <v>0</v>
      </c>
      <c r="E38" s="963">
        <f>E12*'Precios-CV'!$H18</f>
        <v>0</v>
      </c>
      <c r="F38" s="963">
        <f>F12*'Precios-CV'!$H18</f>
        <v>0</v>
      </c>
      <c r="G38" s="963">
        <f>G12*'Precios-CV'!$H18</f>
        <v>0</v>
      </c>
      <c r="H38" s="963">
        <f>H12*'Precios-CV'!$H18</f>
        <v>0</v>
      </c>
      <c r="I38" s="963">
        <f>I12*'Precios-CV'!$H18</f>
        <v>0</v>
      </c>
      <c r="J38" s="963">
        <f>J12*'Precios-CV'!$H18</f>
        <v>0</v>
      </c>
      <c r="K38" s="963">
        <f>K12*'Precios-CV'!$H18</f>
        <v>0</v>
      </c>
      <c r="L38" s="963">
        <f>L12*'Precios-CV'!$H18</f>
        <v>0</v>
      </c>
      <c r="M38" s="1006">
        <f>M12*'Precios-CV'!$H18</f>
        <v>0</v>
      </c>
      <c r="N38" s="997">
        <f t="shared" si="6"/>
        <v>0</v>
      </c>
      <c r="O38" s="446"/>
    </row>
    <row r="39" spans="1:15" s="305" customFormat="1" ht="16.5" thickTop="1" thickBot="1" x14ac:dyDescent="0.3">
      <c r="A39" s="467" t="s">
        <v>865</v>
      </c>
      <c r="B39" s="1008">
        <f t="shared" ref="B39:N39" si="7">SUM(B31:B38)</f>
        <v>0</v>
      </c>
      <c r="C39" s="1008">
        <f t="shared" si="7"/>
        <v>0</v>
      </c>
      <c r="D39" s="1008">
        <f t="shared" si="7"/>
        <v>0</v>
      </c>
      <c r="E39" s="1008">
        <f t="shared" si="7"/>
        <v>0</v>
      </c>
      <c r="F39" s="1008">
        <f t="shared" si="7"/>
        <v>0</v>
      </c>
      <c r="G39" s="1008">
        <f t="shared" si="7"/>
        <v>0</v>
      </c>
      <c r="H39" s="1008">
        <f t="shared" si="7"/>
        <v>0</v>
      </c>
      <c r="I39" s="1008">
        <f t="shared" si="7"/>
        <v>0</v>
      </c>
      <c r="J39" s="1008">
        <f t="shared" si="7"/>
        <v>0</v>
      </c>
      <c r="K39" s="1008">
        <f t="shared" si="7"/>
        <v>0</v>
      </c>
      <c r="L39" s="1008">
        <f t="shared" si="7"/>
        <v>0</v>
      </c>
      <c r="M39" s="1008">
        <f t="shared" si="7"/>
        <v>0</v>
      </c>
      <c r="N39" s="1000">
        <f t="shared" si="7"/>
        <v>0</v>
      </c>
    </row>
    <row r="40" spans="1:15" s="305" customFormat="1" x14ac:dyDescent="0.25">
      <c r="A40" s="445"/>
      <c r="B40" s="445"/>
    </row>
    <row r="41" spans="1:15" s="305" customFormat="1" x14ac:dyDescent="0.25">
      <c r="A41" s="445"/>
      <c r="B41" s="445"/>
    </row>
    <row r="42" spans="1:15" s="305" customFormat="1" x14ac:dyDescent="0.25">
      <c r="A42" s="445"/>
      <c r="B42" s="445"/>
    </row>
    <row r="43" spans="1:15" s="305" customFormat="1" x14ac:dyDescent="0.25">
      <c r="A43" s="445"/>
      <c r="B43" s="445"/>
    </row>
    <row r="44" spans="1:15" s="305" customFormat="1" x14ac:dyDescent="0.25">
      <c r="A44" s="445"/>
      <c r="B44" s="445"/>
    </row>
    <row r="45" spans="1:15" x14ac:dyDescent="0.25">
      <c r="A45" s="445"/>
    </row>
    <row r="46" spans="1:15" x14ac:dyDescent="0.25">
      <c r="A46" s="445"/>
    </row>
    <row r="47" spans="1:15" ht="23.25" customHeight="1" x14ac:dyDescent="0.45">
      <c r="A47" s="408" t="str">
        <f>'Prev.Ventas 0'!A47</f>
        <v>Estacionalidad de las Ventas</v>
      </c>
      <c r="B47" s="446"/>
      <c r="D47" s="887">
        <f>E1</f>
        <v>2029</v>
      </c>
    </row>
    <row r="48" spans="1:15" ht="27.75" x14ac:dyDescent="0.45">
      <c r="A48" s="408">
        <f>'Datos Básicos'!B8</f>
        <v>0</v>
      </c>
    </row>
    <row r="49" spans="1:20" ht="28.5" thickBot="1" x14ac:dyDescent="0.5">
      <c r="A49" s="408"/>
    </row>
    <row r="50" spans="1:20" ht="18.75" customHeight="1" thickBot="1" x14ac:dyDescent="0.35">
      <c r="A50" s="410" t="s">
        <v>468</v>
      </c>
      <c r="B50" s="916" t="str">
        <f t="shared" ref="B50:M50" si="8">B$4</f>
        <v>enero</v>
      </c>
      <c r="C50" s="916" t="str">
        <f t="shared" si="8"/>
        <v>febrero</v>
      </c>
      <c r="D50" s="916" t="str">
        <f t="shared" si="8"/>
        <v>marzo</v>
      </c>
      <c r="E50" s="916" t="str">
        <f t="shared" si="8"/>
        <v>abril</v>
      </c>
      <c r="F50" s="916" t="str">
        <f t="shared" si="8"/>
        <v>mayo</v>
      </c>
      <c r="G50" s="916" t="str">
        <f t="shared" si="8"/>
        <v>junio</v>
      </c>
      <c r="H50" s="916" t="str">
        <f t="shared" si="8"/>
        <v>julio</v>
      </c>
      <c r="I50" s="916" t="str">
        <f t="shared" si="8"/>
        <v>agosto</v>
      </c>
      <c r="J50" s="916" t="str">
        <f t="shared" si="8"/>
        <v>septiembre</v>
      </c>
      <c r="K50" s="916" t="str">
        <f t="shared" si="8"/>
        <v>octubre</v>
      </c>
      <c r="L50" s="916" t="str">
        <f t="shared" si="8"/>
        <v>noviembre</v>
      </c>
      <c r="M50" s="916" t="str">
        <f t="shared" si="8"/>
        <v>diciembre</v>
      </c>
      <c r="N50" s="916" t="s">
        <v>865</v>
      </c>
    </row>
    <row r="51" spans="1:20" ht="18.75" customHeight="1" x14ac:dyDescent="0.3">
      <c r="A51" s="895" t="str">
        <f t="shared" ref="A51:A58" si="9">A31</f>
        <v/>
      </c>
      <c r="B51" s="896" t="str">
        <f t="shared" ref="B51:M51" si="10">IF($N17=0,"",B17/$N17)</f>
        <v/>
      </c>
      <c r="C51" s="897" t="str">
        <f t="shared" si="10"/>
        <v/>
      </c>
      <c r="D51" s="897" t="str">
        <f t="shared" si="10"/>
        <v/>
      </c>
      <c r="E51" s="897" t="str">
        <f t="shared" si="10"/>
        <v/>
      </c>
      <c r="F51" s="897" t="str">
        <f t="shared" si="10"/>
        <v/>
      </c>
      <c r="G51" s="897" t="str">
        <f t="shared" si="10"/>
        <v/>
      </c>
      <c r="H51" s="897" t="str">
        <f t="shared" si="10"/>
        <v/>
      </c>
      <c r="I51" s="897" t="str">
        <f t="shared" si="10"/>
        <v/>
      </c>
      <c r="J51" s="897" t="str">
        <f t="shared" si="10"/>
        <v/>
      </c>
      <c r="K51" s="897" t="str">
        <f t="shared" si="10"/>
        <v/>
      </c>
      <c r="L51" s="897" t="str">
        <f t="shared" si="10"/>
        <v/>
      </c>
      <c r="M51" s="898" t="str">
        <f t="shared" si="10"/>
        <v/>
      </c>
      <c r="N51" s="899">
        <f t="shared" ref="N51:N59" si="11">SUM(B51:M51)</f>
        <v>0</v>
      </c>
    </row>
    <row r="52" spans="1:20" ht="18.75" customHeight="1" x14ac:dyDescent="0.3">
      <c r="A52" s="900" t="str">
        <f t="shared" si="9"/>
        <v/>
      </c>
      <c r="B52" s="901" t="str">
        <f t="shared" ref="B52:M52" si="12">IF($N18=0,"",B18/$N18)</f>
        <v/>
      </c>
      <c r="C52" s="902" t="str">
        <f t="shared" si="12"/>
        <v/>
      </c>
      <c r="D52" s="902" t="str">
        <f t="shared" si="12"/>
        <v/>
      </c>
      <c r="E52" s="902" t="str">
        <f t="shared" si="12"/>
        <v/>
      </c>
      <c r="F52" s="902" t="str">
        <f t="shared" si="12"/>
        <v/>
      </c>
      <c r="G52" s="902" t="str">
        <f t="shared" si="12"/>
        <v/>
      </c>
      <c r="H52" s="902" t="str">
        <f t="shared" si="12"/>
        <v/>
      </c>
      <c r="I52" s="902" t="str">
        <f t="shared" si="12"/>
        <v/>
      </c>
      <c r="J52" s="902" t="str">
        <f t="shared" si="12"/>
        <v/>
      </c>
      <c r="K52" s="902" t="str">
        <f t="shared" si="12"/>
        <v/>
      </c>
      <c r="L52" s="902" t="str">
        <f t="shared" si="12"/>
        <v/>
      </c>
      <c r="M52" s="903" t="str">
        <f t="shared" si="12"/>
        <v/>
      </c>
      <c r="N52" s="904">
        <f t="shared" si="11"/>
        <v>0</v>
      </c>
    </row>
    <row r="53" spans="1:20" ht="18.75" customHeight="1" x14ac:dyDescent="0.3">
      <c r="A53" s="900" t="str">
        <f t="shared" si="9"/>
        <v/>
      </c>
      <c r="B53" s="901" t="str">
        <f t="shared" ref="B53:M53" si="13">IF($N19=0,"",B19/$N19)</f>
        <v/>
      </c>
      <c r="C53" s="902" t="str">
        <f t="shared" si="13"/>
        <v/>
      </c>
      <c r="D53" s="902" t="str">
        <f t="shared" si="13"/>
        <v/>
      </c>
      <c r="E53" s="902" t="str">
        <f t="shared" si="13"/>
        <v/>
      </c>
      <c r="F53" s="902" t="str">
        <f t="shared" si="13"/>
        <v/>
      </c>
      <c r="G53" s="902" t="str">
        <f t="shared" si="13"/>
        <v/>
      </c>
      <c r="H53" s="902" t="str">
        <f t="shared" si="13"/>
        <v/>
      </c>
      <c r="I53" s="902" t="str">
        <f t="shared" si="13"/>
        <v/>
      </c>
      <c r="J53" s="902" t="str">
        <f t="shared" si="13"/>
        <v/>
      </c>
      <c r="K53" s="902" t="str">
        <f t="shared" si="13"/>
        <v/>
      </c>
      <c r="L53" s="902" t="str">
        <f t="shared" si="13"/>
        <v/>
      </c>
      <c r="M53" s="903" t="str">
        <f t="shared" si="13"/>
        <v/>
      </c>
      <c r="N53" s="904">
        <f t="shared" si="11"/>
        <v>0</v>
      </c>
    </row>
    <row r="54" spans="1:20" ht="18.75" customHeight="1" x14ac:dyDescent="0.3">
      <c r="A54" s="900" t="str">
        <f t="shared" si="9"/>
        <v/>
      </c>
      <c r="B54" s="901" t="str">
        <f t="shared" ref="B54:M54" si="14">IF($N20=0,"",B20/$N20)</f>
        <v/>
      </c>
      <c r="C54" s="902" t="str">
        <f t="shared" si="14"/>
        <v/>
      </c>
      <c r="D54" s="902" t="str">
        <f t="shared" si="14"/>
        <v/>
      </c>
      <c r="E54" s="902" t="str">
        <f t="shared" si="14"/>
        <v/>
      </c>
      <c r="F54" s="902" t="str">
        <f t="shared" si="14"/>
        <v/>
      </c>
      <c r="G54" s="902" t="str">
        <f t="shared" si="14"/>
        <v/>
      </c>
      <c r="H54" s="902" t="str">
        <f t="shared" si="14"/>
        <v/>
      </c>
      <c r="I54" s="902" t="str">
        <f t="shared" si="14"/>
        <v/>
      </c>
      <c r="J54" s="902" t="str">
        <f t="shared" si="14"/>
        <v/>
      </c>
      <c r="K54" s="902" t="str">
        <f t="shared" si="14"/>
        <v/>
      </c>
      <c r="L54" s="902" t="str">
        <f t="shared" si="14"/>
        <v/>
      </c>
      <c r="M54" s="903" t="str">
        <f t="shared" si="14"/>
        <v/>
      </c>
      <c r="N54" s="904">
        <f t="shared" si="11"/>
        <v>0</v>
      </c>
    </row>
    <row r="55" spans="1:20" ht="18.75" customHeight="1" x14ac:dyDescent="0.3">
      <c r="A55" s="900" t="str">
        <f t="shared" si="9"/>
        <v/>
      </c>
      <c r="B55" s="901" t="str">
        <f t="shared" ref="B55:M55" si="15">IF($N21=0,"",B21/$N21)</f>
        <v/>
      </c>
      <c r="C55" s="902" t="str">
        <f t="shared" si="15"/>
        <v/>
      </c>
      <c r="D55" s="902" t="str">
        <f t="shared" si="15"/>
        <v/>
      </c>
      <c r="E55" s="902" t="str">
        <f t="shared" si="15"/>
        <v/>
      </c>
      <c r="F55" s="902" t="str">
        <f t="shared" si="15"/>
        <v/>
      </c>
      <c r="G55" s="902" t="str">
        <f t="shared" si="15"/>
        <v/>
      </c>
      <c r="H55" s="902" t="str">
        <f t="shared" si="15"/>
        <v/>
      </c>
      <c r="I55" s="902" t="str">
        <f t="shared" si="15"/>
        <v/>
      </c>
      <c r="J55" s="902" t="str">
        <f t="shared" si="15"/>
        <v/>
      </c>
      <c r="K55" s="902" t="str">
        <f t="shared" si="15"/>
        <v/>
      </c>
      <c r="L55" s="902" t="str">
        <f t="shared" si="15"/>
        <v/>
      </c>
      <c r="M55" s="903" t="str">
        <f t="shared" si="15"/>
        <v/>
      </c>
      <c r="N55" s="904">
        <f t="shared" si="11"/>
        <v>0</v>
      </c>
    </row>
    <row r="56" spans="1:20" ht="18.75" customHeight="1" x14ac:dyDescent="0.3">
      <c r="A56" s="900" t="str">
        <f t="shared" si="9"/>
        <v/>
      </c>
      <c r="B56" s="901" t="str">
        <f t="shared" ref="B56:M56" si="16">IF($N22=0,"",B22/$N22)</f>
        <v/>
      </c>
      <c r="C56" s="902" t="str">
        <f t="shared" si="16"/>
        <v/>
      </c>
      <c r="D56" s="902" t="str">
        <f t="shared" si="16"/>
        <v/>
      </c>
      <c r="E56" s="902" t="str">
        <f t="shared" si="16"/>
        <v/>
      </c>
      <c r="F56" s="902" t="str">
        <f t="shared" si="16"/>
        <v/>
      </c>
      <c r="G56" s="902" t="str">
        <f t="shared" si="16"/>
        <v/>
      </c>
      <c r="H56" s="902" t="str">
        <f t="shared" si="16"/>
        <v/>
      </c>
      <c r="I56" s="902" t="str">
        <f t="shared" si="16"/>
        <v/>
      </c>
      <c r="J56" s="902" t="str">
        <f t="shared" si="16"/>
        <v/>
      </c>
      <c r="K56" s="902" t="str">
        <f t="shared" si="16"/>
        <v/>
      </c>
      <c r="L56" s="902" t="str">
        <f t="shared" si="16"/>
        <v/>
      </c>
      <c r="M56" s="903" t="str">
        <f t="shared" si="16"/>
        <v/>
      </c>
      <c r="N56" s="904">
        <f t="shared" si="11"/>
        <v>0</v>
      </c>
    </row>
    <row r="57" spans="1:20" ht="18.75" customHeight="1" x14ac:dyDescent="0.3">
      <c r="A57" s="900" t="str">
        <f t="shared" si="9"/>
        <v/>
      </c>
      <c r="B57" s="901" t="str">
        <f t="shared" ref="B57:M57" si="17">IF($N23=0,"",B23/$N23)</f>
        <v/>
      </c>
      <c r="C57" s="902" t="str">
        <f t="shared" si="17"/>
        <v/>
      </c>
      <c r="D57" s="902" t="str">
        <f t="shared" si="17"/>
        <v/>
      </c>
      <c r="E57" s="902" t="str">
        <f t="shared" si="17"/>
        <v/>
      </c>
      <c r="F57" s="902" t="str">
        <f t="shared" si="17"/>
        <v/>
      </c>
      <c r="G57" s="902" t="str">
        <f t="shared" si="17"/>
        <v/>
      </c>
      <c r="H57" s="902" t="str">
        <f t="shared" si="17"/>
        <v/>
      </c>
      <c r="I57" s="902" t="str">
        <f t="shared" si="17"/>
        <v/>
      </c>
      <c r="J57" s="902" t="str">
        <f t="shared" si="17"/>
        <v/>
      </c>
      <c r="K57" s="902" t="str">
        <f t="shared" si="17"/>
        <v/>
      </c>
      <c r="L57" s="902" t="str">
        <f t="shared" si="17"/>
        <v/>
      </c>
      <c r="M57" s="903" t="str">
        <f t="shared" si="17"/>
        <v/>
      </c>
      <c r="N57" s="904">
        <f t="shared" si="11"/>
        <v>0</v>
      </c>
    </row>
    <row r="58" spans="1:20" ht="18.75" customHeight="1" thickBot="1" x14ac:dyDescent="0.35">
      <c r="A58" s="905" t="str">
        <f t="shared" si="9"/>
        <v/>
      </c>
      <c r="B58" s="906" t="str">
        <f t="shared" ref="B58:M58" si="18">IF($N24=0,"",B24/$N24)</f>
        <v/>
      </c>
      <c r="C58" s="907" t="str">
        <f t="shared" si="18"/>
        <v/>
      </c>
      <c r="D58" s="907" t="str">
        <f t="shared" si="18"/>
        <v/>
      </c>
      <c r="E58" s="907" t="str">
        <f t="shared" si="18"/>
        <v/>
      </c>
      <c r="F58" s="907" t="str">
        <f t="shared" si="18"/>
        <v/>
      </c>
      <c r="G58" s="907" t="str">
        <f t="shared" si="18"/>
        <v/>
      </c>
      <c r="H58" s="907" t="str">
        <f t="shared" si="18"/>
        <v/>
      </c>
      <c r="I58" s="907" t="str">
        <f t="shared" si="18"/>
        <v/>
      </c>
      <c r="J58" s="907" t="str">
        <f t="shared" si="18"/>
        <v/>
      </c>
      <c r="K58" s="907" t="str">
        <f t="shared" si="18"/>
        <v/>
      </c>
      <c r="L58" s="907" t="str">
        <f t="shared" si="18"/>
        <v/>
      </c>
      <c r="M58" s="908" t="str">
        <f t="shared" si="18"/>
        <v/>
      </c>
      <c r="N58" s="909">
        <f t="shared" si="11"/>
        <v>0</v>
      </c>
    </row>
    <row r="59" spans="1:20" s="307" customFormat="1" ht="18.75" customHeight="1" thickBot="1" x14ac:dyDescent="0.35">
      <c r="A59" s="917" t="s">
        <v>891</v>
      </c>
      <c r="B59" s="911" t="e">
        <f t="shared" ref="B59:M59" si="19">B25/$N$25</f>
        <v>#DIV/0!</v>
      </c>
      <c r="C59" s="912" t="e">
        <f t="shared" si="19"/>
        <v>#DIV/0!</v>
      </c>
      <c r="D59" s="912" t="e">
        <f t="shared" si="19"/>
        <v>#DIV/0!</v>
      </c>
      <c r="E59" s="912" t="e">
        <f t="shared" si="19"/>
        <v>#DIV/0!</v>
      </c>
      <c r="F59" s="912" t="e">
        <f t="shared" si="19"/>
        <v>#DIV/0!</v>
      </c>
      <c r="G59" s="912" t="e">
        <f t="shared" si="19"/>
        <v>#DIV/0!</v>
      </c>
      <c r="H59" s="912" t="e">
        <f t="shared" si="19"/>
        <v>#DIV/0!</v>
      </c>
      <c r="I59" s="912" t="e">
        <f t="shared" si="19"/>
        <v>#DIV/0!</v>
      </c>
      <c r="J59" s="912" t="e">
        <f t="shared" si="19"/>
        <v>#DIV/0!</v>
      </c>
      <c r="K59" s="912" t="e">
        <f t="shared" si="19"/>
        <v>#DIV/0!</v>
      </c>
      <c r="L59" s="912" t="e">
        <f t="shared" si="19"/>
        <v>#DIV/0!</v>
      </c>
      <c r="M59" s="912" t="e">
        <f t="shared" si="19"/>
        <v>#DIV/0!</v>
      </c>
      <c r="N59" s="913" t="e">
        <f t="shared" si="11"/>
        <v>#DIV/0!</v>
      </c>
      <c r="O59" s="305"/>
      <c r="P59" s="446"/>
      <c r="Q59" s="446"/>
      <c r="R59" s="446"/>
      <c r="S59" s="446"/>
      <c r="T59" s="446"/>
    </row>
    <row r="60" spans="1:20" s="307" customFormat="1" ht="18.75" customHeight="1" x14ac:dyDescent="0.3"/>
    <row r="62" spans="1:20" x14ac:dyDescent="0.25">
      <c r="B62" s="446"/>
    </row>
    <row r="63" spans="1:20" x14ac:dyDescent="0.25">
      <c r="B63" s="446"/>
    </row>
    <row r="64" spans="1:20" x14ac:dyDescent="0.25">
      <c r="B64" s="446"/>
    </row>
    <row r="65" spans="2:2" x14ac:dyDescent="0.25">
      <c r="B65" s="446"/>
    </row>
    <row r="66" spans="2:2" x14ac:dyDescent="0.25">
      <c r="B66" s="446"/>
    </row>
    <row r="67" spans="2:2" x14ac:dyDescent="0.25">
      <c r="B67" s="446"/>
    </row>
    <row r="68" spans="2:2" x14ac:dyDescent="0.25">
      <c r="B68" s="446"/>
    </row>
    <row r="69" spans="2:2" x14ac:dyDescent="0.25">
      <c r="B69" s="446"/>
    </row>
    <row r="70" spans="2:2" x14ac:dyDescent="0.25">
      <c r="B70" s="446"/>
    </row>
    <row r="71" spans="2:2" x14ac:dyDescent="0.25">
      <c r="B71" s="446"/>
    </row>
    <row r="72" spans="2:2" x14ac:dyDescent="0.25">
      <c r="B72" s="446"/>
    </row>
    <row r="73" spans="2:2" x14ac:dyDescent="0.25">
      <c r="B73" s="446"/>
    </row>
    <row r="74" spans="2:2" x14ac:dyDescent="0.25">
      <c r="B74" s="446"/>
    </row>
    <row r="75" spans="2:2" x14ac:dyDescent="0.25">
      <c r="B75" s="446"/>
    </row>
    <row r="76" spans="2:2" x14ac:dyDescent="0.25">
      <c r="B76" s="446"/>
    </row>
    <row r="77" spans="2:2" x14ac:dyDescent="0.25">
      <c r="B77" s="446"/>
    </row>
    <row r="78" spans="2:2" x14ac:dyDescent="0.25">
      <c r="B78" s="446"/>
    </row>
    <row r="79" spans="2:2" x14ac:dyDescent="0.25">
      <c r="B79" s="446"/>
    </row>
    <row r="80" spans="2:2" x14ac:dyDescent="0.25">
      <c r="B80" s="446"/>
    </row>
    <row r="81" spans="2:2" x14ac:dyDescent="0.25">
      <c r="B81" s="446"/>
    </row>
    <row r="82" spans="2:2" x14ac:dyDescent="0.25">
      <c r="B82" s="446"/>
    </row>
    <row r="83" spans="2:2" x14ac:dyDescent="0.25">
      <c r="B83" s="446"/>
    </row>
    <row r="84" spans="2:2" x14ac:dyDescent="0.25">
      <c r="B84" s="446"/>
    </row>
    <row r="85" spans="2:2" x14ac:dyDescent="0.25">
      <c r="B85" s="446"/>
    </row>
    <row r="99" spans="2:2" x14ac:dyDescent="0.25">
      <c r="B99" s="446"/>
    </row>
    <row r="100" spans="2:2" x14ac:dyDescent="0.25">
      <c r="B100" s="446"/>
    </row>
  </sheetData>
  <sheetProtection sheet="1" objects="1" scenarios="1" formatCells="0" formatColumns="0"/>
  <phoneticPr fontId="13" type="noConversion"/>
  <printOptions horizontalCentered="1" verticalCentered="1"/>
  <pageMargins left="0.38" right="0.19685039370078741" top="0.53" bottom="0.7" header="0.51181102362204722" footer="0.39370078740157483"/>
  <pageSetup paperSize="9" scale="82" fitToHeight="2" orientation="landscape" horizontalDpi="300" verticalDpi="300" r:id="rId1"/>
  <headerFooter alignWithMargins="0">
    <oddFooter>&amp;A</oddFooter>
  </headerFooter>
  <rowBreaks count="1" manualBreakCount="1">
    <brk id="44" max="16383"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42">
    <tabColor rgb="FF7CC9D0"/>
    <pageSetUpPr fitToPage="1"/>
  </sheetPr>
  <dimension ref="A1:T100"/>
  <sheetViews>
    <sheetView showGridLines="0" workbookViewId="0"/>
  </sheetViews>
  <sheetFormatPr baseColWidth="10" defaultRowHeight="15" x14ac:dyDescent="0.25"/>
  <cols>
    <col min="1" max="1" width="24.125" style="305" customWidth="1"/>
    <col min="2" max="2" width="15.125" style="445" bestFit="1" customWidth="1"/>
    <col min="3" max="3" width="13" style="446" customWidth="1"/>
    <col min="4" max="4" width="9.25" style="446" bestFit="1" customWidth="1"/>
    <col min="5" max="5" width="10.125" style="446" bestFit="1" customWidth="1"/>
    <col min="6" max="6" width="8.875" style="446" customWidth="1"/>
    <col min="7" max="7" width="10.125" style="446" bestFit="1" customWidth="1"/>
    <col min="8" max="8" width="9.375" style="446" customWidth="1"/>
    <col min="9" max="9" width="10.25" style="446" bestFit="1" customWidth="1"/>
    <col min="10" max="10" width="12.125" style="446" bestFit="1" customWidth="1"/>
    <col min="11" max="11" width="9.375" style="446" customWidth="1"/>
    <col min="12" max="13" width="9.125" style="446" customWidth="1"/>
    <col min="14" max="14" width="8.75" style="446" customWidth="1"/>
    <col min="15" max="15" width="12.25" style="305" customWidth="1"/>
    <col min="16" max="16384" width="11" style="446"/>
  </cols>
  <sheetData>
    <row r="1" spans="1:15" ht="24.75" x14ac:dyDescent="0.4">
      <c r="A1" s="449" t="str">
        <f>'Prev.Ventas 0'!A1</f>
        <v>Previsiones de Ventas de la empresa</v>
      </c>
      <c r="E1" s="887">
        <f>'Datos Básicos'!D17+2</f>
        <v>2030</v>
      </c>
    </row>
    <row r="2" spans="1:15" ht="27.75" x14ac:dyDescent="0.45">
      <c r="A2" s="408">
        <f>'Datos Básicos'!B8</f>
        <v>0</v>
      </c>
    </row>
    <row r="3" spans="1:15" ht="14.25" customHeight="1" thickBot="1" x14ac:dyDescent="0.5">
      <c r="A3" s="408"/>
    </row>
    <row r="4" spans="1:15" s="445" customFormat="1" ht="15.75" thickBot="1" x14ac:dyDescent="0.3">
      <c r="A4" s="914" t="s">
        <v>52</v>
      </c>
      <c r="B4" s="889" t="str">
        <f>'Datos Gastos Fijos'!D7</f>
        <v>enero</v>
      </c>
      <c r="C4" s="890" t="str">
        <f>'Datos Gastos Fijos'!E7</f>
        <v>febrero</v>
      </c>
      <c r="D4" s="890" t="str">
        <f>'Datos Gastos Fijos'!F7</f>
        <v>marzo</v>
      </c>
      <c r="E4" s="890" t="str">
        <f>'Datos Gastos Fijos'!G7</f>
        <v>abril</v>
      </c>
      <c r="F4" s="890" t="str">
        <f>'Datos Gastos Fijos'!H7</f>
        <v>mayo</v>
      </c>
      <c r="G4" s="890" t="str">
        <f>'Datos Gastos Fijos'!I7</f>
        <v>junio</v>
      </c>
      <c r="H4" s="890" t="str">
        <f>'Datos Gastos Fijos'!J7</f>
        <v>julio</v>
      </c>
      <c r="I4" s="890" t="str">
        <f>'Datos Gastos Fijos'!K7</f>
        <v>agosto</v>
      </c>
      <c r="J4" s="890" t="str">
        <f>'Datos Gastos Fijos'!L7</f>
        <v>septiembre</v>
      </c>
      <c r="K4" s="890" t="str">
        <f>'Datos Gastos Fijos'!M7</f>
        <v>octubre</v>
      </c>
      <c r="L4" s="890" t="str">
        <f>'Datos Gastos Fijos'!N7</f>
        <v>noviembre</v>
      </c>
      <c r="M4" s="890" t="str">
        <f>'Datos Gastos Fijos'!O7</f>
        <v>diciembre</v>
      </c>
      <c r="N4" s="891" t="s">
        <v>865</v>
      </c>
    </row>
    <row r="5" spans="1:15" ht="15.75" customHeight="1" x14ac:dyDescent="0.25">
      <c r="A5" s="465" t="str">
        <f>IF(Parametros!A24="","",Parametros!A24)</f>
        <v/>
      </c>
      <c r="B5" s="959">
        <f>'Estimacion Ventas'!B64</f>
        <v>0</v>
      </c>
      <c r="C5" s="959">
        <f>'Estimacion Ventas'!C64</f>
        <v>0</v>
      </c>
      <c r="D5" s="959">
        <f>'Estimacion Ventas'!D64</f>
        <v>0</v>
      </c>
      <c r="E5" s="959">
        <f>'Estimacion Ventas'!E64</f>
        <v>0</v>
      </c>
      <c r="F5" s="959">
        <f>'Estimacion Ventas'!F64</f>
        <v>0</v>
      </c>
      <c r="G5" s="959">
        <f>'Estimacion Ventas'!G64</f>
        <v>0</v>
      </c>
      <c r="H5" s="959">
        <f>'Estimacion Ventas'!H64</f>
        <v>0</v>
      </c>
      <c r="I5" s="959">
        <f>'Estimacion Ventas'!I64</f>
        <v>0</v>
      </c>
      <c r="J5" s="959">
        <f>'Estimacion Ventas'!J64</f>
        <v>0</v>
      </c>
      <c r="K5" s="959">
        <f>'Estimacion Ventas'!K64</f>
        <v>0</v>
      </c>
      <c r="L5" s="959">
        <f>'Estimacion Ventas'!L64</f>
        <v>0</v>
      </c>
      <c r="M5" s="959">
        <f>'Estimacion Ventas'!M64</f>
        <v>0</v>
      </c>
      <c r="N5" s="994">
        <f t="shared" ref="N5:N12" si="0">SUM(B5:M5)</f>
        <v>0</v>
      </c>
      <c r="O5" s="446"/>
    </row>
    <row r="6" spans="1:15" ht="15.75" x14ac:dyDescent="0.25">
      <c r="A6" s="466" t="str">
        <f>IF(Parametros!A25="","",Parametros!A25)</f>
        <v/>
      </c>
      <c r="B6" s="961">
        <f>'Estimacion Ventas'!B65</f>
        <v>0</v>
      </c>
      <c r="C6" s="961">
        <f>'Estimacion Ventas'!C65</f>
        <v>0</v>
      </c>
      <c r="D6" s="961">
        <f>'Estimacion Ventas'!D65</f>
        <v>0</v>
      </c>
      <c r="E6" s="961">
        <f>'Estimacion Ventas'!E65</f>
        <v>0</v>
      </c>
      <c r="F6" s="961">
        <f>'Estimacion Ventas'!F65</f>
        <v>0</v>
      </c>
      <c r="G6" s="961">
        <f>'Estimacion Ventas'!G65</f>
        <v>0</v>
      </c>
      <c r="H6" s="961">
        <f>'Estimacion Ventas'!H65</f>
        <v>0</v>
      </c>
      <c r="I6" s="961">
        <f>'Estimacion Ventas'!I65</f>
        <v>0</v>
      </c>
      <c r="J6" s="961">
        <f>'Estimacion Ventas'!J65</f>
        <v>0</v>
      </c>
      <c r="K6" s="961">
        <f>'Estimacion Ventas'!K65</f>
        <v>0</v>
      </c>
      <c r="L6" s="961">
        <f>'Estimacion Ventas'!L65</f>
        <v>0</v>
      </c>
      <c r="M6" s="961">
        <f>'Estimacion Ventas'!M65</f>
        <v>0</v>
      </c>
      <c r="N6" s="995">
        <f t="shared" si="0"/>
        <v>0</v>
      </c>
      <c r="O6" s="446"/>
    </row>
    <row r="7" spans="1:15" ht="15.75" x14ac:dyDescent="0.25">
      <c r="A7" s="466" t="str">
        <f>IF(Parametros!A26="","",Parametros!A26)</f>
        <v/>
      </c>
      <c r="B7" s="961">
        <f>'Estimacion Ventas'!B66</f>
        <v>0</v>
      </c>
      <c r="C7" s="961">
        <f>'Estimacion Ventas'!C66</f>
        <v>0</v>
      </c>
      <c r="D7" s="961">
        <f>'Estimacion Ventas'!D66</f>
        <v>0</v>
      </c>
      <c r="E7" s="961">
        <f>'Estimacion Ventas'!E66</f>
        <v>0</v>
      </c>
      <c r="F7" s="961">
        <f>'Estimacion Ventas'!F66</f>
        <v>0</v>
      </c>
      <c r="G7" s="961">
        <f>'Estimacion Ventas'!G66</f>
        <v>0</v>
      </c>
      <c r="H7" s="961">
        <f>'Estimacion Ventas'!H66</f>
        <v>0</v>
      </c>
      <c r="I7" s="961">
        <f>'Estimacion Ventas'!I66</f>
        <v>0</v>
      </c>
      <c r="J7" s="961">
        <f>'Estimacion Ventas'!J66</f>
        <v>0</v>
      </c>
      <c r="K7" s="961">
        <f>'Estimacion Ventas'!K66</f>
        <v>0</v>
      </c>
      <c r="L7" s="961">
        <f>'Estimacion Ventas'!L66</f>
        <v>0</v>
      </c>
      <c r="M7" s="961">
        <f>'Estimacion Ventas'!M66</f>
        <v>0</v>
      </c>
      <c r="N7" s="995">
        <f t="shared" si="0"/>
        <v>0</v>
      </c>
      <c r="O7" s="446"/>
    </row>
    <row r="8" spans="1:15" ht="15.75" x14ac:dyDescent="0.25">
      <c r="A8" s="466" t="str">
        <f>IF(Parametros!A27="","",Parametros!A27)</f>
        <v/>
      </c>
      <c r="B8" s="961">
        <f>'Estimacion Ventas'!B67</f>
        <v>0</v>
      </c>
      <c r="C8" s="961">
        <f>'Estimacion Ventas'!C67</f>
        <v>0</v>
      </c>
      <c r="D8" s="961">
        <f>'Estimacion Ventas'!D67</f>
        <v>0</v>
      </c>
      <c r="E8" s="961">
        <f>'Estimacion Ventas'!E67</f>
        <v>0</v>
      </c>
      <c r="F8" s="961">
        <f>'Estimacion Ventas'!F67</f>
        <v>0</v>
      </c>
      <c r="G8" s="961">
        <f>'Estimacion Ventas'!G67</f>
        <v>0</v>
      </c>
      <c r="H8" s="961">
        <f>'Estimacion Ventas'!H67</f>
        <v>0</v>
      </c>
      <c r="I8" s="961">
        <f>'Estimacion Ventas'!I67</f>
        <v>0</v>
      </c>
      <c r="J8" s="961">
        <f>'Estimacion Ventas'!J67</f>
        <v>0</v>
      </c>
      <c r="K8" s="961">
        <f>'Estimacion Ventas'!K67</f>
        <v>0</v>
      </c>
      <c r="L8" s="961">
        <f>'Estimacion Ventas'!L67</f>
        <v>0</v>
      </c>
      <c r="M8" s="961">
        <f>'Estimacion Ventas'!M67</f>
        <v>0</v>
      </c>
      <c r="N8" s="995">
        <f t="shared" si="0"/>
        <v>0</v>
      </c>
      <c r="O8" s="446"/>
    </row>
    <row r="9" spans="1:15" ht="15.75" x14ac:dyDescent="0.25">
      <c r="A9" s="466" t="str">
        <f>IF(Parametros!A28="","",Parametros!A28)</f>
        <v/>
      </c>
      <c r="B9" s="961">
        <f>'Estimacion Ventas'!B68</f>
        <v>0</v>
      </c>
      <c r="C9" s="961">
        <f>'Estimacion Ventas'!C68</f>
        <v>0</v>
      </c>
      <c r="D9" s="961">
        <f>'Estimacion Ventas'!D68</f>
        <v>0</v>
      </c>
      <c r="E9" s="961">
        <f>'Estimacion Ventas'!E68</f>
        <v>0</v>
      </c>
      <c r="F9" s="961">
        <f>'Estimacion Ventas'!F68</f>
        <v>0</v>
      </c>
      <c r="G9" s="961">
        <f>'Estimacion Ventas'!G68</f>
        <v>0</v>
      </c>
      <c r="H9" s="961">
        <f>'Estimacion Ventas'!H68</f>
        <v>0</v>
      </c>
      <c r="I9" s="961">
        <f>'Estimacion Ventas'!I68</f>
        <v>0</v>
      </c>
      <c r="J9" s="961">
        <f>'Estimacion Ventas'!J68</f>
        <v>0</v>
      </c>
      <c r="K9" s="961">
        <f>'Estimacion Ventas'!K68</f>
        <v>0</v>
      </c>
      <c r="L9" s="961">
        <f>'Estimacion Ventas'!L68</f>
        <v>0</v>
      </c>
      <c r="M9" s="961">
        <f>'Estimacion Ventas'!M68</f>
        <v>0</v>
      </c>
      <c r="N9" s="995">
        <f t="shared" si="0"/>
        <v>0</v>
      </c>
      <c r="O9" s="446"/>
    </row>
    <row r="10" spans="1:15" ht="15.75" x14ac:dyDescent="0.25">
      <c r="A10" s="466" t="str">
        <f>IF(Parametros!A29="","",Parametros!A29)</f>
        <v/>
      </c>
      <c r="B10" s="961">
        <f>'Estimacion Ventas'!B69</f>
        <v>0</v>
      </c>
      <c r="C10" s="961">
        <f>'Estimacion Ventas'!C69</f>
        <v>0</v>
      </c>
      <c r="D10" s="961">
        <f>'Estimacion Ventas'!D69</f>
        <v>0</v>
      </c>
      <c r="E10" s="961">
        <f>'Estimacion Ventas'!E69</f>
        <v>0</v>
      </c>
      <c r="F10" s="961">
        <f>'Estimacion Ventas'!F69</f>
        <v>0</v>
      </c>
      <c r="G10" s="961">
        <f>'Estimacion Ventas'!G69</f>
        <v>0</v>
      </c>
      <c r="H10" s="961">
        <f>'Estimacion Ventas'!H69</f>
        <v>0</v>
      </c>
      <c r="I10" s="961">
        <f>'Estimacion Ventas'!I69</f>
        <v>0</v>
      </c>
      <c r="J10" s="961">
        <f>'Estimacion Ventas'!J69</f>
        <v>0</v>
      </c>
      <c r="K10" s="961">
        <f>'Estimacion Ventas'!K69</f>
        <v>0</v>
      </c>
      <c r="L10" s="961">
        <f>'Estimacion Ventas'!L69</f>
        <v>0</v>
      </c>
      <c r="M10" s="961">
        <f>'Estimacion Ventas'!M69</f>
        <v>0</v>
      </c>
      <c r="N10" s="995">
        <f t="shared" si="0"/>
        <v>0</v>
      </c>
      <c r="O10" s="446"/>
    </row>
    <row r="11" spans="1:15" ht="15.75" x14ac:dyDescent="0.25">
      <c r="A11" s="466" t="str">
        <f>IF(Parametros!A30="","",Parametros!A30)</f>
        <v/>
      </c>
      <c r="B11" s="961">
        <f>'Estimacion Ventas'!B70</f>
        <v>0</v>
      </c>
      <c r="C11" s="961">
        <f>'Estimacion Ventas'!C70</f>
        <v>0</v>
      </c>
      <c r="D11" s="961">
        <f>'Estimacion Ventas'!D70</f>
        <v>0</v>
      </c>
      <c r="E11" s="961">
        <f>'Estimacion Ventas'!E70</f>
        <v>0</v>
      </c>
      <c r="F11" s="961">
        <f>'Estimacion Ventas'!F70</f>
        <v>0</v>
      </c>
      <c r="G11" s="961">
        <f>'Estimacion Ventas'!G70</f>
        <v>0</v>
      </c>
      <c r="H11" s="961">
        <f>'Estimacion Ventas'!H70</f>
        <v>0</v>
      </c>
      <c r="I11" s="961">
        <f>'Estimacion Ventas'!I70</f>
        <v>0</v>
      </c>
      <c r="J11" s="961">
        <f>'Estimacion Ventas'!J70</f>
        <v>0</v>
      </c>
      <c r="K11" s="961">
        <f>'Estimacion Ventas'!K70</f>
        <v>0</v>
      </c>
      <c r="L11" s="961">
        <f>'Estimacion Ventas'!L70</f>
        <v>0</v>
      </c>
      <c r="M11" s="961">
        <f>'Estimacion Ventas'!M70</f>
        <v>0</v>
      </c>
      <c r="N11" s="995">
        <f t="shared" si="0"/>
        <v>0</v>
      </c>
      <c r="O11" s="446"/>
    </row>
    <row r="12" spans="1:15" ht="16.5" thickBot="1" x14ac:dyDescent="0.3">
      <c r="A12" s="892" t="str">
        <f>IF(Parametros!A31="","",Parametros!A31)</f>
        <v/>
      </c>
      <c r="B12" s="963">
        <f>'Estimacion Ventas'!B71</f>
        <v>0</v>
      </c>
      <c r="C12" s="963">
        <f>'Estimacion Ventas'!C71</f>
        <v>0</v>
      </c>
      <c r="D12" s="963">
        <f>'Estimacion Ventas'!D71</f>
        <v>0</v>
      </c>
      <c r="E12" s="963">
        <f>'Estimacion Ventas'!E71</f>
        <v>0</v>
      </c>
      <c r="F12" s="963">
        <f>'Estimacion Ventas'!F71</f>
        <v>0</v>
      </c>
      <c r="G12" s="963">
        <f>'Estimacion Ventas'!G71</f>
        <v>0</v>
      </c>
      <c r="H12" s="963">
        <f>'Estimacion Ventas'!H71</f>
        <v>0</v>
      </c>
      <c r="I12" s="963">
        <f>'Estimacion Ventas'!I71</f>
        <v>0</v>
      </c>
      <c r="J12" s="963">
        <f>'Estimacion Ventas'!J71</f>
        <v>0</v>
      </c>
      <c r="K12" s="963">
        <f>'Estimacion Ventas'!K71</f>
        <v>0</v>
      </c>
      <c r="L12" s="963">
        <f>'Estimacion Ventas'!L71</f>
        <v>0</v>
      </c>
      <c r="M12" s="963">
        <f>'Estimacion Ventas'!M71</f>
        <v>0</v>
      </c>
      <c r="N12" s="996">
        <f t="shared" si="0"/>
        <v>0</v>
      </c>
      <c r="O12" s="446"/>
    </row>
    <row r="13" spans="1:15" ht="17.25" x14ac:dyDescent="0.3">
      <c r="A13" s="398"/>
    </row>
    <row r="14" spans="1:15" ht="17.25" x14ac:dyDescent="0.3">
      <c r="A14" s="450"/>
    </row>
    <row r="15" spans="1:15" ht="18" thickBot="1" x14ac:dyDescent="0.35">
      <c r="A15" s="450"/>
    </row>
    <row r="16" spans="1:15" ht="15.75" thickBot="1" x14ac:dyDescent="0.3">
      <c r="A16" s="888" t="str">
        <f>'Prev.Ventas 0'!A16</f>
        <v>Ventas (Euros)</v>
      </c>
      <c r="B16" s="889" t="str">
        <f t="shared" ref="B16:M16" si="1">B$4</f>
        <v>enero</v>
      </c>
      <c r="C16" s="890" t="str">
        <f t="shared" si="1"/>
        <v>febrero</v>
      </c>
      <c r="D16" s="890" t="str">
        <f t="shared" si="1"/>
        <v>marzo</v>
      </c>
      <c r="E16" s="890" t="str">
        <f t="shared" si="1"/>
        <v>abril</v>
      </c>
      <c r="F16" s="890" t="str">
        <f t="shared" si="1"/>
        <v>mayo</v>
      </c>
      <c r="G16" s="890" t="str">
        <f t="shared" si="1"/>
        <v>junio</v>
      </c>
      <c r="H16" s="890" t="str">
        <f t="shared" si="1"/>
        <v>julio</v>
      </c>
      <c r="I16" s="890" t="str">
        <f t="shared" si="1"/>
        <v>agosto</v>
      </c>
      <c r="J16" s="890" t="str">
        <f t="shared" si="1"/>
        <v>septiembre</v>
      </c>
      <c r="K16" s="890" t="str">
        <f t="shared" si="1"/>
        <v>octubre</v>
      </c>
      <c r="L16" s="890" t="str">
        <f t="shared" si="1"/>
        <v>noviembre</v>
      </c>
      <c r="M16" s="890" t="str">
        <f t="shared" si="1"/>
        <v>diciembre</v>
      </c>
      <c r="N16" s="891" t="s">
        <v>865</v>
      </c>
      <c r="O16" s="446"/>
    </row>
    <row r="17" spans="1:15" ht="15.75" x14ac:dyDescent="0.25">
      <c r="A17" s="465" t="str">
        <f>IF(Parametros!A24="","",Parametros!A24)</f>
        <v/>
      </c>
      <c r="B17" s="1001">
        <f>B5*'Precios Venta y P. Cobros'!$J11</f>
        <v>0</v>
      </c>
      <c r="C17" s="959">
        <f>C5*'Precios Venta y P. Cobros'!$J11</f>
        <v>0</v>
      </c>
      <c r="D17" s="959">
        <f>D5*'Precios Venta y P. Cobros'!$J11</f>
        <v>0</v>
      </c>
      <c r="E17" s="959">
        <f>E5*'Precios Venta y P. Cobros'!$J11</f>
        <v>0</v>
      </c>
      <c r="F17" s="959">
        <f>F5*'Precios Venta y P. Cobros'!$J11</f>
        <v>0</v>
      </c>
      <c r="G17" s="959">
        <f>G5*'Precios Venta y P. Cobros'!$J11</f>
        <v>0</v>
      </c>
      <c r="H17" s="959">
        <f>H5*'Precios Venta y P. Cobros'!$J11</f>
        <v>0</v>
      </c>
      <c r="I17" s="959">
        <f>I5*'Precios Venta y P. Cobros'!$J11</f>
        <v>0</v>
      </c>
      <c r="J17" s="959">
        <f>J5*'Precios Venta y P. Cobros'!$J11</f>
        <v>0</v>
      </c>
      <c r="K17" s="959">
        <f>K5*'Precios Venta y P. Cobros'!$J11</f>
        <v>0</v>
      </c>
      <c r="L17" s="959">
        <f>L5*'Precios Venta y P. Cobros'!$J11</f>
        <v>0</v>
      </c>
      <c r="M17" s="1002">
        <f>M5*'Precios Venta y P. Cobros'!$J11</f>
        <v>0</v>
      </c>
      <c r="N17" s="994">
        <f t="shared" ref="N17:N25" si="2">SUM(B17:M17)</f>
        <v>0</v>
      </c>
      <c r="O17" s="446"/>
    </row>
    <row r="18" spans="1:15" ht="15.75" x14ac:dyDescent="0.25">
      <c r="A18" s="466" t="str">
        <f>IF(Parametros!A25="","",Parametros!A25)</f>
        <v/>
      </c>
      <c r="B18" s="1003">
        <f>B6*'Precios Venta y P. Cobros'!$J12</f>
        <v>0</v>
      </c>
      <c r="C18" s="961">
        <f>C6*'Precios Venta y P. Cobros'!$J12</f>
        <v>0</v>
      </c>
      <c r="D18" s="961">
        <f>D6*'Precios Venta y P. Cobros'!$J12</f>
        <v>0</v>
      </c>
      <c r="E18" s="961">
        <f>E6*'Precios Venta y P. Cobros'!$J12</f>
        <v>0</v>
      </c>
      <c r="F18" s="961">
        <f>F6*'Precios Venta y P. Cobros'!$J12</f>
        <v>0</v>
      </c>
      <c r="G18" s="961">
        <f>G6*'Precios Venta y P. Cobros'!$J12</f>
        <v>0</v>
      </c>
      <c r="H18" s="961">
        <f>H6*'Precios Venta y P. Cobros'!$J12</f>
        <v>0</v>
      </c>
      <c r="I18" s="961">
        <f>I6*'Precios Venta y P. Cobros'!$J12</f>
        <v>0</v>
      </c>
      <c r="J18" s="961">
        <f>J6*'Precios Venta y P. Cobros'!$J12</f>
        <v>0</v>
      </c>
      <c r="K18" s="961">
        <f>K6*'Precios Venta y P. Cobros'!$J12</f>
        <v>0</v>
      </c>
      <c r="L18" s="961">
        <f>L6*'Precios Venta y P. Cobros'!$J12</f>
        <v>0</v>
      </c>
      <c r="M18" s="1004">
        <f>M6*'Precios Venta y P. Cobros'!$J12</f>
        <v>0</v>
      </c>
      <c r="N18" s="995">
        <f t="shared" si="2"/>
        <v>0</v>
      </c>
      <c r="O18" s="446"/>
    </row>
    <row r="19" spans="1:15" ht="15.75" x14ac:dyDescent="0.25">
      <c r="A19" s="466" t="str">
        <f>IF(Parametros!A26="","",Parametros!A26)</f>
        <v/>
      </c>
      <c r="B19" s="1003">
        <f>B7*'Precios Venta y P. Cobros'!$J13</f>
        <v>0</v>
      </c>
      <c r="C19" s="961">
        <f>C7*'Precios Venta y P. Cobros'!$J13</f>
        <v>0</v>
      </c>
      <c r="D19" s="961">
        <f>D7*'Precios Venta y P. Cobros'!$J13</f>
        <v>0</v>
      </c>
      <c r="E19" s="961">
        <f>E7*'Precios Venta y P. Cobros'!$J13</f>
        <v>0</v>
      </c>
      <c r="F19" s="961">
        <f>F7*'Precios Venta y P. Cobros'!$J13</f>
        <v>0</v>
      </c>
      <c r="G19" s="961">
        <f>G7*'Precios Venta y P. Cobros'!$J13</f>
        <v>0</v>
      </c>
      <c r="H19" s="961">
        <f>H7*'Precios Venta y P. Cobros'!$J13</f>
        <v>0</v>
      </c>
      <c r="I19" s="961">
        <f>I7*'Precios Venta y P. Cobros'!$J13</f>
        <v>0</v>
      </c>
      <c r="J19" s="961">
        <f>J7*'Precios Venta y P. Cobros'!$J13</f>
        <v>0</v>
      </c>
      <c r="K19" s="961">
        <f>K7*'Precios Venta y P. Cobros'!$J13</f>
        <v>0</v>
      </c>
      <c r="L19" s="961">
        <f>L7*'Precios Venta y P. Cobros'!$J13</f>
        <v>0</v>
      </c>
      <c r="M19" s="1004">
        <f>M7*'Precios Venta y P. Cobros'!$J13</f>
        <v>0</v>
      </c>
      <c r="N19" s="995">
        <f t="shared" si="2"/>
        <v>0</v>
      </c>
      <c r="O19" s="446"/>
    </row>
    <row r="20" spans="1:15" ht="15.75" x14ac:dyDescent="0.25">
      <c r="A20" s="466" t="str">
        <f>IF(Parametros!A27="","",Parametros!A27)</f>
        <v/>
      </c>
      <c r="B20" s="1003">
        <f>B8*'Precios Venta y P. Cobros'!$J14</f>
        <v>0</v>
      </c>
      <c r="C20" s="961">
        <f>C8*'Precios Venta y P. Cobros'!$J14</f>
        <v>0</v>
      </c>
      <c r="D20" s="961">
        <f>D8*'Precios Venta y P. Cobros'!$J14</f>
        <v>0</v>
      </c>
      <c r="E20" s="961">
        <f>E8*'Precios Venta y P. Cobros'!$J14</f>
        <v>0</v>
      </c>
      <c r="F20" s="961">
        <f>F8*'Precios Venta y P. Cobros'!$J14</f>
        <v>0</v>
      </c>
      <c r="G20" s="961">
        <f>G8*'Precios Venta y P. Cobros'!$J14</f>
        <v>0</v>
      </c>
      <c r="H20" s="961">
        <f>H8*'Precios Venta y P. Cobros'!$J14</f>
        <v>0</v>
      </c>
      <c r="I20" s="961">
        <f>I8*'Precios Venta y P. Cobros'!$J14</f>
        <v>0</v>
      </c>
      <c r="J20" s="961">
        <f>J8*'Precios Venta y P. Cobros'!$J14</f>
        <v>0</v>
      </c>
      <c r="K20" s="961">
        <f>K8*'Precios Venta y P. Cobros'!$J14</f>
        <v>0</v>
      </c>
      <c r="L20" s="961">
        <f>L8*'Precios Venta y P. Cobros'!$J14</f>
        <v>0</v>
      </c>
      <c r="M20" s="1004">
        <f>M8*'Precios Venta y P. Cobros'!$J14</f>
        <v>0</v>
      </c>
      <c r="N20" s="995">
        <f t="shared" si="2"/>
        <v>0</v>
      </c>
      <c r="O20" s="446"/>
    </row>
    <row r="21" spans="1:15" ht="15.75" x14ac:dyDescent="0.25">
      <c r="A21" s="466" t="str">
        <f>IF(Parametros!A28="","",Parametros!A28)</f>
        <v/>
      </c>
      <c r="B21" s="1003">
        <f>B9*'Precios Venta y P. Cobros'!$J15</f>
        <v>0</v>
      </c>
      <c r="C21" s="961">
        <f>C9*'Precios Venta y P. Cobros'!$J15</f>
        <v>0</v>
      </c>
      <c r="D21" s="961">
        <f>D9*'Precios Venta y P. Cobros'!$J15</f>
        <v>0</v>
      </c>
      <c r="E21" s="961">
        <f>E9*'Precios Venta y P. Cobros'!$J15</f>
        <v>0</v>
      </c>
      <c r="F21" s="961">
        <f>F9*'Precios Venta y P. Cobros'!$J15</f>
        <v>0</v>
      </c>
      <c r="G21" s="961">
        <f>G9*'Precios Venta y P. Cobros'!$J15</f>
        <v>0</v>
      </c>
      <c r="H21" s="961">
        <f>H9*'Precios Venta y P. Cobros'!$J15</f>
        <v>0</v>
      </c>
      <c r="I21" s="961">
        <f>I9*'Precios Venta y P. Cobros'!$J15</f>
        <v>0</v>
      </c>
      <c r="J21" s="961">
        <f>J9*'Precios Venta y P. Cobros'!$J15</f>
        <v>0</v>
      </c>
      <c r="K21" s="961">
        <f>K9*'Precios Venta y P. Cobros'!$J15</f>
        <v>0</v>
      </c>
      <c r="L21" s="961">
        <f>L9*'Precios Venta y P. Cobros'!$J15</f>
        <v>0</v>
      </c>
      <c r="M21" s="1004">
        <f>M9*'Precios Venta y P. Cobros'!$J15</f>
        <v>0</v>
      </c>
      <c r="N21" s="995">
        <f t="shared" si="2"/>
        <v>0</v>
      </c>
      <c r="O21" s="446"/>
    </row>
    <row r="22" spans="1:15" ht="15.75" x14ac:dyDescent="0.25">
      <c r="A22" s="466" t="str">
        <f>IF(Parametros!A29="","",Parametros!A29)</f>
        <v/>
      </c>
      <c r="B22" s="1003">
        <f>B10*'Precios Venta y P. Cobros'!$J16</f>
        <v>0</v>
      </c>
      <c r="C22" s="961">
        <f>C10*'Precios Venta y P. Cobros'!$J16</f>
        <v>0</v>
      </c>
      <c r="D22" s="961">
        <f>D10*'Precios Venta y P. Cobros'!$J16</f>
        <v>0</v>
      </c>
      <c r="E22" s="961">
        <f>E10*'Precios Venta y P. Cobros'!$J16</f>
        <v>0</v>
      </c>
      <c r="F22" s="961">
        <f>F10*'Precios Venta y P. Cobros'!$J16</f>
        <v>0</v>
      </c>
      <c r="G22" s="961">
        <f>G10*'Precios Venta y P. Cobros'!$J16</f>
        <v>0</v>
      </c>
      <c r="H22" s="961">
        <f>H10*'Precios Venta y P. Cobros'!$J16</f>
        <v>0</v>
      </c>
      <c r="I22" s="961">
        <f>I10*'Precios Venta y P. Cobros'!$J16</f>
        <v>0</v>
      </c>
      <c r="J22" s="961">
        <f>J10*'Precios Venta y P. Cobros'!$J16</f>
        <v>0</v>
      </c>
      <c r="K22" s="961">
        <f>K10*'Precios Venta y P. Cobros'!$J16</f>
        <v>0</v>
      </c>
      <c r="L22" s="961">
        <f>L10*'Precios Venta y P. Cobros'!$J16</f>
        <v>0</v>
      </c>
      <c r="M22" s="1004">
        <f>M10*'Precios Venta y P. Cobros'!$J16</f>
        <v>0</v>
      </c>
      <c r="N22" s="995">
        <f t="shared" si="2"/>
        <v>0</v>
      </c>
      <c r="O22" s="446"/>
    </row>
    <row r="23" spans="1:15" ht="15.75" x14ac:dyDescent="0.25">
      <c r="A23" s="466" t="str">
        <f>IF(Parametros!A30="","",Parametros!A30)</f>
        <v/>
      </c>
      <c r="B23" s="1003">
        <f>B11*'Precios Venta y P. Cobros'!$J17</f>
        <v>0</v>
      </c>
      <c r="C23" s="961">
        <f>C11*'Precios Venta y P. Cobros'!$J17</f>
        <v>0</v>
      </c>
      <c r="D23" s="961">
        <f>D11*'Precios Venta y P. Cobros'!$J17</f>
        <v>0</v>
      </c>
      <c r="E23" s="961">
        <f>E11*'Precios Venta y P. Cobros'!$J17</f>
        <v>0</v>
      </c>
      <c r="F23" s="961">
        <f>F11*'Precios Venta y P. Cobros'!$J17</f>
        <v>0</v>
      </c>
      <c r="G23" s="961">
        <f>G11*'Precios Venta y P. Cobros'!$J17</f>
        <v>0</v>
      </c>
      <c r="H23" s="961">
        <f>H11*'Precios Venta y P. Cobros'!$J17</f>
        <v>0</v>
      </c>
      <c r="I23" s="961">
        <f>I11*'Precios Venta y P. Cobros'!$J17</f>
        <v>0</v>
      </c>
      <c r="J23" s="961">
        <f>J11*'Precios Venta y P. Cobros'!$J17</f>
        <v>0</v>
      </c>
      <c r="K23" s="961">
        <f>K11*'Precios Venta y P. Cobros'!$J17</f>
        <v>0</v>
      </c>
      <c r="L23" s="961">
        <f>L11*'Precios Venta y P. Cobros'!$J17</f>
        <v>0</v>
      </c>
      <c r="M23" s="1004">
        <f>M11*'Precios Venta y P. Cobros'!$J17</f>
        <v>0</v>
      </c>
      <c r="N23" s="995">
        <f t="shared" si="2"/>
        <v>0</v>
      </c>
      <c r="O23" s="446"/>
    </row>
    <row r="24" spans="1:15" ht="16.5" thickBot="1" x14ac:dyDescent="0.3">
      <c r="A24" s="893" t="str">
        <f>IF(Parametros!A31="","",Parametros!A31)</f>
        <v/>
      </c>
      <c r="B24" s="1005">
        <f>B12*'Precios Venta y P. Cobros'!$J18</f>
        <v>0</v>
      </c>
      <c r="C24" s="963">
        <f>C12*'Precios Venta y P. Cobros'!$J18</f>
        <v>0</v>
      </c>
      <c r="D24" s="963">
        <f>D12*'Precios Venta y P. Cobros'!$J18</f>
        <v>0</v>
      </c>
      <c r="E24" s="963">
        <f>E12*'Precios Venta y P. Cobros'!$J18</f>
        <v>0</v>
      </c>
      <c r="F24" s="963">
        <f>F12*'Precios Venta y P. Cobros'!$J18</f>
        <v>0</v>
      </c>
      <c r="G24" s="963">
        <f>G12*'Precios Venta y P. Cobros'!$J18</f>
        <v>0</v>
      </c>
      <c r="H24" s="963">
        <f>H12*'Precios Venta y P. Cobros'!$J18</f>
        <v>0</v>
      </c>
      <c r="I24" s="963">
        <f>I12*'Precios Venta y P. Cobros'!$J18</f>
        <v>0</v>
      </c>
      <c r="J24" s="963">
        <f>J12*'Precios Venta y P. Cobros'!$J18</f>
        <v>0</v>
      </c>
      <c r="K24" s="963">
        <f>K12*'Precios Venta y P. Cobros'!$J18</f>
        <v>0</v>
      </c>
      <c r="L24" s="963">
        <f>L12*'Precios Venta y P. Cobros'!$J18</f>
        <v>0</v>
      </c>
      <c r="M24" s="1006">
        <f>M12*'Precios Venta y P. Cobros'!$J18</f>
        <v>0</v>
      </c>
      <c r="N24" s="997">
        <f t="shared" si="2"/>
        <v>0</v>
      </c>
      <c r="O24" s="446"/>
    </row>
    <row r="25" spans="1:15" ht="16.5" thickTop="1" thickBot="1" x14ac:dyDescent="0.3">
      <c r="A25" s="915" t="s">
        <v>865</v>
      </c>
      <c r="B25" s="1007">
        <f t="shared" ref="B25:M25" si="3">B17+B18+B19+B20+B21+B22+B23+B24</f>
        <v>0</v>
      </c>
      <c r="C25" s="1007">
        <f t="shared" si="3"/>
        <v>0</v>
      </c>
      <c r="D25" s="1007">
        <f t="shared" si="3"/>
        <v>0</v>
      </c>
      <c r="E25" s="1007">
        <f t="shared" si="3"/>
        <v>0</v>
      </c>
      <c r="F25" s="1007">
        <f t="shared" si="3"/>
        <v>0</v>
      </c>
      <c r="G25" s="1007">
        <f t="shared" si="3"/>
        <v>0</v>
      </c>
      <c r="H25" s="1007">
        <f t="shared" si="3"/>
        <v>0</v>
      </c>
      <c r="I25" s="1007">
        <f t="shared" si="3"/>
        <v>0</v>
      </c>
      <c r="J25" s="1007">
        <f t="shared" si="3"/>
        <v>0</v>
      </c>
      <c r="K25" s="1007">
        <f t="shared" si="3"/>
        <v>0</v>
      </c>
      <c r="L25" s="1007">
        <f t="shared" si="3"/>
        <v>0</v>
      </c>
      <c r="M25" s="1007">
        <f t="shared" si="3"/>
        <v>0</v>
      </c>
      <c r="N25" s="1000">
        <f t="shared" si="2"/>
        <v>0</v>
      </c>
      <c r="O25" s="446"/>
    </row>
    <row r="26" spans="1:15" ht="17.25" x14ac:dyDescent="0.3">
      <c r="A26" s="450"/>
    </row>
    <row r="27" spans="1:15" ht="17.25" x14ac:dyDescent="0.3">
      <c r="A27" s="450"/>
    </row>
    <row r="28" spans="1:15" ht="24.75" x14ac:dyDescent="0.4">
      <c r="A28" s="449" t="str">
        <f>'Prev.Ventas 0'!A28</f>
        <v>Previsión de Costes Variables de la empresa</v>
      </c>
      <c r="F28" s="887">
        <f>E1</f>
        <v>2030</v>
      </c>
    </row>
    <row r="29" spans="1:15" ht="28.5" thickBot="1" x14ac:dyDescent="0.5">
      <c r="A29" s="408">
        <f>'Datos Básicos'!B8</f>
        <v>0</v>
      </c>
    </row>
    <row r="30" spans="1:15" ht="15.75" thickBot="1" x14ac:dyDescent="0.3">
      <c r="A30" s="894" t="s">
        <v>893</v>
      </c>
      <c r="B30" s="890" t="str">
        <f t="shared" ref="B30:M30" si="4">B$4</f>
        <v>enero</v>
      </c>
      <c r="C30" s="890" t="str">
        <f t="shared" si="4"/>
        <v>febrero</v>
      </c>
      <c r="D30" s="890" t="str">
        <f t="shared" si="4"/>
        <v>marzo</v>
      </c>
      <c r="E30" s="890" t="str">
        <f t="shared" si="4"/>
        <v>abril</v>
      </c>
      <c r="F30" s="890" t="str">
        <f t="shared" si="4"/>
        <v>mayo</v>
      </c>
      <c r="G30" s="890" t="str">
        <f t="shared" si="4"/>
        <v>junio</v>
      </c>
      <c r="H30" s="890" t="str">
        <f t="shared" si="4"/>
        <v>julio</v>
      </c>
      <c r="I30" s="890" t="str">
        <f t="shared" si="4"/>
        <v>agosto</v>
      </c>
      <c r="J30" s="890" t="str">
        <f t="shared" si="4"/>
        <v>septiembre</v>
      </c>
      <c r="K30" s="890" t="str">
        <f t="shared" si="4"/>
        <v>octubre</v>
      </c>
      <c r="L30" s="890" t="str">
        <f t="shared" si="4"/>
        <v>noviembre</v>
      </c>
      <c r="M30" s="890" t="str">
        <f t="shared" si="4"/>
        <v>diciembre</v>
      </c>
      <c r="N30" s="891" t="s">
        <v>865</v>
      </c>
      <c r="O30" s="446"/>
    </row>
    <row r="31" spans="1:15" ht="15.75" x14ac:dyDescent="0.25">
      <c r="A31" s="465" t="str">
        <f t="shared" ref="A31:A38" si="5">A5</f>
        <v/>
      </c>
      <c r="B31" s="1009">
        <f>B5*'Precios-CV'!$J11</f>
        <v>0</v>
      </c>
      <c r="C31" s="959">
        <f>C5*'Precios-CV'!$J11</f>
        <v>0</v>
      </c>
      <c r="D31" s="959">
        <f>D5*'Precios-CV'!$J11</f>
        <v>0</v>
      </c>
      <c r="E31" s="959">
        <f>E5*'Precios-CV'!$J11</f>
        <v>0</v>
      </c>
      <c r="F31" s="959">
        <f>F5*'Precios-CV'!$J11</f>
        <v>0</v>
      </c>
      <c r="G31" s="959">
        <f>G5*'Precios-CV'!$J11</f>
        <v>0</v>
      </c>
      <c r="H31" s="959">
        <f>H5*'Precios-CV'!$J11</f>
        <v>0</v>
      </c>
      <c r="I31" s="959">
        <f>I5*'Precios-CV'!$J11</f>
        <v>0</v>
      </c>
      <c r="J31" s="959">
        <f>J5*'Precios-CV'!$J11</f>
        <v>0</v>
      </c>
      <c r="K31" s="959">
        <f>K5*'Precios-CV'!$J11</f>
        <v>0</v>
      </c>
      <c r="L31" s="959">
        <f>L5*'Precios-CV'!$J11</f>
        <v>0</v>
      </c>
      <c r="M31" s="1002">
        <f>M5*'Precios-CV'!$J11</f>
        <v>0</v>
      </c>
      <c r="N31" s="994">
        <f t="shared" ref="N31:N38" si="6">SUM(B31:M31)</f>
        <v>0</v>
      </c>
      <c r="O31" s="446"/>
    </row>
    <row r="32" spans="1:15" ht="15.75" x14ac:dyDescent="0.25">
      <c r="A32" s="466" t="str">
        <f t="shared" si="5"/>
        <v/>
      </c>
      <c r="B32" s="1010">
        <f>B6*'Precios-CV'!$J12</f>
        <v>0</v>
      </c>
      <c r="C32" s="961">
        <f>C6*'Precios-CV'!$J12</f>
        <v>0</v>
      </c>
      <c r="D32" s="961">
        <f>D6*'Precios-CV'!$J12</f>
        <v>0</v>
      </c>
      <c r="E32" s="961">
        <f>E6*'Precios-CV'!$J12</f>
        <v>0</v>
      </c>
      <c r="F32" s="961">
        <f>F6*'Precios-CV'!$J12</f>
        <v>0</v>
      </c>
      <c r="G32" s="961">
        <f>G6*'Precios-CV'!$J12</f>
        <v>0</v>
      </c>
      <c r="H32" s="961">
        <f>H6*'Precios-CV'!$J12</f>
        <v>0</v>
      </c>
      <c r="I32" s="961">
        <f>I6*'Precios-CV'!$J12</f>
        <v>0</v>
      </c>
      <c r="J32" s="961">
        <f>J6*'Precios-CV'!$J12</f>
        <v>0</v>
      </c>
      <c r="K32" s="961">
        <f>K6*'Precios-CV'!$J12</f>
        <v>0</v>
      </c>
      <c r="L32" s="961">
        <f>L6*'Precios-CV'!$J12</f>
        <v>0</v>
      </c>
      <c r="M32" s="1004">
        <f>M6*'Precios-CV'!$J12</f>
        <v>0</v>
      </c>
      <c r="N32" s="995">
        <f t="shared" si="6"/>
        <v>0</v>
      </c>
      <c r="O32" s="446"/>
    </row>
    <row r="33" spans="1:15" ht="15.75" x14ac:dyDescent="0.25">
      <c r="A33" s="466" t="str">
        <f t="shared" si="5"/>
        <v/>
      </c>
      <c r="B33" s="1010">
        <f>B7*'Precios-CV'!$J13</f>
        <v>0</v>
      </c>
      <c r="C33" s="961">
        <f>C7*'Precios-CV'!$J13</f>
        <v>0</v>
      </c>
      <c r="D33" s="961">
        <f>D7*'Precios-CV'!$J13</f>
        <v>0</v>
      </c>
      <c r="E33" s="961">
        <f>E7*'Precios-CV'!$J13</f>
        <v>0</v>
      </c>
      <c r="F33" s="961">
        <f>F7*'Precios-CV'!$J13</f>
        <v>0</v>
      </c>
      <c r="G33" s="961">
        <f>G7*'Precios-CV'!$J13</f>
        <v>0</v>
      </c>
      <c r="H33" s="961">
        <f>H7*'Precios-CV'!$J13</f>
        <v>0</v>
      </c>
      <c r="I33" s="961">
        <f>I7*'Precios-CV'!$J13</f>
        <v>0</v>
      </c>
      <c r="J33" s="961">
        <f>J7*'Precios-CV'!$J13</f>
        <v>0</v>
      </c>
      <c r="K33" s="961">
        <f>K7*'Precios-CV'!$J13</f>
        <v>0</v>
      </c>
      <c r="L33" s="961">
        <f>L7*'Precios-CV'!$J13</f>
        <v>0</v>
      </c>
      <c r="M33" s="1004">
        <f>M7*'Precios-CV'!$J13</f>
        <v>0</v>
      </c>
      <c r="N33" s="995">
        <f t="shared" si="6"/>
        <v>0</v>
      </c>
      <c r="O33" s="446"/>
    </row>
    <row r="34" spans="1:15" ht="15.75" x14ac:dyDescent="0.25">
      <c r="A34" s="466" t="str">
        <f t="shared" si="5"/>
        <v/>
      </c>
      <c r="B34" s="1010">
        <f>B8*'Precios-CV'!$J14</f>
        <v>0</v>
      </c>
      <c r="C34" s="961">
        <f>C8*'Precios-CV'!$J14</f>
        <v>0</v>
      </c>
      <c r="D34" s="961">
        <f>D8*'Precios-CV'!$J14</f>
        <v>0</v>
      </c>
      <c r="E34" s="961">
        <f>E8*'Precios-CV'!$J14</f>
        <v>0</v>
      </c>
      <c r="F34" s="961">
        <f>F8*'Precios-CV'!$J14</f>
        <v>0</v>
      </c>
      <c r="G34" s="961">
        <f>G8*'Precios-CV'!$J14</f>
        <v>0</v>
      </c>
      <c r="H34" s="961">
        <f>H8*'Precios-CV'!$J14</f>
        <v>0</v>
      </c>
      <c r="I34" s="961">
        <f>I8*'Precios-CV'!$J14</f>
        <v>0</v>
      </c>
      <c r="J34" s="961">
        <f>J8*'Precios-CV'!$J14</f>
        <v>0</v>
      </c>
      <c r="K34" s="961">
        <f>K8*'Precios-CV'!$J14</f>
        <v>0</v>
      </c>
      <c r="L34" s="961">
        <f>L8*'Precios-CV'!$J14</f>
        <v>0</v>
      </c>
      <c r="M34" s="1004">
        <f>M8*'Precios-CV'!$J14</f>
        <v>0</v>
      </c>
      <c r="N34" s="995">
        <f t="shared" si="6"/>
        <v>0</v>
      </c>
      <c r="O34" s="446"/>
    </row>
    <row r="35" spans="1:15" ht="15.75" x14ac:dyDescent="0.25">
      <c r="A35" s="466" t="str">
        <f t="shared" si="5"/>
        <v/>
      </c>
      <c r="B35" s="1010">
        <f>B9*'Precios-CV'!$J15</f>
        <v>0</v>
      </c>
      <c r="C35" s="961">
        <f>C9*'Precios-CV'!$J15</f>
        <v>0</v>
      </c>
      <c r="D35" s="961">
        <f>D9*'Precios-CV'!$J15</f>
        <v>0</v>
      </c>
      <c r="E35" s="961">
        <f>E9*'Precios-CV'!$J15</f>
        <v>0</v>
      </c>
      <c r="F35" s="961">
        <f>F9*'Precios-CV'!$J15</f>
        <v>0</v>
      </c>
      <c r="G35" s="961">
        <f>G9*'Precios-CV'!$J15</f>
        <v>0</v>
      </c>
      <c r="H35" s="961">
        <f>H9*'Precios-CV'!$J15</f>
        <v>0</v>
      </c>
      <c r="I35" s="961">
        <f>I9*'Precios-CV'!$J15</f>
        <v>0</v>
      </c>
      <c r="J35" s="961">
        <f>J9*'Precios-CV'!$J15</f>
        <v>0</v>
      </c>
      <c r="K35" s="961">
        <f>K9*'Precios-CV'!$J15</f>
        <v>0</v>
      </c>
      <c r="L35" s="961">
        <f>L9*'Precios-CV'!$J15</f>
        <v>0</v>
      </c>
      <c r="M35" s="1004">
        <f>M9*'Precios-CV'!$J15</f>
        <v>0</v>
      </c>
      <c r="N35" s="995">
        <f t="shared" si="6"/>
        <v>0</v>
      </c>
      <c r="O35" s="446"/>
    </row>
    <row r="36" spans="1:15" ht="15.75" x14ac:dyDescent="0.25">
      <c r="A36" s="466" t="str">
        <f t="shared" si="5"/>
        <v/>
      </c>
      <c r="B36" s="1010">
        <f>B10*'Precios-CV'!$J16</f>
        <v>0</v>
      </c>
      <c r="C36" s="961">
        <f>C10*'Precios-CV'!$J16</f>
        <v>0</v>
      </c>
      <c r="D36" s="961">
        <f>D10*'Precios-CV'!$J16</f>
        <v>0</v>
      </c>
      <c r="E36" s="961">
        <f>E10*'Precios-CV'!$J16</f>
        <v>0</v>
      </c>
      <c r="F36" s="961">
        <f>F10*'Precios-CV'!$J16</f>
        <v>0</v>
      </c>
      <c r="G36" s="961">
        <f>G10*'Precios-CV'!$J16</f>
        <v>0</v>
      </c>
      <c r="H36" s="961">
        <f>H10*'Precios-CV'!$J16</f>
        <v>0</v>
      </c>
      <c r="I36" s="961">
        <f>I10*'Precios-CV'!$J16</f>
        <v>0</v>
      </c>
      <c r="J36" s="961">
        <f>J10*'Precios-CV'!$J16</f>
        <v>0</v>
      </c>
      <c r="K36" s="961">
        <f>K10*'Precios-CV'!$J16</f>
        <v>0</v>
      </c>
      <c r="L36" s="961">
        <f>L10*'Precios-CV'!$J16</f>
        <v>0</v>
      </c>
      <c r="M36" s="1004">
        <f>M10*'Precios-CV'!$J16</f>
        <v>0</v>
      </c>
      <c r="N36" s="995">
        <f t="shared" si="6"/>
        <v>0</v>
      </c>
      <c r="O36" s="446"/>
    </row>
    <row r="37" spans="1:15" ht="15.75" x14ac:dyDescent="0.25">
      <c r="A37" s="466" t="str">
        <f t="shared" si="5"/>
        <v/>
      </c>
      <c r="B37" s="1010">
        <f>B11*'Precios-CV'!$J17</f>
        <v>0</v>
      </c>
      <c r="C37" s="961">
        <f>C11*'Precios-CV'!$J17</f>
        <v>0</v>
      </c>
      <c r="D37" s="961">
        <f>D11*'Precios-CV'!$J17</f>
        <v>0</v>
      </c>
      <c r="E37" s="961">
        <f>E11*'Precios-CV'!$J17</f>
        <v>0</v>
      </c>
      <c r="F37" s="961">
        <f>F11*'Precios-CV'!$J17</f>
        <v>0</v>
      </c>
      <c r="G37" s="961">
        <f>G11*'Precios-CV'!$J17</f>
        <v>0</v>
      </c>
      <c r="H37" s="961">
        <f>H11*'Precios-CV'!$J17</f>
        <v>0</v>
      </c>
      <c r="I37" s="961">
        <f>I11*'Precios-CV'!$J17</f>
        <v>0</v>
      </c>
      <c r="J37" s="961">
        <f>J11*'Precios-CV'!$J17</f>
        <v>0</v>
      </c>
      <c r="K37" s="961">
        <f>K11*'Precios-CV'!$J17</f>
        <v>0</v>
      </c>
      <c r="L37" s="961">
        <f>L11*'Precios-CV'!$J17</f>
        <v>0</v>
      </c>
      <c r="M37" s="1004">
        <f>M11*'Precios-CV'!$J17</f>
        <v>0</v>
      </c>
      <c r="N37" s="995">
        <f t="shared" si="6"/>
        <v>0</v>
      </c>
      <c r="O37" s="446"/>
    </row>
    <row r="38" spans="1:15" ht="16.5" thickBot="1" x14ac:dyDescent="0.3">
      <c r="A38" s="893" t="str">
        <f t="shared" si="5"/>
        <v/>
      </c>
      <c r="B38" s="1011">
        <f>B12*'Precios-CV'!$J18</f>
        <v>0</v>
      </c>
      <c r="C38" s="963">
        <f>C12*'Precios-CV'!$J18</f>
        <v>0</v>
      </c>
      <c r="D38" s="963">
        <f>D12*'Precios-CV'!$J18</f>
        <v>0</v>
      </c>
      <c r="E38" s="963">
        <f>E12*'Precios-CV'!$J18</f>
        <v>0</v>
      </c>
      <c r="F38" s="963">
        <f>F12*'Precios-CV'!$J18</f>
        <v>0</v>
      </c>
      <c r="G38" s="963">
        <f>G12*'Precios-CV'!$J18</f>
        <v>0</v>
      </c>
      <c r="H38" s="963">
        <f>H12*'Precios-CV'!$J18</f>
        <v>0</v>
      </c>
      <c r="I38" s="963">
        <f>I12*'Precios-CV'!$J18</f>
        <v>0</v>
      </c>
      <c r="J38" s="963">
        <f>J12*'Precios-CV'!$J18</f>
        <v>0</v>
      </c>
      <c r="K38" s="963">
        <f>K12*'Precios-CV'!$J18</f>
        <v>0</v>
      </c>
      <c r="L38" s="963">
        <f>L12*'Precios-CV'!$J18</f>
        <v>0</v>
      </c>
      <c r="M38" s="1006">
        <f>M12*'Precios-CV'!$J18</f>
        <v>0</v>
      </c>
      <c r="N38" s="997">
        <f t="shared" si="6"/>
        <v>0</v>
      </c>
      <c r="O38" s="446"/>
    </row>
    <row r="39" spans="1:15" s="305" customFormat="1" ht="16.5" thickTop="1" thickBot="1" x14ac:dyDescent="0.3">
      <c r="A39" s="467" t="s">
        <v>865</v>
      </c>
      <c r="B39" s="1008">
        <f t="shared" ref="B39:N39" si="7">SUM(B31:B38)</f>
        <v>0</v>
      </c>
      <c r="C39" s="1008">
        <f t="shared" si="7"/>
        <v>0</v>
      </c>
      <c r="D39" s="1008">
        <f t="shared" si="7"/>
        <v>0</v>
      </c>
      <c r="E39" s="1008">
        <f t="shared" si="7"/>
        <v>0</v>
      </c>
      <c r="F39" s="1008">
        <f t="shared" si="7"/>
        <v>0</v>
      </c>
      <c r="G39" s="1008">
        <f t="shared" si="7"/>
        <v>0</v>
      </c>
      <c r="H39" s="1008">
        <f t="shared" si="7"/>
        <v>0</v>
      </c>
      <c r="I39" s="1008">
        <f t="shared" si="7"/>
        <v>0</v>
      </c>
      <c r="J39" s="1008">
        <f t="shared" si="7"/>
        <v>0</v>
      </c>
      <c r="K39" s="1008">
        <f t="shared" si="7"/>
        <v>0</v>
      </c>
      <c r="L39" s="1008">
        <f t="shared" si="7"/>
        <v>0</v>
      </c>
      <c r="M39" s="1008">
        <f t="shared" si="7"/>
        <v>0</v>
      </c>
      <c r="N39" s="1000">
        <f t="shared" si="7"/>
        <v>0</v>
      </c>
    </row>
    <row r="40" spans="1:15" s="305" customFormat="1" x14ac:dyDescent="0.25">
      <c r="A40" s="445"/>
      <c r="B40" s="445"/>
    </row>
    <row r="41" spans="1:15" s="305" customFormat="1" x14ac:dyDescent="0.25">
      <c r="A41" s="445"/>
      <c r="B41" s="445"/>
    </row>
    <row r="42" spans="1:15" s="305" customFormat="1" x14ac:dyDescent="0.25">
      <c r="A42" s="445"/>
      <c r="B42" s="445"/>
    </row>
    <row r="43" spans="1:15" s="305" customFormat="1" x14ac:dyDescent="0.25">
      <c r="A43" s="445"/>
      <c r="B43" s="445"/>
    </row>
    <row r="44" spans="1:15" s="305" customFormat="1" x14ac:dyDescent="0.25">
      <c r="A44" s="445"/>
      <c r="B44" s="445"/>
    </row>
    <row r="45" spans="1:15" x14ac:dyDescent="0.25">
      <c r="A45" s="445"/>
    </row>
    <row r="46" spans="1:15" x14ac:dyDescent="0.25">
      <c r="A46" s="445"/>
    </row>
    <row r="47" spans="1:15" ht="23.25" customHeight="1" x14ac:dyDescent="0.45">
      <c r="A47" s="408" t="str">
        <f>'Prev.Ventas 0'!A47</f>
        <v>Estacionalidad de las Ventas</v>
      </c>
      <c r="B47" s="446"/>
      <c r="D47" s="887">
        <f>E1</f>
        <v>2030</v>
      </c>
    </row>
    <row r="48" spans="1:15" ht="27.75" x14ac:dyDescent="0.45">
      <c r="A48" s="408">
        <f>'Datos Básicos'!B8</f>
        <v>0</v>
      </c>
    </row>
    <row r="49" spans="1:20" ht="28.5" thickBot="1" x14ac:dyDescent="0.5">
      <c r="A49" s="408"/>
    </row>
    <row r="50" spans="1:20" ht="18.75" customHeight="1" thickBot="1" x14ac:dyDescent="0.35">
      <c r="A50" s="410" t="s">
        <v>468</v>
      </c>
      <c r="B50" s="916" t="str">
        <f t="shared" ref="B50:M50" si="8">B$4</f>
        <v>enero</v>
      </c>
      <c r="C50" s="916" t="str">
        <f t="shared" si="8"/>
        <v>febrero</v>
      </c>
      <c r="D50" s="916" t="str">
        <f t="shared" si="8"/>
        <v>marzo</v>
      </c>
      <c r="E50" s="916" t="str">
        <f t="shared" si="8"/>
        <v>abril</v>
      </c>
      <c r="F50" s="916" t="str">
        <f t="shared" si="8"/>
        <v>mayo</v>
      </c>
      <c r="G50" s="916" t="str">
        <f t="shared" si="8"/>
        <v>junio</v>
      </c>
      <c r="H50" s="916" t="str">
        <f t="shared" si="8"/>
        <v>julio</v>
      </c>
      <c r="I50" s="916" t="str">
        <f t="shared" si="8"/>
        <v>agosto</v>
      </c>
      <c r="J50" s="916" t="str">
        <f t="shared" si="8"/>
        <v>septiembre</v>
      </c>
      <c r="K50" s="916" t="str">
        <f t="shared" si="8"/>
        <v>octubre</v>
      </c>
      <c r="L50" s="916" t="str">
        <f t="shared" si="8"/>
        <v>noviembre</v>
      </c>
      <c r="M50" s="916" t="str">
        <f t="shared" si="8"/>
        <v>diciembre</v>
      </c>
      <c r="N50" s="916" t="s">
        <v>865</v>
      </c>
    </row>
    <row r="51" spans="1:20" ht="18.75" customHeight="1" x14ac:dyDescent="0.3">
      <c r="A51" s="895" t="str">
        <f t="shared" ref="A51:A58" si="9">A31</f>
        <v/>
      </c>
      <c r="B51" s="896" t="str">
        <f t="shared" ref="B51:M51" si="10">IF($N17=0,"",B17/$N17)</f>
        <v/>
      </c>
      <c r="C51" s="897" t="str">
        <f t="shared" si="10"/>
        <v/>
      </c>
      <c r="D51" s="897" t="str">
        <f t="shared" si="10"/>
        <v/>
      </c>
      <c r="E51" s="897" t="str">
        <f t="shared" si="10"/>
        <v/>
      </c>
      <c r="F51" s="897" t="str">
        <f t="shared" si="10"/>
        <v/>
      </c>
      <c r="G51" s="897" t="str">
        <f t="shared" si="10"/>
        <v/>
      </c>
      <c r="H51" s="897" t="str">
        <f t="shared" si="10"/>
        <v/>
      </c>
      <c r="I51" s="897" t="str">
        <f t="shared" si="10"/>
        <v/>
      </c>
      <c r="J51" s="897" t="str">
        <f t="shared" si="10"/>
        <v/>
      </c>
      <c r="K51" s="897" t="str">
        <f t="shared" si="10"/>
        <v/>
      </c>
      <c r="L51" s="897" t="str">
        <f t="shared" si="10"/>
        <v/>
      </c>
      <c r="M51" s="898" t="str">
        <f t="shared" si="10"/>
        <v/>
      </c>
      <c r="N51" s="899">
        <f t="shared" ref="N51:N59" si="11">SUM(B51:M51)</f>
        <v>0</v>
      </c>
    </row>
    <row r="52" spans="1:20" ht="18.75" customHeight="1" x14ac:dyDescent="0.3">
      <c r="A52" s="900" t="str">
        <f t="shared" si="9"/>
        <v/>
      </c>
      <c r="B52" s="901" t="str">
        <f t="shared" ref="B52:M52" si="12">IF($N18=0,"",B18/$N18)</f>
        <v/>
      </c>
      <c r="C52" s="902" t="str">
        <f t="shared" si="12"/>
        <v/>
      </c>
      <c r="D52" s="902" t="str">
        <f t="shared" si="12"/>
        <v/>
      </c>
      <c r="E52" s="902" t="str">
        <f t="shared" si="12"/>
        <v/>
      </c>
      <c r="F52" s="902" t="str">
        <f t="shared" si="12"/>
        <v/>
      </c>
      <c r="G52" s="902" t="str">
        <f t="shared" si="12"/>
        <v/>
      </c>
      <c r="H52" s="902" t="str">
        <f t="shared" si="12"/>
        <v/>
      </c>
      <c r="I52" s="902" t="str">
        <f t="shared" si="12"/>
        <v/>
      </c>
      <c r="J52" s="902" t="str">
        <f t="shared" si="12"/>
        <v/>
      </c>
      <c r="K52" s="902" t="str">
        <f t="shared" si="12"/>
        <v/>
      </c>
      <c r="L52" s="902" t="str">
        <f t="shared" si="12"/>
        <v/>
      </c>
      <c r="M52" s="903" t="str">
        <f t="shared" si="12"/>
        <v/>
      </c>
      <c r="N52" s="904">
        <f t="shared" si="11"/>
        <v>0</v>
      </c>
    </row>
    <row r="53" spans="1:20" ht="18.75" customHeight="1" x14ac:dyDescent="0.3">
      <c r="A53" s="900" t="str">
        <f t="shared" si="9"/>
        <v/>
      </c>
      <c r="B53" s="901" t="str">
        <f t="shared" ref="B53:M53" si="13">IF($N19=0,"",B19/$N19)</f>
        <v/>
      </c>
      <c r="C53" s="902" t="str">
        <f t="shared" si="13"/>
        <v/>
      </c>
      <c r="D53" s="902" t="str">
        <f t="shared" si="13"/>
        <v/>
      </c>
      <c r="E53" s="902" t="str">
        <f t="shared" si="13"/>
        <v/>
      </c>
      <c r="F53" s="902" t="str">
        <f t="shared" si="13"/>
        <v/>
      </c>
      <c r="G53" s="902" t="str">
        <f t="shared" si="13"/>
        <v/>
      </c>
      <c r="H53" s="902" t="str">
        <f t="shared" si="13"/>
        <v/>
      </c>
      <c r="I53" s="902" t="str">
        <f t="shared" si="13"/>
        <v/>
      </c>
      <c r="J53" s="902" t="str">
        <f t="shared" si="13"/>
        <v/>
      </c>
      <c r="K53" s="902" t="str">
        <f t="shared" si="13"/>
        <v/>
      </c>
      <c r="L53" s="902" t="str">
        <f t="shared" si="13"/>
        <v/>
      </c>
      <c r="M53" s="903" t="str">
        <f t="shared" si="13"/>
        <v/>
      </c>
      <c r="N53" s="904">
        <f t="shared" si="11"/>
        <v>0</v>
      </c>
    </row>
    <row r="54" spans="1:20" ht="18.75" customHeight="1" x14ac:dyDescent="0.3">
      <c r="A54" s="900" t="str">
        <f t="shared" si="9"/>
        <v/>
      </c>
      <c r="B54" s="901" t="str">
        <f t="shared" ref="B54:M54" si="14">IF($N20=0,"",B20/$N20)</f>
        <v/>
      </c>
      <c r="C54" s="902" t="str">
        <f t="shared" si="14"/>
        <v/>
      </c>
      <c r="D54" s="902" t="str">
        <f t="shared" si="14"/>
        <v/>
      </c>
      <c r="E54" s="902" t="str">
        <f t="shared" si="14"/>
        <v/>
      </c>
      <c r="F54" s="902" t="str">
        <f t="shared" si="14"/>
        <v/>
      </c>
      <c r="G54" s="902" t="str">
        <f t="shared" si="14"/>
        <v/>
      </c>
      <c r="H54" s="902" t="str">
        <f t="shared" si="14"/>
        <v/>
      </c>
      <c r="I54" s="902" t="str">
        <f t="shared" si="14"/>
        <v/>
      </c>
      <c r="J54" s="902" t="str">
        <f t="shared" si="14"/>
        <v/>
      </c>
      <c r="K54" s="902" t="str">
        <f t="shared" si="14"/>
        <v/>
      </c>
      <c r="L54" s="902" t="str">
        <f t="shared" si="14"/>
        <v/>
      </c>
      <c r="M54" s="903" t="str">
        <f t="shared" si="14"/>
        <v/>
      </c>
      <c r="N54" s="904">
        <f t="shared" si="11"/>
        <v>0</v>
      </c>
    </row>
    <row r="55" spans="1:20" ht="18.75" customHeight="1" x14ac:dyDescent="0.3">
      <c r="A55" s="900" t="str">
        <f t="shared" si="9"/>
        <v/>
      </c>
      <c r="B55" s="901" t="str">
        <f t="shared" ref="B55:M55" si="15">IF($N21=0,"",B21/$N21)</f>
        <v/>
      </c>
      <c r="C55" s="902" t="str">
        <f t="shared" si="15"/>
        <v/>
      </c>
      <c r="D55" s="902" t="str">
        <f t="shared" si="15"/>
        <v/>
      </c>
      <c r="E55" s="902" t="str">
        <f t="shared" si="15"/>
        <v/>
      </c>
      <c r="F55" s="902" t="str">
        <f t="shared" si="15"/>
        <v/>
      </c>
      <c r="G55" s="902" t="str">
        <f t="shared" si="15"/>
        <v/>
      </c>
      <c r="H55" s="902" t="str">
        <f t="shared" si="15"/>
        <v/>
      </c>
      <c r="I55" s="902" t="str">
        <f t="shared" si="15"/>
        <v/>
      </c>
      <c r="J55" s="902" t="str">
        <f t="shared" si="15"/>
        <v/>
      </c>
      <c r="K55" s="902" t="str">
        <f t="shared" si="15"/>
        <v/>
      </c>
      <c r="L55" s="902" t="str">
        <f t="shared" si="15"/>
        <v/>
      </c>
      <c r="M55" s="903" t="str">
        <f t="shared" si="15"/>
        <v/>
      </c>
      <c r="N55" s="904">
        <f t="shared" si="11"/>
        <v>0</v>
      </c>
    </row>
    <row r="56" spans="1:20" ht="18.75" customHeight="1" x14ac:dyDescent="0.3">
      <c r="A56" s="900" t="str">
        <f t="shared" si="9"/>
        <v/>
      </c>
      <c r="B56" s="901" t="str">
        <f t="shared" ref="B56:M56" si="16">IF($N22=0,"",B22/$N22)</f>
        <v/>
      </c>
      <c r="C56" s="902" t="str">
        <f t="shared" si="16"/>
        <v/>
      </c>
      <c r="D56" s="902" t="str">
        <f t="shared" si="16"/>
        <v/>
      </c>
      <c r="E56" s="902" t="str">
        <f t="shared" si="16"/>
        <v/>
      </c>
      <c r="F56" s="902" t="str">
        <f t="shared" si="16"/>
        <v/>
      </c>
      <c r="G56" s="902" t="str">
        <f t="shared" si="16"/>
        <v/>
      </c>
      <c r="H56" s="902" t="str">
        <f t="shared" si="16"/>
        <v/>
      </c>
      <c r="I56" s="902" t="str">
        <f t="shared" si="16"/>
        <v/>
      </c>
      <c r="J56" s="902" t="str">
        <f t="shared" si="16"/>
        <v/>
      </c>
      <c r="K56" s="902" t="str">
        <f t="shared" si="16"/>
        <v/>
      </c>
      <c r="L56" s="902" t="str">
        <f t="shared" si="16"/>
        <v/>
      </c>
      <c r="M56" s="903" t="str">
        <f t="shared" si="16"/>
        <v/>
      </c>
      <c r="N56" s="904">
        <f t="shared" si="11"/>
        <v>0</v>
      </c>
    </row>
    <row r="57" spans="1:20" ht="18.75" customHeight="1" x14ac:dyDescent="0.3">
      <c r="A57" s="900" t="str">
        <f t="shared" si="9"/>
        <v/>
      </c>
      <c r="B57" s="901" t="str">
        <f t="shared" ref="B57:M57" si="17">IF($N23=0,"",B23/$N23)</f>
        <v/>
      </c>
      <c r="C57" s="902" t="str">
        <f t="shared" si="17"/>
        <v/>
      </c>
      <c r="D57" s="902" t="str">
        <f t="shared" si="17"/>
        <v/>
      </c>
      <c r="E57" s="902" t="str">
        <f t="shared" si="17"/>
        <v/>
      </c>
      <c r="F57" s="902" t="str">
        <f t="shared" si="17"/>
        <v/>
      </c>
      <c r="G57" s="902" t="str">
        <f t="shared" si="17"/>
        <v/>
      </c>
      <c r="H57" s="902" t="str">
        <f t="shared" si="17"/>
        <v/>
      </c>
      <c r="I57" s="902" t="str">
        <f t="shared" si="17"/>
        <v/>
      </c>
      <c r="J57" s="902" t="str">
        <f t="shared" si="17"/>
        <v/>
      </c>
      <c r="K57" s="902" t="str">
        <f t="shared" si="17"/>
        <v/>
      </c>
      <c r="L57" s="902" t="str">
        <f t="shared" si="17"/>
        <v/>
      </c>
      <c r="M57" s="903" t="str">
        <f t="shared" si="17"/>
        <v/>
      </c>
      <c r="N57" s="904">
        <f t="shared" si="11"/>
        <v>0</v>
      </c>
    </row>
    <row r="58" spans="1:20" ht="18.75" customHeight="1" thickBot="1" x14ac:dyDescent="0.35">
      <c r="A58" s="905" t="str">
        <f t="shared" si="9"/>
        <v/>
      </c>
      <c r="B58" s="906" t="str">
        <f t="shared" ref="B58:M58" si="18">IF($N24=0,"",B24/$N24)</f>
        <v/>
      </c>
      <c r="C58" s="907" t="str">
        <f t="shared" si="18"/>
        <v/>
      </c>
      <c r="D58" s="907" t="str">
        <f t="shared" si="18"/>
        <v/>
      </c>
      <c r="E58" s="907" t="str">
        <f t="shared" si="18"/>
        <v/>
      </c>
      <c r="F58" s="907" t="str">
        <f t="shared" si="18"/>
        <v/>
      </c>
      <c r="G58" s="907" t="str">
        <f t="shared" si="18"/>
        <v/>
      </c>
      <c r="H58" s="907" t="str">
        <f t="shared" si="18"/>
        <v/>
      </c>
      <c r="I58" s="907" t="str">
        <f t="shared" si="18"/>
        <v/>
      </c>
      <c r="J58" s="907" t="str">
        <f t="shared" si="18"/>
        <v/>
      </c>
      <c r="K58" s="907" t="str">
        <f t="shared" si="18"/>
        <v/>
      </c>
      <c r="L58" s="907" t="str">
        <f t="shared" si="18"/>
        <v/>
      </c>
      <c r="M58" s="908" t="str">
        <f t="shared" si="18"/>
        <v/>
      </c>
      <c r="N58" s="909">
        <f t="shared" si="11"/>
        <v>0</v>
      </c>
    </row>
    <row r="59" spans="1:20" s="307" customFormat="1" ht="18.75" customHeight="1" thickBot="1" x14ac:dyDescent="0.35">
      <c r="A59" s="917" t="s">
        <v>891</v>
      </c>
      <c r="B59" s="911" t="e">
        <f t="shared" ref="B59:M59" si="19">B25/$N$25</f>
        <v>#DIV/0!</v>
      </c>
      <c r="C59" s="912" t="e">
        <f t="shared" si="19"/>
        <v>#DIV/0!</v>
      </c>
      <c r="D59" s="912" t="e">
        <f t="shared" si="19"/>
        <v>#DIV/0!</v>
      </c>
      <c r="E59" s="912" t="e">
        <f t="shared" si="19"/>
        <v>#DIV/0!</v>
      </c>
      <c r="F59" s="912" t="e">
        <f t="shared" si="19"/>
        <v>#DIV/0!</v>
      </c>
      <c r="G59" s="912" t="e">
        <f t="shared" si="19"/>
        <v>#DIV/0!</v>
      </c>
      <c r="H59" s="912" t="e">
        <f t="shared" si="19"/>
        <v>#DIV/0!</v>
      </c>
      <c r="I59" s="912" t="e">
        <f t="shared" si="19"/>
        <v>#DIV/0!</v>
      </c>
      <c r="J59" s="912" t="e">
        <f t="shared" si="19"/>
        <v>#DIV/0!</v>
      </c>
      <c r="K59" s="912" t="e">
        <f t="shared" si="19"/>
        <v>#DIV/0!</v>
      </c>
      <c r="L59" s="912" t="e">
        <f t="shared" si="19"/>
        <v>#DIV/0!</v>
      </c>
      <c r="M59" s="912" t="e">
        <f t="shared" si="19"/>
        <v>#DIV/0!</v>
      </c>
      <c r="N59" s="913" t="e">
        <f t="shared" si="11"/>
        <v>#DIV/0!</v>
      </c>
      <c r="O59" s="305"/>
      <c r="P59" s="446"/>
      <c r="Q59" s="446"/>
      <c r="R59" s="446"/>
      <c r="S59" s="446"/>
      <c r="T59" s="446"/>
    </row>
    <row r="60" spans="1:20" s="307" customFormat="1" ht="18.75" customHeight="1" x14ac:dyDescent="0.3"/>
    <row r="62" spans="1:20" x14ac:dyDescent="0.25">
      <c r="B62" s="446"/>
    </row>
    <row r="63" spans="1:20" x14ac:dyDescent="0.25">
      <c r="B63" s="446"/>
    </row>
    <row r="64" spans="1:20" x14ac:dyDescent="0.25">
      <c r="B64" s="446"/>
    </row>
    <row r="65" spans="2:2" x14ac:dyDescent="0.25">
      <c r="B65" s="446"/>
    </row>
    <row r="66" spans="2:2" x14ac:dyDescent="0.25">
      <c r="B66" s="446"/>
    </row>
    <row r="67" spans="2:2" x14ac:dyDescent="0.25">
      <c r="B67" s="446"/>
    </row>
    <row r="68" spans="2:2" x14ac:dyDescent="0.25">
      <c r="B68" s="446"/>
    </row>
    <row r="69" spans="2:2" x14ac:dyDescent="0.25">
      <c r="B69" s="446"/>
    </row>
    <row r="70" spans="2:2" x14ac:dyDescent="0.25">
      <c r="B70" s="446"/>
    </row>
    <row r="71" spans="2:2" x14ac:dyDescent="0.25">
      <c r="B71" s="446"/>
    </row>
    <row r="72" spans="2:2" x14ac:dyDescent="0.25">
      <c r="B72" s="446"/>
    </row>
    <row r="73" spans="2:2" x14ac:dyDescent="0.25">
      <c r="B73" s="446"/>
    </row>
    <row r="74" spans="2:2" x14ac:dyDescent="0.25">
      <c r="B74" s="446"/>
    </row>
    <row r="75" spans="2:2" x14ac:dyDescent="0.25">
      <c r="B75" s="446"/>
    </row>
    <row r="76" spans="2:2" x14ac:dyDescent="0.25">
      <c r="B76" s="446"/>
    </row>
    <row r="77" spans="2:2" x14ac:dyDescent="0.25">
      <c r="B77" s="446"/>
    </row>
    <row r="78" spans="2:2" x14ac:dyDescent="0.25">
      <c r="B78" s="446"/>
    </row>
    <row r="79" spans="2:2" x14ac:dyDescent="0.25">
      <c r="B79" s="446"/>
    </row>
    <row r="80" spans="2:2" x14ac:dyDescent="0.25">
      <c r="B80" s="446"/>
    </row>
    <row r="81" spans="2:2" x14ac:dyDescent="0.25">
      <c r="B81" s="446"/>
    </row>
    <row r="82" spans="2:2" x14ac:dyDescent="0.25">
      <c r="B82" s="446"/>
    </row>
    <row r="83" spans="2:2" x14ac:dyDescent="0.25">
      <c r="B83" s="446"/>
    </row>
    <row r="84" spans="2:2" x14ac:dyDescent="0.25">
      <c r="B84" s="446"/>
    </row>
    <row r="85" spans="2:2" x14ac:dyDescent="0.25">
      <c r="B85" s="446"/>
    </row>
    <row r="99" spans="2:2" x14ac:dyDescent="0.25">
      <c r="B99" s="446"/>
    </row>
    <row r="100" spans="2:2" x14ac:dyDescent="0.25">
      <c r="B100" s="446"/>
    </row>
  </sheetData>
  <sheetProtection sheet="1" objects="1" scenarios="1" formatCells="0" formatColumns="0"/>
  <phoneticPr fontId="13" type="noConversion"/>
  <printOptions horizontalCentered="1" verticalCentered="1"/>
  <pageMargins left="0.38" right="0.19685039370078741" top="0.53" bottom="0.7" header="0.51181102362204722" footer="0.39370078740157483"/>
  <pageSetup paperSize="9" scale="82" fitToHeight="2" orientation="landscape" horizontalDpi="300" verticalDpi="300" r:id="rId1"/>
  <headerFooter alignWithMargins="0">
    <oddFooter>&amp;A</oddFooter>
  </headerFooter>
  <rowBreaks count="1" manualBreakCount="1">
    <brk id="44" max="1638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6">
    <tabColor rgb="FF7CC9D0"/>
    <pageSetUpPr fitToPage="1"/>
  </sheetPr>
  <dimension ref="A1:N29"/>
  <sheetViews>
    <sheetView showGridLines="0" workbookViewId="0">
      <selection activeCell="B13" sqref="B13"/>
    </sheetView>
  </sheetViews>
  <sheetFormatPr baseColWidth="10" defaultRowHeight="15" x14ac:dyDescent="0.25"/>
  <cols>
    <col min="1" max="1" width="24.875" style="2307" customWidth="1"/>
    <col min="2" max="2" width="10.5" style="2307" customWidth="1"/>
    <col min="3" max="6" width="9.625" style="2307" customWidth="1"/>
    <col min="7" max="13" width="10.75" style="2307" customWidth="1"/>
    <col min="14" max="14" width="10.5" style="2308" customWidth="1"/>
    <col min="15" max="16384" width="11" style="2307"/>
  </cols>
  <sheetData>
    <row r="1" spans="1:14" ht="24.75" x14ac:dyDescent="0.4">
      <c r="A1" s="2306" t="s">
        <v>451</v>
      </c>
      <c r="E1" s="2308"/>
      <c r="F1" s="2308"/>
      <c r="I1" s="2309">
        <f>'Datos Básicos'!B17</f>
        <v>2026</v>
      </c>
      <c r="L1" s="2310"/>
    </row>
    <row r="2" spans="1:14" s="2312" customFormat="1" ht="27.75" x14ac:dyDescent="0.45">
      <c r="A2" s="2311">
        <f>'Datos Básicos'!B8</f>
        <v>0</v>
      </c>
      <c r="C2" s="2313"/>
      <c r="D2" s="2314"/>
      <c r="N2" s="2315"/>
    </row>
    <row r="3" spans="1:14" s="2312" customFormat="1" ht="28.5" thickBot="1" x14ac:dyDescent="0.5">
      <c r="A3" s="2311"/>
      <c r="C3" s="2313"/>
      <c r="D3" s="2314"/>
      <c r="N3" s="2315"/>
    </row>
    <row r="4" spans="1:14" s="2318" customFormat="1" ht="16.149999999999999" customHeight="1" thickBot="1" x14ac:dyDescent="0.3">
      <c r="A4" s="2316" t="s">
        <v>889</v>
      </c>
      <c r="B4" s="2317" t="str">
        <f>'Datos Gastos Fijos'!D7</f>
        <v>enero</v>
      </c>
      <c r="C4" s="2317" t="str">
        <f>'Datos Gastos Fijos'!E7</f>
        <v>febrero</v>
      </c>
      <c r="D4" s="2317" t="str">
        <f>'Datos Gastos Fijos'!F7</f>
        <v>marzo</v>
      </c>
      <c r="E4" s="2317" t="str">
        <f>'Datos Gastos Fijos'!G7</f>
        <v>abril</v>
      </c>
      <c r="F4" s="2317" t="str">
        <f>'Datos Gastos Fijos'!H7</f>
        <v>mayo</v>
      </c>
      <c r="G4" s="2317" t="str">
        <f>'Datos Gastos Fijos'!I7</f>
        <v>junio</v>
      </c>
      <c r="H4" s="2317" t="str">
        <f>'Datos Gastos Fijos'!J7</f>
        <v>julio</v>
      </c>
      <c r="I4" s="2317" t="str">
        <f>'Datos Gastos Fijos'!K7</f>
        <v>agosto</v>
      </c>
      <c r="J4" s="2317" t="str">
        <f>'Datos Gastos Fijos'!L7</f>
        <v>septiembre</v>
      </c>
      <c r="K4" s="2317" t="str">
        <f>'Datos Gastos Fijos'!M7</f>
        <v>octubre</v>
      </c>
      <c r="L4" s="2317" t="str">
        <f>'Datos Gastos Fijos'!N7</f>
        <v>noviembre</v>
      </c>
      <c r="M4" s="2317" t="str">
        <f>'Datos Gastos Fijos'!O7</f>
        <v>diciembre</v>
      </c>
      <c r="N4" s="2317" t="s">
        <v>860</v>
      </c>
    </row>
    <row r="5" spans="1:14" s="2315" customFormat="1" ht="16.149999999999999" customHeight="1" x14ac:dyDescent="0.2">
      <c r="A5" s="2319" t="s">
        <v>741</v>
      </c>
      <c r="B5" s="2320">
        <f>'Prev.Ventas 0'!B25</f>
        <v>0</v>
      </c>
      <c r="C5" s="2320">
        <f>'Prev.Ventas 0'!C25</f>
        <v>0</v>
      </c>
      <c r="D5" s="2320">
        <f>'Prev.Ventas 0'!D25</f>
        <v>0</v>
      </c>
      <c r="E5" s="2320">
        <f>'Prev.Ventas 0'!E25</f>
        <v>0</v>
      </c>
      <c r="F5" s="2320">
        <f>'Prev.Ventas 0'!F25</f>
        <v>0</v>
      </c>
      <c r="G5" s="2320">
        <f>'Prev.Ventas 0'!G25</f>
        <v>0</v>
      </c>
      <c r="H5" s="2320">
        <f>'Prev.Ventas 0'!H25</f>
        <v>0</v>
      </c>
      <c r="I5" s="2320">
        <f>'Prev.Ventas 0'!I25</f>
        <v>0</v>
      </c>
      <c r="J5" s="2320">
        <f>'Prev.Ventas 0'!J25</f>
        <v>0</v>
      </c>
      <c r="K5" s="2320">
        <f>'Prev.Ventas 0'!K25</f>
        <v>0</v>
      </c>
      <c r="L5" s="2320">
        <f>'Prev.Ventas 0'!L25</f>
        <v>0</v>
      </c>
      <c r="M5" s="2320">
        <f>'Prev.Ventas 0'!M25</f>
        <v>0</v>
      </c>
      <c r="N5" s="2321">
        <f>SUM(B5:M5)</f>
        <v>0</v>
      </c>
    </row>
    <row r="6" spans="1:14" s="2315" customFormat="1" ht="16.149999999999999" customHeight="1" x14ac:dyDescent="0.2">
      <c r="A6" s="2322" t="s">
        <v>742</v>
      </c>
      <c r="B6" s="2323">
        <f>IF(COLUMN(B$4)-1&lt;mes0,0,'Financiación Inicial'!$F$34/'Financiación Inicial'!$F$35/12)</f>
        <v>0</v>
      </c>
      <c r="C6" s="2323">
        <f>IF(COLUMN(C$4)-1&lt;mes0,0,'Financiación Inicial'!$F$34/'Financiación Inicial'!$F$35/12)</f>
        <v>0</v>
      </c>
      <c r="D6" s="2323">
        <f>IF(COLUMN(D$4)-1&lt;mes0,0,'Financiación Inicial'!$F$34/'Financiación Inicial'!$F$35/12)</f>
        <v>0</v>
      </c>
      <c r="E6" s="2323">
        <f>IF(COLUMN(E$4)-1&lt;mes0,0,'Financiación Inicial'!$F$34/'Financiación Inicial'!$F$35/12)</f>
        <v>0</v>
      </c>
      <c r="F6" s="2323">
        <f>IF(COLUMN(F$4)-1&lt;mes0,0,'Financiación Inicial'!$F$34/'Financiación Inicial'!$F$35/12)</f>
        <v>0</v>
      </c>
      <c r="G6" s="2323">
        <f>IF(COLUMN(G$4)-1&lt;mes0,0,'Financiación Inicial'!$F$34/'Financiación Inicial'!$F$35/12)</f>
        <v>0</v>
      </c>
      <c r="H6" s="2323">
        <f>IF(COLUMN(H$4)-1&lt;mes0,0,'Financiación Inicial'!$F$34/'Financiación Inicial'!$F$35/12)</f>
        <v>0</v>
      </c>
      <c r="I6" s="2323">
        <f>IF(COLUMN(I$4)-1&lt;mes0,0,'Financiación Inicial'!$F$34/'Financiación Inicial'!$F$35/12)</f>
        <v>0</v>
      </c>
      <c r="J6" s="2323">
        <f>IF(COLUMN(J$4)-1&lt;mes0,0,'Financiación Inicial'!$F$34/'Financiación Inicial'!$F$35/12)</f>
        <v>0</v>
      </c>
      <c r="K6" s="2323">
        <f>IF(COLUMN(K$4)-1&lt;mes0,0,'Financiación Inicial'!$F$34/'Financiación Inicial'!$F$35/12)</f>
        <v>0</v>
      </c>
      <c r="L6" s="2323">
        <f>IF(COLUMN(L$4)-1&lt;mes0,0,'Financiación Inicial'!$F$34/'Financiación Inicial'!$F$35/12)</f>
        <v>0</v>
      </c>
      <c r="M6" s="2323">
        <f>IF(COLUMN(M$4)-1&lt;mes0,0,'Financiación Inicial'!$F$34/'Financiación Inicial'!$F$35/12)</f>
        <v>0</v>
      </c>
      <c r="N6" s="2324">
        <f>SUM(B6:M6)</f>
        <v>0</v>
      </c>
    </row>
    <row r="7" spans="1:14" s="2315" customFormat="1" ht="16.149999999999999" customHeight="1" x14ac:dyDescent="0.2">
      <c r="A7" s="2325" t="s">
        <v>787</v>
      </c>
      <c r="B7" s="2321">
        <f t="shared" ref="B7:M7" si="0">B5+B6</f>
        <v>0</v>
      </c>
      <c r="C7" s="2321">
        <f t="shared" si="0"/>
        <v>0</v>
      </c>
      <c r="D7" s="2321">
        <f t="shared" si="0"/>
        <v>0</v>
      </c>
      <c r="E7" s="2321">
        <f t="shared" si="0"/>
        <v>0</v>
      </c>
      <c r="F7" s="2321">
        <f t="shared" si="0"/>
        <v>0</v>
      </c>
      <c r="G7" s="2321">
        <f t="shared" si="0"/>
        <v>0</v>
      </c>
      <c r="H7" s="2321">
        <f t="shared" si="0"/>
        <v>0</v>
      </c>
      <c r="I7" s="2321">
        <f t="shared" si="0"/>
        <v>0</v>
      </c>
      <c r="J7" s="2321">
        <f t="shared" si="0"/>
        <v>0</v>
      </c>
      <c r="K7" s="2321">
        <f t="shared" si="0"/>
        <v>0</v>
      </c>
      <c r="L7" s="2321">
        <f t="shared" si="0"/>
        <v>0</v>
      </c>
      <c r="M7" s="2321">
        <f t="shared" si="0"/>
        <v>0</v>
      </c>
      <c r="N7" s="2321">
        <f>SUM(B7:M7)</f>
        <v>0</v>
      </c>
    </row>
    <row r="8" spans="1:14" s="2315" customFormat="1" ht="16.149999999999999" customHeight="1" x14ac:dyDescent="0.2">
      <c r="A8" s="2326"/>
      <c r="B8" s="2321"/>
      <c r="C8" s="2321"/>
      <c r="D8" s="2321"/>
      <c r="E8" s="2321"/>
      <c r="F8" s="2321"/>
      <c r="G8" s="2321"/>
      <c r="H8" s="2321"/>
      <c r="I8" s="2321"/>
      <c r="J8" s="2321"/>
      <c r="K8" s="2321"/>
      <c r="L8" s="2321"/>
      <c r="M8" s="2321"/>
      <c r="N8" s="2321"/>
    </row>
    <row r="9" spans="1:14" s="2312" customFormat="1" ht="16.149999999999999" customHeight="1" x14ac:dyDescent="0.2">
      <c r="A9" s="2327" t="s">
        <v>717</v>
      </c>
      <c r="B9" s="2320">
        <f>'Prev.Ventas 0'!B39</f>
        <v>0</v>
      </c>
      <c r="C9" s="2320">
        <f>'Prev.Ventas 0'!C39</f>
        <v>0</v>
      </c>
      <c r="D9" s="2320">
        <f>'Prev.Ventas 0'!D39</f>
        <v>0</v>
      </c>
      <c r="E9" s="2320">
        <f>'Prev.Ventas 0'!E39</f>
        <v>0</v>
      </c>
      <c r="F9" s="2320">
        <f>'Prev.Ventas 0'!F39</f>
        <v>0</v>
      </c>
      <c r="G9" s="2320">
        <f>'Prev.Ventas 0'!G39</f>
        <v>0</v>
      </c>
      <c r="H9" s="2320">
        <f>'Prev.Ventas 0'!H39</f>
        <v>0</v>
      </c>
      <c r="I9" s="2320">
        <f>'Prev.Ventas 0'!I39</f>
        <v>0</v>
      </c>
      <c r="J9" s="2320">
        <f>'Prev.Ventas 0'!J39</f>
        <v>0</v>
      </c>
      <c r="K9" s="2320">
        <f>'Prev.Ventas 0'!K39</f>
        <v>0</v>
      </c>
      <c r="L9" s="2320">
        <f>'Prev.Ventas 0'!L39</f>
        <v>0</v>
      </c>
      <c r="M9" s="2320">
        <f>'Prev.Ventas 0'!M39</f>
        <v>0</v>
      </c>
      <c r="N9" s="2321">
        <f>SUM(B9:M9)</f>
        <v>0</v>
      </c>
    </row>
    <row r="10" spans="1:14" s="2315" customFormat="1" ht="16.149999999999999" customHeight="1" x14ac:dyDescent="0.2">
      <c r="A10" s="2328" t="s">
        <v>866</v>
      </c>
      <c r="B10" s="2321">
        <f t="shared" ref="B10:M10" si="1">B7-B9</f>
        <v>0</v>
      </c>
      <c r="C10" s="2321">
        <f t="shared" si="1"/>
        <v>0</v>
      </c>
      <c r="D10" s="2321">
        <f t="shared" si="1"/>
        <v>0</v>
      </c>
      <c r="E10" s="2321">
        <f t="shared" si="1"/>
        <v>0</v>
      </c>
      <c r="F10" s="2321">
        <f t="shared" si="1"/>
        <v>0</v>
      </c>
      <c r="G10" s="2321">
        <f t="shared" si="1"/>
        <v>0</v>
      </c>
      <c r="H10" s="2321">
        <f t="shared" si="1"/>
        <v>0</v>
      </c>
      <c r="I10" s="2321">
        <f t="shared" si="1"/>
        <v>0</v>
      </c>
      <c r="J10" s="2321">
        <f t="shared" si="1"/>
        <v>0</v>
      </c>
      <c r="K10" s="2321">
        <f t="shared" si="1"/>
        <v>0</v>
      </c>
      <c r="L10" s="2321">
        <f t="shared" si="1"/>
        <v>0</v>
      </c>
      <c r="M10" s="2321">
        <f t="shared" si="1"/>
        <v>0</v>
      </c>
      <c r="N10" s="2321">
        <f t="shared" ref="N10:N24" si="2">SUM(B10:M10)</f>
        <v>0</v>
      </c>
    </row>
    <row r="11" spans="1:14" s="2315" customFormat="1" ht="16.149999999999999" customHeight="1" x14ac:dyDescent="0.2">
      <c r="A11" s="2329"/>
      <c r="B11" s="2330"/>
      <c r="C11" s="2330"/>
      <c r="D11" s="2330"/>
      <c r="E11" s="2330"/>
      <c r="F11" s="2330"/>
      <c r="G11" s="2330"/>
      <c r="H11" s="2330"/>
      <c r="I11" s="2330"/>
      <c r="J11" s="2330"/>
      <c r="K11" s="2330"/>
      <c r="L11" s="2330"/>
      <c r="M11" s="2330"/>
      <c r="N11" s="2330"/>
    </row>
    <row r="12" spans="1:14" s="2312" customFormat="1" ht="16.149999999999999" customHeight="1" x14ac:dyDescent="0.2">
      <c r="A12" s="2327" t="s">
        <v>697</v>
      </c>
      <c r="B12" s="2320">
        <f>'G.F. 0'!C24-B13</f>
        <v>1221</v>
      </c>
      <c r="C12" s="2320">
        <f>'G.F. 0'!D24-C13</f>
        <v>1221</v>
      </c>
      <c r="D12" s="2320">
        <f>'G.F. 0'!E24-D13</f>
        <v>1221</v>
      </c>
      <c r="E12" s="2320">
        <f>'G.F. 0'!F24-E13</f>
        <v>1221</v>
      </c>
      <c r="F12" s="2320">
        <f>'G.F. 0'!G24-F13</f>
        <v>1221</v>
      </c>
      <c r="G12" s="2320">
        <f>'G.F. 0'!H24-G13</f>
        <v>1221</v>
      </c>
      <c r="H12" s="2320">
        <f>'G.F. 0'!I24-H13</f>
        <v>1221</v>
      </c>
      <c r="I12" s="2320">
        <f>'G.F. 0'!J24-I13</f>
        <v>1221</v>
      </c>
      <c r="J12" s="2320">
        <f>'G.F. 0'!K24-J13</f>
        <v>1221</v>
      </c>
      <c r="K12" s="2320">
        <f>'G.F. 0'!L24-K13</f>
        <v>1221</v>
      </c>
      <c r="L12" s="2320">
        <f>'G.F. 0'!M24-L13</f>
        <v>1221</v>
      </c>
      <c r="M12" s="2320">
        <f>'G.F. 0'!N24-M13</f>
        <v>1221</v>
      </c>
      <c r="N12" s="2321">
        <f t="shared" si="2"/>
        <v>14652</v>
      </c>
    </row>
    <row r="13" spans="1:14" s="2312" customFormat="1" ht="16.149999999999999" customHeight="1" x14ac:dyDescent="0.2">
      <c r="A13" s="2327" t="s">
        <v>119</v>
      </c>
      <c r="B13" s="2320">
        <f>SUM('G.F. 0'!C18:C19)</f>
        <v>88.72</v>
      </c>
      <c r="C13" s="2320">
        <f>SUM('G.F. 0'!D18:D19)</f>
        <v>88.72</v>
      </c>
      <c r="D13" s="2320">
        <f>SUM('G.F. 0'!E18:E19)</f>
        <v>88.72</v>
      </c>
      <c r="E13" s="2320">
        <f>SUM('G.F. 0'!F18:F19)</f>
        <v>88.72</v>
      </c>
      <c r="F13" s="2320">
        <f>SUM('G.F. 0'!G18:G19)</f>
        <v>88.72</v>
      </c>
      <c r="G13" s="2320">
        <f>SUM('G.F. 0'!H18:H19)</f>
        <v>88.72</v>
      </c>
      <c r="H13" s="2320">
        <f>SUM('G.F. 0'!I18:I19)</f>
        <v>88.72</v>
      </c>
      <c r="I13" s="2320">
        <f>SUM('G.F. 0'!J18:J19)</f>
        <v>88.72</v>
      </c>
      <c r="J13" s="2320">
        <f>SUM('G.F. 0'!K18:K19)</f>
        <v>88.72</v>
      </c>
      <c r="K13" s="2320">
        <f>SUM('G.F. 0'!L18:L19)</f>
        <v>88.72</v>
      </c>
      <c r="L13" s="2320">
        <f>SUM('G.F. 0'!M18:M19)</f>
        <v>88.72</v>
      </c>
      <c r="M13" s="2320">
        <f>SUM('G.F. 0'!N18:N19)</f>
        <v>88.72</v>
      </c>
      <c r="N13" s="2321">
        <f t="shared" si="2"/>
        <v>1064.6400000000001</v>
      </c>
    </row>
    <row r="14" spans="1:14" s="2312" customFormat="1" ht="16.149999999999999" customHeight="1" x14ac:dyDescent="0.2">
      <c r="A14" s="2327" t="s">
        <v>90</v>
      </c>
      <c r="B14" s="2320">
        <f>'G.F. 0'!C46+'IVA 0'!C13</f>
        <v>0</v>
      </c>
      <c r="C14" s="2320">
        <f>'G.F. 0'!D46+'IVA 0'!D13</f>
        <v>0</v>
      </c>
      <c r="D14" s="2320">
        <f>'G.F. 0'!E46+'IVA 0'!E13</f>
        <v>0</v>
      </c>
      <c r="E14" s="2320">
        <f>'G.F. 0'!F46+'IVA 0'!F13</f>
        <v>0</v>
      </c>
      <c r="F14" s="2320">
        <f>'G.F. 0'!G46+'IVA 0'!G13</f>
        <v>0</v>
      </c>
      <c r="G14" s="2320">
        <f>'G.F. 0'!H46+'IVA 0'!H13</f>
        <v>0</v>
      </c>
      <c r="H14" s="2320">
        <f>'G.F. 0'!I46+'IVA 0'!I13</f>
        <v>0</v>
      </c>
      <c r="I14" s="2320">
        <f>'G.F. 0'!J46+'IVA 0'!J13</f>
        <v>0</v>
      </c>
      <c r="J14" s="2320">
        <f>'G.F. 0'!K46+'IVA 0'!K13</f>
        <v>0</v>
      </c>
      <c r="K14" s="2320">
        <f>'G.F. 0'!L46+'IVA 0'!L13</f>
        <v>0</v>
      </c>
      <c r="L14" s="2320">
        <f>'G.F. 0'!M46+'IVA 0'!M13</f>
        <v>0</v>
      </c>
      <c r="M14" s="2320">
        <f>'G.F. 0'!N46+'IVA 0'!N13</f>
        <v>0</v>
      </c>
      <c r="N14" s="2321">
        <f t="shared" si="2"/>
        <v>0</v>
      </c>
    </row>
    <row r="15" spans="1:14" s="2312" customFormat="1" ht="16.149999999999999" customHeight="1" x14ac:dyDescent="0.2">
      <c r="A15" s="2327" t="s">
        <v>870</v>
      </c>
      <c r="B15" s="2320">
        <f>IF(COLUMN(B$4)-1&lt;mes0,0,Amortizaciones!$F$21/(12+1-mes0))</f>
        <v>0</v>
      </c>
      <c r="C15" s="2320">
        <f>IF(COLUMN(C$4)-1&lt;mes0,0,Amortizaciones!$F$21/(12+1-mes0))</f>
        <v>0</v>
      </c>
      <c r="D15" s="2320">
        <f>IF(COLUMN(D$4)-1&lt;mes0,0,Amortizaciones!$F$21/(12+1-mes0))</f>
        <v>0</v>
      </c>
      <c r="E15" s="2320">
        <f>IF(COLUMN(E$4)-1&lt;mes0,0,Amortizaciones!$F$21/(12+1-mes0))</f>
        <v>0</v>
      </c>
      <c r="F15" s="2320">
        <f>IF(COLUMN(F$4)-1&lt;mes0,0,Amortizaciones!$F$21/(12+1-mes0))</f>
        <v>0</v>
      </c>
      <c r="G15" s="2320">
        <f>IF(COLUMN(G$4)-1&lt;mes0,0,Amortizaciones!$F$21/(12+1-mes0))</f>
        <v>0</v>
      </c>
      <c r="H15" s="2320">
        <f>IF(COLUMN(H$4)-1&lt;mes0,0,Amortizaciones!$F$21/(12+1-mes0))</f>
        <v>0</v>
      </c>
      <c r="I15" s="2320">
        <f>IF(COLUMN(I$4)-1&lt;mes0,0,Amortizaciones!$F$21/(12+1-mes0))</f>
        <v>0</v>
      </c>
      <c r="J15" s="2320">
        <f>IF(COLUMN(J$4)-1&lt;mes0,0,Amortizaciones!$F$21/(12+1-mes0))</f>
        <v>0</v>
      </c>
      <c r="K15" s="2320">
        <f>IF(COLUMN(K$4)-1&lt;mes0,0,Amortizaciones!$F$21/(12+1-mes0))</f>
        <v>0</v>
      </c>
      <c r="L15" s="2320">
        <f>IF(COLUMN(L$4)-1&lt;mes0,0,Amortizaciones!$F$21/(12+1-mes0))</f>
        <v>0</v>
      </c>
      <c r="M15" s="2320">
        <f>IF(COLUMN(M$4)-1&lt;mes0,0,Amortizaciones!$F$21/(12+1-mes0))</f>
        <v>0</v>
      </c>
      <c r="N15" s="2321">
        <f t="shared" si="2"/>
        <v>0</v>
      </c>
    </row>
    <row r="16" spans="1:14" s="2315" customFormat="1" ht="16.149999999999999" customHeight="1" x14ac:dyDescent="0.2">
      <c r="A16" s="2328" t="s">
        <v>871</v>
      </c>
      <c r="B16" s="2321">
        <f t="shared" ref="B16:M16" si="3">SUM(B12:B15)</f>
        <v>1309.72</v>
      </c>
      <c r="C16" s="2321">
        <f t="shared" si="3"/>
        <v>1309.72</v>
      </c>
      <c r="D16" s="2321">
        <f t="shared" si="3"/>
        <v>1309.72</v>
      </c>
      <c r="E16" s="2321">
        <f t="shared" si="3"/>
        <v>1309.72</v>
      </c>
      <c r="F16" s="2321">
        <f t="shared" si="3"/>
        <v>1309.72</v>
      </c>
      <c r="G16" s="2321">
        <f t="shared" si="3"/>
        <v>1309.72</v>
      </c>
      <c r="H16" s="2321">
        <f t="shared" si="3"/>
        <v>1309.72</v>
      </c>
      <c r="I16" s="2321">
        <f t="shared" si="3"/>
        <v>1309.72</v>
      </c>
      <c r="J16" s="2321">
        <f t="shared" si="3"/>
        <v>1309.72</v>
      </c>
      <c r="K16" s="2321">
        <f t="shared" si="3"/>
        <v>1309.72</v>
      </c>
      <c r="L16" s="2321">
        <f t="shared" si="3"/>
        <v>1309.72</v>
      </c>
      <c r="M16" s="2321">
        <f t="shared" si="3"/>
        <v>1309.72</v>
      </c>
      <c r="N16" s="2321">
        <f t="shared" si="2"/>
        <v>15716.639999999998</v>
      </c>
    </row>
    <row r="17" spans="1:14" s="2315" customFormat="1" ht="16.149999999999999" customHeight="1" x14ac:dyDescent="0.2">
      <c r="A17" s="2328"/>
      <c r="B17" s="2330"/>
      <c r="C17" s="2330"/>
      <c r="D17" s="2330"/>
      <c r="E17" s="2330"/>
      <c r="F17" s="2330"/>
      <c r="G17" s="2330"/>
      <c r="H17" s="2330"/>
      <c r="I17" s="2330"/>
      <c r="J17" s="2330"/>
      <c r="K17" s="2330"/>
      <c r="L17" s="2330"/>
      <c r="M17" s="2330"/>
      <c r="N17" s="2330"/>
    </row>
    <row r="18" spans="1:14" s="2315" customFormat="1" ht="16.149999999999999" customHeight="1" x14ac:dyDescent="0.2">
      <c r="A18" s="2328" t="s">
        <v>786</v>
      </c>
      <c r="B18" s="2324">
        <f t="shared" ref="B18:M18" si="4">B10-B16</f>
        <v>-1309.72</v>
      </c>
      <c r="C18" s="2324">
        <f t="shared" si="4"/>
        <v>-1309.72</v>
      </c>
      <c r="D18" s="2324">
        <f t="shared" si="4"/>
        <v>-1309.72</v>
      </c>
      <c r="E18" s="2324">
        <f t="shared" si="4"/>
        <v>-1309.72</v>
      </c>
      <c r="F18" s="2324">
        <f t="shared" si="4"/>
        <v>-1309.72</v>
      </c>
      <c r="G18" s="2324">
        <f t="shared" si="4"/>
        <v>-1309.72</v>
      </c>
      <c r="H18" s="2324">
        <f t="shared" si="4"/>
        <v>-1309.72</v>
      </c>
      <c r="I18" s="2324">
        <f t="shared" si="4"/>
        <v>-1309.72</v>
      </c>
      <c r="J18" s="2324">
        <f t="shared" si="4"/>
        <v>-1309.72</v>
      </c>
      <c r="K18" s="2324">
        <f t="shared" si="4"/>
        <v>-1309.72</v>
      </c>
      <c r="L18" s="2324">
        <f t="shared" si="4"/>
        <v>-1309.72</v>
      </c>
      <c r="M18" s="2324">
        <f t="shared" si="4"/>
        <v>-1309.72</v>
      </c>
      <c r="N18" s="2324">
        <f t="shared" si="2"/>
        <v>-15716.639999999998</v>
      </c>
    </row>
    <row r="19" spans="1:14" s="2315" customFormat="1" ht="16.149999999999999" customHeight="1" x14ac:dyDescent="0.2">
      <c r="A19" s="2328"/>
      <c r="B19" s="2330"/>
      <c r="C19" s="2330"/>
      <c r="D19" s="2330"/>
      <c r="E19" s="2330"/>
      <c r="F19" s="2330"/>
      <c r="G19" s="2330"/>
      <c r="H19" s="2330"/>
      <c r="I19" s="2330"/>
      <c r="J19" s="2330"/>
      <c r="K19" s="2330"/>
      <c r="L19" s="2330"/>
      <c r="M19" s="2330"/>
      <c r="N19" s="2330"/>
    </row>
    <row r="20" spans="1:14" s="2312" customFormat="1" ht="16.149999999999999" customHeight="1" x14ac:dyDescent="0.2">
      <c r="A20" s="2327" t="s">
        <v>872</v>
      </c>
      <c r="B20" s="2320">
        <f>'Gastos Financieros'!C59</f>
        <v>0</v>
      </c>
      <c r="C20" s="2320">
        <f>'Gastos Financieros'!D59</f>
        <v>0</v>
      </c>
      <c r="D20" s="2320">
        <f>'Gastos Financieros'!E59</f>
        <v>0</v>
      </c>
      <c r="E20" s="2320">
        <f>'Gastos Financieros'!F59</f>
        <v>0</v>
      </c>
      <c r="F20" s="2320">
        <f>'Gastos Financieros'!G59</f>
        <v>0</v>
      </c>
      <c r="G20" s="2320">
        <f>'Gastos Financieros'!H59</f>
        <v>0</v>
      </c>
      <c r="H20" s="2320">
        <f>'Gastos Financieros'!I59</f>
        <v>0</v>
      </c>
      <c r="I20" s="2320">
        <f>'Gastos Financieros'!J59</f>
        <v>0</v>
      </c>
      <c r="J20" s="2320">
        <f>'Gastos Financieros'!K59</f>
        <v>0</v>
      </c>
      <c r="K20" s="2320">
        <f>'Gastos Financieros'!L59</f>
        <v>0</v>
      </c>
      <c r="L20" s="2320">
        <f>'Gastos Financieros'!M59</f>
        <v>0</v>
      </c>
      <c r="M20" s="2320">
        <f>'Gastos Financieros'!N59</f>
        <v>0</v>
      </c>
      <c r="N20" s="2321">
        <f t="shared" si="2"/>
        <v>0</v>
      </c>
    </row>
    <row r="21" spans="1:14" s="2312" customFormat="1" ht="16.149999999999999" customHeight="1" x14ac:dyDescent="0.2">
      <c r="A21" s="2327" t="s">
        <v>873</v>
      </c>
      <c r="B21" s="2320">
        <f>'Gastos Financieros'!C15</f>
        <v>0</v>
      </c>
      <c r="C21" s="2320">
        <f>'Gastos Financieros'!D15</f>
        <v>19.306700000000003</v>
      </c>
      <c r="D21" s="2320">
        <f>'Gastos Financieros'!E15</f>
        <v>27.059355749999998</v>
      </c>
      <c r="E21" s="2320">
        <f>'Gastos Financieros'!F15</f>
        <v>34.857235325208336</v>
      </c>
      <c r="F21" s="2320">
        <f>'Gastos Financieros'!G15</f>
        <v>42.700602531272054</v>
      </c>
      <c r="G21" s="2320">
        <f>'Gastos Financieros'!H15</f>
        <v>50.589722712704479</v>
      </c>
      <c r="H21" s="2320">
        <f>'Gastos Financieros'!I15</f>
        <v>58.524862761861918</v>
      </c>
      <c r="I21" s="2320">
        <f>'Gastos Financieros'!J15</f>
        <v>66.506291127972773</v>
      </c>
      <c r="J21" s="2320">
        <f>'Gastos Financieros'!K15</f>
        <v>74.534277826219281</v>
      </c>
      <c r="K21" s="2320">
        <f>'Gastos Financieros'!L15</f>
        <v>82.609094446872234</v>
      </c>
      <c r="L21" s="2320">
        <f>'Gastos Financieros'!M15</f>
        <v>90.731014164478978</v>
      </c>
      <c r="M21" s="2320">
        <f>'Gastos Financieros'!N15</f>
        <v>98.900311747105093</v>
      </c>
      <c r="N21" s="2321">
        <f t="shared" si="2"/>
        <v>646.31946839369516</v>
      </c>
    </row>
    <row r="22" spans="1:14" s="2315" customFormat="1" ht="16.149999999999999" customHeight="1" x14ac:dyDescent="0.2">
      <c r="A22" s="2328" t="s">
        <v>874</v>
      </c>
      <c r="B22" s="2324">
        <f>B20-B21</f>
        <v>0</v>
      </c>
      <c r="C22" s="2324">
        <f t="shared" ref="C22:M22" si="5">C20-C21</f>
        <v>-19.306700000000003</v>
      </c>
      <c r="D22" s="2324">
        <f t="shared" si="5"/>
        <v>-27.059355749999998</v>
      </c>
      <c r="E22" s="2324">
        <f t="shared" si="5"/>
        <v>-34.857235325208336</v>
      </c>
      <c r="F22" s="2324">
        <f t="shared" si="5"/>
        <v>-42.700602531272054</v>
      </c>
      <c r="G22" s="2324">
        <f t="shared" si="5"/>
        <v>-50.589722712704479</v>
      </c>
      <c r="H22" s="2324">
        <f t="shared" si="5"/>
        <v>-58.524862761861918</v>
      </c>
      <c r="I22" s="2324">
        <f t="shared" si="5"/>
        <v>-66.506291127972773</v>
      </c>
      <c r="J22" s="2324">
        <f t="shared" si="5"/>
        <v>-74.534277826219281</v>
      </c>
      <c r="K22" s="2324">
        <f t="shared" si="5"/>
        <v>-82.609094446872234</v>
      </c>
      <c r="L22" s="2324">
        <f t="shared" si="5"/>
        <v>-90.731014164478978</v>
      </c>
      <c r="M22" s="2324">
        <f t="shared" si="5"/>
        <v>-98.900311747105093</v>
      </c>
      <c r="N22" s="2324">
        <f t="shared" si="2"/>
        <v>-646.31946839369516</v>
      </c>
    </row>
    <row r="23" spans="1:14" s="2315" customFormat="1" ht="16.149999999999999" customHeight="1" x14ac:dyDescent="0.2">
      <c r="A23" s="2328"/>
      <c r="B23" s="2331"/>
      <c r="C23" s="2331"/>
      <c r="D23" s="2331"/>
      <c r="E23" s="2331"/>
      <c r="F23" s="2331"/>
      <c r="G23" s="2331"/>
      <c r="H23" s="2331"/>
      <c r="I23" s="2331"/>
      <c r="J23" s="2331"/>
      <c r="K23" s="2331"/>
      <c r="L23" s="2331"/>
      <c r="M23" s="2331"/>
      <c r="N23" s="2331"/>
    </row>
    <row r="24" spans="1:14" s="2315" customFormat="1" ht="16.149999999999999" customHeight="1" x14ac:dyDescent="0.2">
      <c r="A24" s="2328" t="s">
        <v>744</v>
      </c>
      <c r="B24" s="2324">
        <f>B18+B22</f>
        <v>-1309.72</v>
      </c>
      <c r="C24" s="2324">
        <f t="shared" ref="C24:M24" si="6">C18+C22</f>
        <v>-1329.0267000000001</v>
      </c>
      <c r="D24" s="2324">
        <f t="shared" si="6"/>
        <v>-1336.7793557499999</v>
      </c>
      <c r="E24" s="2324">
        <f t="shared" si="6"/>
        <v>-1344.5772353252084</v>
      </c>
      <c r="F24" s="2324">
        <f t="shared" si="6"/>
        <v>-1352.4206025312722</v>
      </c>
      <c r="G24" s="2324">
        <f t="shared" si="6"/>
        <v>-1360.3097227127046</v>
      </c>
      <c r="H24" s="2324">
        <f t="shared" si="6"/>
        <v>-1368.2448627618619</v>
      </c>
      <c r="I24" s="2324">
        <f t="shared" si="6"/>
        <v>-1376.2262911279729</v>
      </c>
      <c r="J24" s="2324">
        <f t="shared" si="6"/>
        <v>-1384.2542778262193</v>
      </c>
      <c r="K24" s="2324">
        <f t="shared" si="6"/>
        <v>-1392.3290944468722</v>
      </c>
      <c r="L24" s="2324">
        <f t="shared" si="6"/>
        <v>-1400.4510141644789</v>
      </c>
      <c r="M24" s="2324">
        <f t="shared" si="6"/>
        <v>-1408.620311747105</v>
      </c>
      <c r="N24" s="2324">
        <f t="shared" si="2"/>
        <v>-16362.959468393694</v>
      </c>
    </row>
    <row r="25" spans="1:14" s="2315" customFormat="1" ht="16.149999999999999" customHeight="1" x14ac:dyDescent="0.2">
      <c r="A25" s="2328"/>
      <c r="B25" s="2330"/>
      <c r="C25" s="2330"/>
      <c r="D25" s="2330"/>
      <c r="E25" s="2330"/>
      <c r="F25" s="2330"/>
      <c r="G25" s="2330"/>
      <c r="H25" s="2330"/>
      <c r="I25" s="2330"/>
      <c r="J25" s="2330"/>
      <c r="K25" s="2330"/>
      <c r="L25" s="2330"/>
      <c r="M25" s="2330"/>
      <c r="N25" s="2330"/>
    </row>
    <row r="26" spans="1:14" s="2315" customFormat="1" ht="16.149999999999999" customHeight="1" thickBot="1" x14ac:dyDescent="0.25">
      <c r="A26" s="2332" t="s">
        <v>875</v>
      </c>
      <c r="B26" s="2333">
        <f>B24</f>
        <v>-1309.72</v>
      </c>
      <c r="C26" s="2333">
        <f t="shared" ref="C26:M26" si="7">B26+C24</f>
        <v>-2638.7467000000001</v>
      </c>
      <c r="D26" s="2333">
        <f t="shared" si="7"/>
        <v>-3975.5260557500001</v>
      </c>
      <c r="E26" s="2333">
        <f t="shared" si="7"/>
        <v>-5320.1032910752083</v>
      </c>
      <c r="F26" s="2333">
        <f t="shared" si="7"/>
        <v>-6672.5238936064807</v>
      </c>
      <c r="G26" s="2333">
        <f t="shared" si="7"/>
        <v>-8032.8336163191852</v>
      </c>
      <c r="H26" s="2333">
        <f t="shared" si="7"/>
        <v>-9401.0784790810467</v>
      </c>
      <c r="I26" s="2333">
        <f t="shared" si="7"/>
        <v>-10777.304770209019</v>
      </c>
      <c r="J26" s="2333">
        <f t="shared" si="7"/>
        <v>-12161.559048035238</v>
      </c>
      <c r="K26" s="2333">
        <f t="shared" si="7"/>
        <v>-13553.88814248211</v>
      </c>
      <c r="L26" s="2333">
        <f t="shared" si="7"/>
        <v>-14954.339156646589</v>
      </c>
      <c r="M26" s="2333">
        <f t="shared" si="7"/>
        <v>-16362.959468393694</v>
      </c>
      <c r="N26" s="2333"/>
    </row>
    <row r="27" spans="1:14" s="2312" customFormat="1" ht="12" x14ac:dyDescent="0.2">
      <c r="B27" s="2334">
        <v>1</v>
      </c>
      <c r="C27" s="2334">
        <v>2</v>
      </c>
      <c r="D27" s="2334">
        <v>3</v>
      </c>
      <c r="E27" s="2334">
        <v>4</v>
      </c>
      <c r="F27" s="2334">
        <v>5</v>
      </c>
      <c r="G27" s="2334">
        <v>6</v>
      </c>
      <c r="H27" s="2334">
        <v>7</v>
      </c>
      <c r="I27" s="2334">
        <v>8</v>
      </c>
      <c r="J27" s="2334">
        <v>9</v>
      </c>
      <c r="K27" s="2334">
        <v>10</v>
      </c>
      <c r="L27" s="2334">
        <v>11</v>
      </c>
      <c r="M27" s="2334">
        <v>12</v>
      </c>
      <c r="N27" s="2315"/>
    </row>
    <row r="28" spans="1:14" s="2312" customFormat="1" ht="12" x14ac:dyDescent="0.2"/>
    <row r="29" spans="1:14" x14ac:dyDescent="0.25">
      <c r="N29" s="2307"/>
    </row>
  </sheetData>
  <sheetProtection sheet="1" objects="1" scenarios="1" formatCells="0" formatColumns="0"/>
  <phoneticPr fontId="13" type="noConversion"/>
  <conditionalFormatting sqref="B5:M7 B9:M10 B12:M16 B18:M18 B20:M22 B24:M24 B26:M26">
    <cfRule type="expression" dxfId="34" priority="1" stopIfTrue="1">
      <formula>B$27&lt;mes0</formula>
    </cfRule>
  </conditionalFormatting>
  <printOptions horizontalCentered="1" verticalCentered="1"/>
  <pageMargins left="0.39370078740157483" right="0.39370078740157483" top="0.59055118110236227" bottom="0.59055118110236227" header="0.31496062992125984" footer="0.31496062992125984"/>
  <pageSetup paperSize="9" scale="81" orientation="landscape" horizontalDpi="300" verticalDpi="300" r:id="rId1"/>
  <headerFooter alignWithMargins="0">
    <oddFooter>&amp;A</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17">
    <tabColor rgb="FF7CC9D0"/>
    <pageSetUpPr fitToPage="1"/>
  </sheetPr>
  <dimension ref="A1:N29"/>
  <sheetViews>
    <sheetView showGridLines="0" workbookViewId="0">
      <selection activeCell="M20" sqref="M20"/>
    </sheetView>
  </sheetViews>
  <sheetFormatPr baseColWidth="10" defaultRowHeight="15" x14ac:dyDescent="0.25"/>
  <cols>
    <col min="1" max="1" width="24.875" style="446" customWidth="1"/>
    <col min="2" max="2" width="10.5" style="446" customWidth="1"/>
    <col min="3" max="5" width="10.375" style="446" customWidth="1"/>
    <col min="6" max="13" width="10.875" style="446" customWidth="1"/>
    <col min="14" max="14" width="10.625" style="305" customWidth="1"/>
    <col min="15" max="16384" width="11" style="446"/>
  </cols>
  <sheetData>
    <row r="1" spans="1:14" ht="24.75" x14ac:dyDescent="0.4">
      <c r="A1" s="886" t="s">
        <v>451</v>
      </c>
      <c r="E1" s="305"/>
      <c r="F1" s="305"/>
      <c r="I1" s="470">
        <f>'Datos Básicos'!C17</f>
        <v>2027</v>
      </c>
      <c r="L1" s="842"/>
    </row>
    <row r="2" spans="1:14" s="843" customFormat="1" ht="27.75" x14ac:dyDescent="0.45">
      <c r="A2" s="408">
        <f>'Datos Básicos'!B8</f>
        <v>0</v>
      </c>
      <c r="C2" s="868"/>
      <c r="D2" s="450"/>
      <c r="N2" s="845"/>
    </row>
    <row r="3" spans="1:14" s="843" customFormat="1" ht="28.5" thickBot="1" x14ac:dyDescent="0.5">
      <c r="A3" s="408"/>
      <c r="C3" s="868"/>
      <c r="D3" s="450"/>
      <c r="N3" s="845"/>
    </row>
    <row r="4" spans="1:14" s="870" customFormat="1" ht="16.149999999999999" customHeight="1" thickBot="1" x14ac:dyDescent="0.3">
      <c r="A4" s="454" t="s">
        <v>889</v>
      </c>
      <c r="B4" s="869" t="str">
        <f>'Datos Gastos Fijos'!D7</f>
        <v>enero</v>
      </c>
      <c r="C4" s="869" t="str">
        <f>'Datos Gastos Fijos'!E7</f>
        <v>febrero</v>
      </c>
      <c r="D4" s="869" t="str">
        <f>'Datos Gastos Fijos'!F7</f>
        <v>marzo</v>
      </c>
      <c r="E4" s="869" t="str">
        <f>'Datos Gastos Fijos'!G7</f>
        <v>abril</v>
      </c>
      <c r="F4" s="869" t="str">
        <f>'Datos Gastos Fijos'!H7</f>
        <v>mayo</v>
      </c>
      <c r="G4" s="869" t="str">
        <f>'Datos Gastos Fijos'!I7</f>
        <v>junio</v>
      </c>
      <c r="H4" s="869" t="str">
        <f>'Datos Gastos Fijos'!J7</f>
        <v>julio</v>
      </c>
      <c r="I4" s="869" t="str">
        <f>'Datos Gastos Fijos'!K7</f>
        <v>agosto</v>
      </c>
      <c r="J4" s="869" t="str">
        <f>'Datos Gastos Fijos'!L7</f>
        <v>septiembre</v>
      </c>
      <c r="K4" s="869" t="str">
        <f>'Datos Gastos Fijos'!M7</f>
        <v>octubre</v>
      </c>
      <c r="L4" s="869" t="str">
        <f>'Datos Gastos Fijos'!N7</f>
        <v>noviembre</v>
      </c>
      <c r="M4" s="869" t="str">
        <f>'Datos Gastos Fijos'!O7</f>
        <v>diciembre</v>
      </c>
      <c r="N4" s="869" t="s">
        <v>860</v>
      </c>
    </row>
    <row r="5" spans="1:14" s="845" customFormat="1" ht="16.149999999999999" customHeight="1" x14ac:dyDescent="0.2">
      <c r="A5" s="871" t="s">
        <v>741</v>
      </c>
      <c r="B5" s="872">
        <f>'Prev.Ventas 1'!B25</f>
        <v>0</v>
      </c>
      <c r="C5" s="872">
        <f>'Prev.Ventas 1'!C25</f>
        <v>0</v>
      </c>
      <c r="D5" s="872">
        <f>'Prev.Ventas 1'!D25</f>
        <v>0</v>
      </c>
      <c r="E5" s="872">
        <f>'Prev.Ventas 1'!E25</f>
        <v>0</v>
      </c>
      <c r="F5" s="872">
        <f>'Prev.Ventas 1'!F25</f>
        <v>0</v>
      </c>
      <c r="G5" s="872">
        <f>'Prev.Ventas 1'!G25</f>
        <v>0</v>
      </c>
      <c r="H5" s="872">
        <f>'Prev.Ventas 1'!H25</f>
        <v>0</v>
      </c>
      <c r="I5" s="872">
        <f>'Prev.Ventas 1'!I25</f>
        <v>0</v>
      </c>
      <c r="J5" s="872">
        <f>'Prev.Ventas 1'!J25</f>
        <v>0</v>
      </c>
      <c r="K5" s="872">
        <f>'Prev.Ventas 1'!K25</f>
        <v>0</v>
      </c>
      <c r="L5" s="872">
        <f>'Prev.Ventas 1'!L25</f>
        <v>0</v>
      </c>
      <c r="M5" s="872">
        <f>'Prev.Ventas 1'!M25</f>
        <v>0</v>
      </c>
      <c r="N5" s="873">
        <f>SUM(B5:M5)</f>
        <v>0</v>
      </c>
    </row>
    <row r="6" spans="1:14" s="845" customFormat="1" ht="16.149999999999999" customHeight="1" x14ac:dyDescent="0.2">
      <c r="A6" s="874" t="s">
        <v>742</v>
      </c>
      <c r="B6" s="875">
        <f>'Financiación Inicial'!$F$34/'Financiación Inicial'!$F$35/12</f>
        <v>0</v>
      </c>
      <c r="C6" s="875">
        <f>'Financiación Inicial'!$F$34/'Financiación Inicial'!$F$35/12</f>
        <v>0</v>
      </c>
      <c r="D6" s="875">
        <f>'Financiación Inicial'!$F$34/'Financiación Inicial'!$F$35/12</f>
        <v>0</v>
      </c>
      <c r="E6" s="875">
        <f>'Financiación Inicial'!$F$34/'Financiación Inicial'!$F$35/12</f>
        <v>0</v>
      </c>
      <c r="F6" s="875">
        <f>'Financiación Inicial'!$F$34/'Financiación Inicial'!$F$35/12</f>
        <v>0</v>
      </c>
      <c r="G6" s="875">
        <f>'Financiación Inicial'!$F$34/'Financiación Inicial'!$F$35/12</f>
        <v>0</v>
      </c>
      <c r="H6" s="875">
        <f>'Financiación Inicial'!$F$34/'Financiación Inicial'!$F$35/12</f>
        <v>0</v>
      </c>
      <c r="I6" s="875">
        <f>'Financiación Inicial'!$F$34/'Financiación Inicial'!$F$35/12</f>
        <v>0</v>
      </c>
      <c r="J6" s="875">
        <f>'Financiación Inicial'!$F$34/'Financiación Inicial'!$F$35/12</f>
        <v>0</v>
      </c>
      <c r="K6" s="875">
        <f>'Financiación Inicial'!$F$34/'Financiación Inicial'!$F$35/12</f>
        <v>0</v>
      </c>
      <c r="L6" s="875">
        <f>'Financiación Inicial'!$F$34/'Financiación Inicial'!$F$35/12</f>
        <v>0</v>
      </c>
      <c r="M6" s="875">
        <f>'Financiación Inicial'!$F$34/'Financiación Inicial'!$F$35/12</f>
        <v>0</v>
      </c>
      <c r="N6" s="876">
        <f>SUM(B6:M6)</f>
        <v>0</v>
      </c>
    </row>
    <row r="7" spans="1:14" s="845" customFormat="1" ht="16.149999999999999" customHeight="1" x14ac:dyDescent="0.2">
      <c r="A7" s="877" t="s">
        <v>787</v>
      </c>
      <c r="B7" s="873">
        <f t="shared" ref="B7:M7" si="0">B5+B6</f>
        <v>0</v>
      </c>
      <c r="C7" s="873">
        <f t="shared" si="0"/>
        <v>0</v>
      </c>
      <c r="D7" s="873">
        <f t="shared" si="0"/>
        <v>0</v>
      </c>
      <c r="E7" s="873">
        <f t="shared" si="0"/>
        <v>0</v>
      </c>
      <c r="F7" s="873">
        <f t="shared" si="0"/>
        <v>0</v>
      </c>
      <c r="G7" s="873">
        <f t="shared" si="0"/>
        <v>0</v>
      </c>
      <c r="H7" s="873">
        <f t="shared" si="0"/>
        <v>0</v>
      </c>
      <c r="I7" s="873">
        <f t="shared" si="0"/>
        <v>0</v>
      </c>
      <c r="J7" s="873">
        <f t="shared" si="0"/>
        <v>0</v>
      </c>
      <c r="K7" s="873">
        <f t="shared" si="0"/>
        <v>0</v>
      </c>
      <c r="L7" s="873">
        <f t="shared" si="0"/>
        <v>0</v>
      </c>
      <c r="M7" s="873">
        <f t="shared" si="0"/>
        <v>0</v>
      </c>
      <c r="N7" s="873">
        <f>SUM(B7:M7)</f>
        <v>0</v>
      </c>
    </row>
    <row r="8" spans="1:14" s="845" customFormat="1" ht="16.149999999999999" customHeight="1" x14ac:dyDescent="0.2">
      <c r="A8" s="878"/>
      <c r="B8" s="873"/>
      <c r="C8" s="873"/>
      <c r="D8" s="873"/>
      <c r="E8" s="873"/>
      <c r="F8" s="873"/>
      <c r="G8" s="873"/>
      <c r="H8" s="873"/>
      <c r="I8" s="873"/>
      <c r="J8" s="873"/>
      <c r="K8" s="873"/>
      <c r="L8" s="873"/>
      <c r="M8" s="873"/>
      <c r="N8" s="873"/>
    </row>
    <row r="9" spans="1:14" s="843" customFormat="1" ht="16.149999999999999" customHeight="1" x14ac:dyDescent="0.2">
      <c r="A9" s="879" t="s">
        <v>717</v>
      </c>
      <c r="B9" s="872">
        <f>'Prev.Ventas 1'!B39</f>
        <v>0</v>
      </c>
      <c r="C9" s="872">
        <f>'Prev.Ventas 1'!C39</f>
        <v>0</v>
      </c>
      <c r="D9" s="872">
        <f>'Prev.Ventas 1'!D39</f>
        <v>0</v>
      </c>
      <c r="E9" s="872">
        <f>'Prev.Ventas 1'!E39</f>
        <v>0</v>
      </c>
      <c r="F9" s="872">
        <f>'Prev.Ventas 1'!F39</f>
        <v>0</v>
      </c>
      <c r="G9" s="872">
        <f>'Prev.Ventas 1'!G39</f>
        <v>0</v>
      </c>
      <c r="H9" s="872">
        <f>'Prev.Ventas 1'!H39</f>
        <v>0</v>
      </c>
      <c r="I9" s="872">
        <f>'Prev.Ventas 1'!I39</f>
        <v>0</v>
      </c>
      <c r="J9" s="872">
        <f>'Prev.Ventas 1'!J39</f>
        <v>0</v>
      </c>
      <c r="K9" s="872">
        <f>'Prev.Ventas 1'!K39</f>
        <v>0</v>
      </c>
      <c r="L9" s="872">
        <f>'Prev.Ventas 1'!L39</f>
        <v>0</v>
      </c>
      <c r="M9" s="872">
        <f>'Prev.Ventas 1'!M39</f>
        <v>0</v>
      </c>
      <c r="N9" s="873">
        <f>SUM(B9:M9)</f>
        <v>0</v>
      </c>
    </row>
    <row r="10" spans="1:14" s="845" customFormat="1" ht="16.149999999999999" customHeight="1" x14ac:dyDescent="0.2">
      <c r="A10" s="880" t="s">
        <v>866</v>
      </c>
      <c r="B10" s="873">
        <f t="shared" ref="B10:M10" si="1">B7-B9</f>
        <v>0</v>
      </c>
      <c r="C10" s="873">
        <f t="shared" si="1"/>
        <v>0</v>
      </c>
      <c r="D10" s="873">
        <f t="shared" si="1"/>
        <v>0</v>
      </c>
      <c r="E10" s="873">
        <f t="shared" si="1"/>
        <v>0</v>
      </c>
      <c r="F10" s="873">
        <f t="shared" si="1"/>
        <v>0</v>
      </c>
      <c r="G10" s="873">
        <f t="shared" si="1"/>
        <v>0</v>
      </c>
      <c r="H10" s="873">
        <f t="shared" si="1"/>
        <v>0</v>
      </c>
      <c r="I10" s="873">
        <f t="shared" si="1"/>
        <v>0</v>
      </c>
      <c r="J10" s="873">
        <f t="shared" si="1"/>
        <v>0</v>
      </c>
      <c r="K10" s="873">
        <f t="shared" si="1"/>
        <v>0</v>
      </c>
      <c r="L10" s="873">
        <f t="shared" si="1"/>
        <v>0</v>
      </c>
      <c r="M10" s="873">
        <f t="shared" si="1"/>
        <v>0</v>
      </c>
      <c r="N10" s="873">
        <f>SUM(B10:M10)</f>
        <v>0</v>
      </c>
    </row>
    <row r="11" spans="1:14" s="845" customFormat="1" ht="16.149999999999999" customHeight="1" x14ac:dyDescent="0.2">
      <c r="A11" s="881"/>
      <c r="B11" s="882"/>
      <c r="C11" s="882"/>
      <c r="D11" s="882"/>
      <c r="E11" s="882"/>
      <c r="F11" s="882"/>
      <c r="G11" s="882"/>
      <c r="H11" s="882"/>
      <c r="I11" s="882"/>
      <c r="J11" s="882"/>
      <c r="K11" s="882"/>
      <c r="L11" s="882"/>
      <c r="M11" s="882"/>
      <c r="N11" s="882"/>
    </row>
    <row r="12" spans="1:14" s="843" customFormat="1" ht="16.149999999999999" customHeight="1" x14ac:dyDescent="0.2">
      <c r="A12" s="879" t="s">
        <v>697</v>
      </c>
      <c r="B12" s="872">
        <f>'G.F. 1'!C24-B13</f>
        <v>1269.8400000000001</v>
      </c>
      <c r="C12" s="872">
        <f>'G.F. 1'!D24-C13</f>
        <v>1269.8400000000001</v>
      </c>
      <c r="D12" s="872">
        <f>'G.F. 1'!E24-D13</f>
        <v>1269.8400000000001</v>
      </c>
      <c r="E12" s="872">
        <f>'G.F. 1'!F24-E13</f>
        <v>1269.8400000000001</v>
      </c>
      <c r="F12" s="872">
        <f>'G.F. 1'!G24-F13</f>
        <v>1269.8400000000001</v>
      </c>
      <c r="G12" s="872">
        <f>'G.F. 1'!H24-G13</f>
        <v>1269.8400000000001</v>
      </c>
      <c r="H12" s="872">
        <f>'G.F. 1'!I24-H13</f>
        <v>1269.8400000000001</v>
      </c>
      <c r="I12" s="872">
        <f>'G.F. 1'!J24-I13</f>
        <v>1269.8400000000001</v>
      </c>
      <c r="J12" s="872">
        <f>'G.F. 1'!K24-J13</f>
        <v>1269.8400000000001</v>
      </c>
      <c r="K12" s="872">
        <f>'G.F. 1'!L24-K13</f>
        <v>1269.8400000000001</v>
      </c>
      <c r="L12" s="872">
        <f>'G.F. 1'!M24-L13</f>
        <v>1269.8400000000001</v>
      </c>
      <c r="M12" s="872">
        <f>'G.F. 1'!N24-M13</f>
        <v>1269.8400000000001</v>
      </c>
      <c r="N12" s="873">
        <f>SUM(B12:M12)</f>
        <v>15238.080000000002</v>
      </c>
    </row>
    <row r="13" spans="1:14" s="843" customFormat="1" ht="16.149999999999999" customHeight="1" x14ac:dyDescent="0.2">
      <c r="A13" s="879" t="s">
        <v>119</v>
      </c>
      <c r="B13" s="872">
        <f>SUM('G.F. 1'!C18:C19)</f>
        <v>88.72</v>
      </c>
      <c r="C13" s="872">
        <f>SUM('G.F. 1'!D18:D19)</f>
        <v>88.72</v>
      </c>
      <c r="D13" s="872">
        <f>SUM('G.F. 1'!E18:E19)</f>
        <v>88.72</v>
      </c>
      <c r="E13" s="872">
        <f>SUM('G.F. 1'!F18:F19)</f>
        <v>88.72</v>
      </c>
      <c r="F13" s="872">
        <f>SUM('G.F. 1'!G18:G19)</f>
        <v>88.72</v>
      </c>
      <c r="G13" s="872">
        <f>SUM('G.F. 1'!H18:H19)</f>
        <v>88.72</v>
      </c>
      <c r="H13" s="872">
        <f>SUM('G.F. 1'!I18:I19)</f>
        <v>88.72</v>
      </c>
      <c r="I13" s="872">
        <f>SUM('G.F. 1'!J18:J19)</f>
        <v>88.72</v>
      </c>
      <c r="J13" s="872">
        <f>SUM('G.F. 1'!K18:K19)</f>
        <v>88.72</v>
      </c>
      <c r="K13" s="872">
        <f>SUM('G.F. 1'!L18:L19)</f>
        <v>88.72</v>
      </c>
      <c r="L13" s="872">
        <f>SUM('G.F. 1'!M18:M19)</f>
        <v>88.72</v>
      </c>
      <c r="M13" s="872">
        <f>SUM('G.F. 1'!N18:N19)</f>
        <v>88.72</v>
      </c>
      <c r="N13" s="873">
        <f>SUM(B13:M13)</f>
        <v>1064.6400000000001</v>
      </c>
    </row>
    <row r="14" spans="1:14" s="843" customFormat="1" ht="16.149999999999999" customHeight="1" x14ac:dyDescent="0.2">
      <c r="A14" s="879" t="s">
        <v>90</v>
      </c>
      <c r="B14" s="872">
        <f>'G.F. 1'!C46+'IVA 1'!C13</f>
        <v>0</v>
      </c>
      <c r="C14" s="872">
        <f>'G.F. 1'!D46+'IVA 1'!D13</f>
        <v>0</v>
      </c>
      <c r="D14" s="872">
        <f>'G.F. 1'!E46+'IVA 1'!E13</f>
        <v>0</v>
      </c>
      <c r="E14" s="872">
        <f>'G.F. 1'!F46+'IVA 1'!F13</f>
        <v>0</v>
      </c>
      <c r="F14" s="872">
        <f>'G.F. 1'!G46+'IVA 1'!G13</f>
        <v>0</v>
      </c>
      <c r="G14" s="872">
        <f>'G.F. 1'!H46+'IVA 1'!H13</f>
        <v>0</v>
      </c>
      <c r="H14" s="872">
        <f>'G.F. 1'!I46+'IVA 1'!I13</f>
        <v>0</v>
      </c>
      <c r="I14" s="872">
        <f>'G.F. 1'!J46+'IVA 1'!J13</f>
        <v>0</v>
      </c>
      <c r="J14" s="872">
        <f>'G.F. 1'!K46+'IVA 1'!K13</f>
        <v>0</v>
      </c>
      <c r="K14" s="872">
        <f>'G.F. 1'!L46+'IVA 1'!L13</f>
        <v>0</v>
      </c>
      <c r="L14" s="872">
        <f>'G.F. 1'!M46+'IVA 1'!M13</f>
        <v>0</v>
      </c>
      <c r="M14" s="872">
        <f>'G.F. 1'!N46+'IVA 1'!N13</f>
        <v>0</v>
      </c>
      <c r="N14" s="873">
        <f>SUM(B14:M14)</f>
        <v>0</v>
      </c>
    </row>
    <row r="15" spans="1:14" s="843" customFormat="1" ht="16.149999999999999" customHeight="1" x14ac:dyDescent="0.2">
      <c r="A15" s="879" t="s">
        <v>870</v>
      </c>
      <c r="B15" s="872">
        <f>Amortizaciones!$G$21/12</f>
        <v>0</v>
      </c>
      <c r="C15" s="872">
        <f>Amortizaciones!$G$21/12</f>
        <v>0</v>
      </c>
      <c r="D15" s="872">
        <f>Amortizaciones!$G$21/12</f>
        <v>0</v>
      </c>
      <c r="E15" s="872">
        <f>Amortizaciones!$G$21/12</f>
        <v>0</v>
      </c>
      <c r="F15" s="872">
        <f>Amortizaciones!$G$21/12</f>
        <v>0</v>
      </c>
      <c r="G15" s="872">
        <f>Amortizaciones!$G$21/12</f>
        <v>0</v>
      </c>
      <c r="H15" s="872">
        <f>Amortizaciones!$G$21/12</f>
        <v>0</v>
      </c>
      <c r="I15" s="872">
        <f>Amortizaciones!$G$21/12</f>
        <v>0</v>
      </c>
      <c r="J15" s="872">
        <f>Amortizaciones!$G$21/12</f>
        <v>0</v>
      </c>
      <c r="K15" s="872">
        <f>Amortizaciones!$G$21/12</f>
        <v>0</v>
      </c>
      <c r="L15" s="872">
        <f>Amortizaciones!$G$21/12</f>
        <v>0</v>
      </c>
      <c r="M15" s="872">
        <f>Amortizaciones!$G$21/12</f>
        <v>0</v>
      </c>
      <c r="N15" s="873">
        <f>SUM(B15:M15)</f>
        <v>0</v>
      </c>
    </row>
    <row r="16" spans="1:14" s="845" customFormat="1" ht="16.149999999999999" customHeight="1" x14ac:dyDescent="0.2">
      <c r="A16" s="880" t="s">
        <v>871</v>
      </c>
      <c r="B16" s="873">
        <f t="shared" ref="B16:M16" si="2">SUM(B12:B15)</f>
        <v>1358.5600000000002</v>
      </c>
      <c r="C16" s="873">
        <f t="shared" si="2"/>
        <v>1358.5600000000002</v>
      </c>
      <c r="D16" s="873">
        <f t="shared" si="2"/>
        <v>1358.5600000000002</v>
      </c>
      <c r="E16" s="873">
        <f t="shared" si="2"/>
        <v>1358.5600000000002</v>
      </c>
      <c r="F16" s="873">
        <f t="shared" si="2"/>
        <v>1358.5600000000002</v>
      </c>
      <c r="G16" s="873">
        <f t="shared" si="2"/>
        <v>1358.5600000000002</v>
      </c>
      <c r="H16" s="873">
        <f t="shared" si="2"/>
        <v>1358.5600000000002</v>
      </c>
      <c r="I16" s="873">
        <f t="shared" si="2"/>
        <v>1358.5600000000002</v>
      </c>
      <c r="J16" s="873">
        <f t="shared" si="2"/>
        <v>1358.5600000000002</v>
      </c>
      <c r="K16" s="873">
        <f t="shared" si="2"/>
        <v>1358.5600000000002</v>
      </c>
      <c r="L16" s="873">
        <f t="shared" si="2"/>
        <v>1358.5600000000002</v>
      </c>
      <c r="M16" s="873">
        <f t="shared" si="2"/>
        <v>1358.5600000000002</v>
      </c>
      <c r="N16" s="873">
        <f>SUM(B16:M16)</f>
        <v>16302.72</v>
      </c>
    </row>
    <row r="17" spans="1:14" s="845" customFormat="1" ht="16.149999999999999" customHeight="1" x14ac:dyDescent="0.2">
      <c r="A17" s="880"/>
      <c r="B17" s="882"/>
      <c r="C17" s="882"/>
      <c r="D17" s="882"/>
      <c r="E17" s="882"/>
      <c r="F17" s="882"/>
      <c r="G17" s="882"/>
      <c r="H17" s="882"/>
      <c r="I17" s="882"/>
      <c r="J17" s="882"/>
      <c r="K17" s="882"/>
      <c r="L17" s="882"/>
      <c r="M17" s="882"/>
      <c r="N17" s="882"/>
    </row>
    <row r="18" spans="1:14" s="845" customFormat="1" ht="16.149999999999999" customHeight="1" x14ac:dyDescent="0.2">
      <c r="A18" s="880" t="s">
        <v>786</v>
      </c>
      <c r="B18" s="876">
        <f t="shared" ref="B18:M18" si="3">B10-B16</f>
        <v>-1358.5600000000002</v>
      </c>
      <c r="C18" s="876">
        <f t="shared" si="3"/>
        <v>-1358.5600000000002</v>
      </c>
      <c r="D18" s="876">
        <f t="shared" si="3"/>
        <v>-1358.5600000000002</v>
      </c>
      <c r="E18" s="876">
        <f t="shared" si="3"/>
        <v>-1358.5600000000002</v>
      </c>
      <c r="F18" s="876">
        <f t="shared" si="3"/>
        <v>-1358.5600000000002</v>
      </c>
      <c r="G18" s="876">
        <f t="shared" si="3"/>
        <v>-1358.5600000000002</v>
      </c>
      <c r="H18" s="876">
        <f t="shared" si="3"/>
        <v>-1358.5600000000002</v>
      </c>
      <c r="I18" s="876">
        <f t="shared" si="3"/>
        <v>-1358.5600000000002</v>
      </c>
      <c r="J18" s="876">
        <f t="shared" si="3"/>
        <v>-1358.5600000000002</v>
      </c>
      <c r="K18" s="876">
        <f t="shared" si="3"/>
        <v>-1358.5600000000002</v>
      </c>
      <c r="L18" s="876">
        <f t="shared" si="3"/>
        <v>-1358.5600000000002</v>
      </c>
      <c r="M18" s="876">
        <f t="shared" si="3"/>
        <v>-1358.5600000000002</v>
      </c>
      <c r="N18" s="876">
        <f>SUM(B18:M18)</f>
        <v>-16302.72</v>
      </c>
    </row>
    <row r="19" spans="1:14" s="845" customFormat="1" ht="16.149999999999999" customHeight="1" x14ac:dyDescent="0.2">
      <c r="A19" s="880"/>
      <c r="B19" s="882"/>
      <c r="C19" s="882"/>
      <c r="D19" s="882"/>
      <c r="E19" s="882"/>
      <c r="F19" s="882"/>
      <c r="G19" s="882"/>
      <c r="H19" s="882"/>
      <c r="I19" s="882"/>
      <c r="J19" s="882"/>
      <c r="K19" s="882"/>
      <c r="L19" s="882"/>
      <c r="M19" s="882"/>
      <c r="N19" s="882"/>
    </row>
    <row r="20" spans="1:14" s="843" customFormat="1" ht="16.149999999999999" customHeight="1" x14ac:dyDescent="0.2">
      <c r="A20" s="879" t="s">
        <v>872</v>
      </c>
      <c r="B20" s="872">
        <f>'Gastos Financieros'!C64</f>
        <v>0</v>
      </c>
      <c r="C20" s="872">
        <f>'Gastos Financieros'!D64</f>
        <v>0</v>
      </c>
      <c r="D20" s="872">
        <f>'Gastos Financieros'!E64</f>
        <v>0</v>
      </c>
      <c r="E20" s="872">
        <f>'Gastos Financieros'!F64</f>
        <v>0</v>
      </c>
      <c r="F20" s="872">
        <f>'Gastos Financieros'!G64</f>
        <v>0</v>
      </c>
      <c r="G20" s="872">
        <f>'Gastos Financieros'!H64</f>
        <v>0</v>
      </c>
      <c r="H20" s="872">
        <f>'Gastos Financieros'!I64</f>
        <v>0</v>
      </c>
      <c r="I20" s="872">
        <f>'Gastos Financieros'!J64</f>
        <v>0</v>
      </c>
      <c r="J20" s="872">
        <f>'Gastos Financieros'!K64</f>
        <v>0</v>
      </c>
      <c r="K20" s="872">
        <f>'Gastos Financieros'!L64</f>
        <v>0</v>
      </c>
      <c r="L20" s="872">
        <f>'Gastos Financieros'!M64</f>
        <v>0</v>
      </c>
      <c r="M20" s="872">
        <f>'Gastos Financieros'!N64</f>
        <v>0</v>
      </c>
      <c r="N20" s="873">
        <f>SUM(B20:M20)</f>
        <v>0</v>
      </c>
    </row>
    <row r="21" spans="1:14" s="843" customFormat="1" ht="16.149999999999999" customHeight="1" x14ac:dyDescent="0.2">
      <c r="A21" s="879" t="s">
        <v>873</v>
      </c>
      <c r="B21" s="872">
        <f>'Gastos Financieros'!C24</f>
        <v>107.1172635656299</v>
      </c>
      <c r="C21" s="872">
        <f>'Gastos Financieros'!D24</f>
        <v>115.66704760309608</v>
      </c>
      <c r="D21" s="872">
        <f>'Gastos Financieros'!E24</f>
        <v>124.26670538078081</v>
      </c>
      <c r="E21" s="872">
        <f>'Gastos Financieros'!F24</f>
        <v>132.91652782883537</v>
      </c>
      <c r="F21" s="872">
        <f>'Gastos Financieros'!G24</f>
        <v>141.61680757450355</v>
      </c>
      <c r="G21" s="872">
        <f>'Gastos Financieros'!H24</f>
        <v>150.36783895202149</v>
      </c>
      <c r="H21" s="872">
        <f>'Gastos Financieros'!I24</f>
        <v>159.16991801257495</v>
      </c>
      <c r="I21" s="872">
        <f>'Gastos Financieros'!J24</f>
        <v>168.02334253431496</v>
      </c>
      <c r="J21" s="872">
        <f>'Gastos Financieros'!K24</f>
        <v>176.92841203243182</v>
      </c>
      <c r="K21" s="872">
        <f>'Gastos Financieros'!L24</f>
        <v>185.88542776928767</v>
      </c>
      <c r="L21" s="872">
        <f>'Gastos Financieros'!M24</f>
        <v>194.89469276460852</v>
      </c>
      <c r="M21" s="872">
        <f>'Gastos Financieros'!N24</f>
        <v>203.9565118057354</v>
      </c>
      <c r="N21" s="873">
        <f>SUM(B21:M21)</f>
        <v>1860.8104958238205</v>
      </c>
    </row>
    <row r="22" spans="1:14" s="845" customFormat="1" ht="16.149999999999999" customHeight="1" x14ac:dyDescent="0.2">
      <c r="A22" s="880" t="s">
        <v>874</v>
      </c>
      <c r="B22" s="876">
        <f t="shared" ref="B22:M22" si="4">B20-B21</f>
        <v>-107.1172635656299</v>
      </c>
      <c r="C22" s="876">
        <f t="shared" si="4"/>
        <v>-115.66704760309608</v>
      </c>
      <c r="D22" s="876">
        <f t="shared" si="4"/>
        <v>-124.26670538078081</v>
      </c>
      <c r="E22" s="876">
        <f t="shared" si="4"/>
        <v>-132.91652782883537</v>
      </c>
      <c r="F22" s="876">
        <f t="shared" si="4"/>
        <v>-141.61680757450355</v>
      </c>
      <c r="G22" s="876">
        <f t="shared" si="4"/>
        <v>-150.36783895202149</v>
      </c>
      <c r="H22" s="876">
        <f t="shared" si="4"/>
        <v>-159.16991801257495</v>
      </c>
      <c r="I22" s="876">
        <f t="shared" si="4"/>
        <v>-168.02334253431496</v>
      </c>
      <c r="J22" s="876">
        <f t="shared" si="4"/>
        <v>-176.92841203243182</v>
      </c>
      <c r="K22" s="876">
        <f t="shared" si="4"/>
        <v>-185.88542776928767</v>
      </c>
      <c r="L22" s="876">
        <f t="shared" si="4"/>
        <v>-194.89469276460852</v>
      </c>
      <c r="M22" s="876">
        <f t="shared" si="4"/>
        <v>-203.9565118057354</v>
      </c>
      <c r="N22" s="876">
        <f>SUM(B22:M22)</f>
        <v>-1860.8104958238205</v>
      </c>
    </row>
    <row r="23" spans="1:14" s="845" customFormat="1" ht="16.149999999999999" customHeight="1" x14ac:dyDescent="0.2">
      <c r="A23" s="880"/>
      <c r="B23" s="883"/>
      <c r="C23" s="883"/>
      <c r="D23" s="883"/>
      <c r="E23" s="883"/>
      <c r="F23" s="883"/>
      <c r="G23" s="883"/>
      <c r="H23" s="883"/>
      <c r="I23" s="883"/>
      <c r="J23" s="883"/>
      <c r="K23" s="883"/>
      <c r="L23" s="883"/>
      <c r="M23" s="883"/>
      <c r="N23" s="883"/>
    </row>
    <row r="24" spans="1:14" s="845" customFormat="1" ht="16.149999999999999" customHeight="1" x14ac:dyDescent="0.2">
      <c r="A24" s="880" t="s">
        <v>744</v>
      </c>
      <c r="B24" s="876">
        <f t="shared" ref="B24:M24" si="5">B18+B22</f>
        <v>-1465.67726356563</v>
      </c>
      <c r="C24" s="876">
        <f t="shared" si="5"/>
        <v>-1474.2270476030963</v>
      </c>
      <c r="D24" s="876">
        <f t="shared" si="5"/>
        <v>-1482.826705380781</v>
      </c>
      <c r="E24" s="876">
        <f t="shared" si="5"/>
        <v>-1491.4765278288355</v>
      </c>
      <c r="F24" s="876">
        <f t="shared" si="5"/>
        <v>-1500.1768075745038</v>
      </c>
      <c r="G24" s="876">
        <f t="shared" si="5"/>
        <v>-1508.9278389520216</v>
      </c>
      <c r="H24" s="876">
        <f t="shared" si="5"/>
        <v>-1517.7299180125751</v>
      </c>
      <c r="I24" s="876">
        <f t="shared" si="5"/>
        <v>-1526.5833425343151</v>
      </c>
      <c r="J24" s="876">
        <f t="shared" si="5"/>
        <v>-1535.4884120324321</v>
      </c>
      <c r="K24" s="876">
        <f t="shared" si="5"/>
        <v>-1544.4454277692878</v>
      </c>
      <c r="L24" s="876">
        <f t="shared" si="5"/>
        <v>-1553.4546927646088</v>
      </c>
      <c r="M24" s="876">
        <f t="shared" si="5"/>
        <v>-1562.5165118057355</v>
      </c>
      <c r="N24" s="876">
        <f>SUM(B24:M24)</f>
        <v>-18163.530495823823</v>
      </c>
    </row>
    <row r="25" spans="1:14" s="845" customFormat="1" ht="16.149999999999999" customHeight="1" x14ac:dyDescent="0.2">
      <c r="A25" s="880"/>
      <c r="B25" s="882"/>
      <c r="C25" s="882"/>
      <c r="D25" s="882"/>
      <c r="E25" s="882"/>
      <c r="F25" s="882"/>
      <c r="G25" s="882"/>
      <c r="H25" s="882"/>
      <c r="I25" s="882"/>
      <c r="J25" s="882"/>
      <c r="K25" s="882"/>
      <c r="L25" s="882"/>
      <c r="M25" s="882"/>
      <c r="N25" s="882"/>
    </row>
    <row r="26" spans="1:14" s="845" customFormat="1" ht="16.149999999999999" customHeight="1" thickBot="1" x14ac:dyDescent="0.25">
      <c r="A26" s="884" t="s">
        <v>875</v>
      </c>
      <c r="B26" s="885">
        <f>B24</f>
        <v>-1465.67726356563</v>
      </c>
      <c r="C26" s="885">
        <f t="shared" ref="C26:M26" si="6">B26+C24</f>
        <v>-2939.9043111687261</v>
      </c>
      <c r="D26" s="885">
        <f t="shared" si="6"/>
        <v>-4422.7310165495073</v>
      </c>
      <c r="E26" s="885">
        <f t="shared" si="6"/>
        <v>-5914.2075443783433</v>
      </c>
      <c r="F26" s="885">
        <f t="shared" si="6"/>
        <v>-7414.3843519528473</v>
      </c>
      <c r="G26" s="885">
        <f t="shared" si="6"/>
        <v>-8923.3121909048696</v>
      </c>
      <c r="H26" s="885">
        <f t="shared" si="6"/>
        <v>-10441.042108917445</v>
      </c>
      <c r="I26" s="885">
        <f t="shared" si="6"/>
        <v>-11967.62545145176</v>
      </c>
      <c r="J26" s="885">
        <f t="shared" si="6"/>
        <v>-13503.113863484192</v>
      </c>
      <c r="K26" s="885">
        <f t="shared" si="6"/>
        <v>-15047.559291253479</v>
      </c>
      <c r="L26" s="885">
        <f t="shared" si="6"/>
        <v>-16601.013984018089</v>
      </c>
      <c r="M26" s="885">
        <f t="shared" si="6"/>
        <v>-18163.530495823823</v>
      </c>
      <c r="N26" s="885"/>
    </row>
    <row r="27" spans="1:14" s="843" customFormat="1" ht="12" x14ac:dyDescent="0.2">
      <c r="N27" s="845"/>
    </row>
    <row r="28" spans="1:14" s="843" customFormat="1" ht="12" x14ac:dyDescent="0.2"/>
    <row r="29" spans="1:14" x14ac:dyDescent="0.25">
      <c r="N29" s="446"/>
    </row>
  </sheetData>
  <sheetProtection sheet="1" objects="1" scenarios="1" formatCells="0" formatColumns="0"/>
  <phoneticPr fontId="13" type="noConversion"/>
  <printOptions horizontalCentered="1" verticalCentered="1"/>
  <pageMargins left="0.39370078740157483" right="0.39370078740157483" top="0.59055118110236227" bottom="0.59055118110236227" header="0.31496062992125984" footer="0.31496062992125984"/>
  <pageSetup paperSize="9" scale="79" orientation="landscape" horizontalDpi="300" verticalDpi="300" r:id="rId1"/>
  <headerFooter alignWithMargins="0">
    <oddFooter>&amp;A</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18">
    <tabColor rgb="FF7CC9D0"/>
    <pageSetUpPr fitToPage="1"/>
  </sheetPr>
  <dimension ref="A1:N28"/>
  <sheetViews>
    <sheetView showGridLines="0" workbookViewId="0"/>
  </sheetViews>
  <sheetFormatPr baseColWidth="10" defaultRowHeight="15" x14ac:dyDescent="0.25"/>
  <cols>
    <col min="1" max="1" width="24.875" style="446" customWidth="1"/>
    <col min="2" max="2" width="10.5" style="446" customWidth="1"/>
    <col min="3" max="5" width="10.375" style="446" customWidth="1"/>
    <col min="6" max="13" width="10.75" style="446" customWidth="1"/>
    <col min="14" max="14" width="10.625" style="305" customWidth="1"/>
    <col min="15" max="16384" width="11" style="446"/>
  </cols>
  <sheetData>
    <row r="1" spans="1:14" ht="24.75" x14ac:dyDescent="0.4">
      <c r="A1" s="886" t="s">
        <v>451</v>
      </c>
      <c r="E1" s="305"/>
      <c r="F1" s="305"/>
      <c r="I1" s="470">
        <f>'Datos Básicos'!D17</f>
        <v>2028</v>
      </c>
      <c r="L1" s="842"/>
    </row>
    <row r="2" spans="1:14" s="843" customFormat="1" ht="27.75" x14ac:dyDescent="0.45">
      <c r="A2" s="408">
        <f>'Datos Básicos'!B8</f>
        <v>0</v>
      </c>
      <c r="C2" s="868"/>
      <c r="D2" s="450"/>
      <c r="N2" s="845"/>
    </row>
    <row r="3" spans="1:14" s="843" customFormat="1" ht="28.5" thickBot="1" x14ac:dyDescent="0.5">
      <c r="A3" s="408"/>
      <c r="C3" s="868"/>
      <c r="D3" s="450"/>
      <c r="N3" s="845"/>
    </row>
    <row r="4" spans="1:14" s="870" customFormat="1" ht="16.149999999999999" customHeight="1" thickBot="1" x14ac:dyDescent="0.3">
      <c r="A4" s="454" t="s">
        <v>889</v>
      </c>
      <c r="B4" s="869" t="str">
        <f>'Datos Gastos Fijos'!D7</f>
        <v>enero</v>
      </c>
      <c r="C4" s="869" t="str">
        <f>'Datos Gastos Fijos'!E7</f>
        <v>febrero</v>
      </c>
      <c r="D4" s="869" t="str">
        <f>'Datos Gastos Fijos'!F7</f>
        <v>marzo</v>
      </c>
      <c r="E4" s="869" t="str">
        <f>'Datos Gastos Fijos'!G7</f>
        <v>abril</v>
      </c>
      <c r="F4" s="869" t="str">
        <f>'Datos Gastos Fijos'!H7</f>
        <v>mayo</v>
      </c>
      <c r="G4" s="869" t="str">
        <f>'Datos Gastos Fijos'!I7</f>
        <v>junio</v>
      </c>
      <c r="H4" s="869" t="str">
        <f>'Datos Gastos Fijos'!J7</f>
        <v>julio</v>
      </c>
      <c r="I4" s="869" t="str">
        <f>'Datos Gastos Fijos'!K7</f>
        <v>agosto</v>
      </c>
      <c r="J4" s="869" t="str">
        <f>'Datos Gastos Fijos'!L7</f>
        <v>septiembre</v>
      </c>
      <c r="K4" s="869" t="str">
        <f>'Datos Gastos Fijos'!M7</f>
        <v>octubre</v>
      </c>
      <c r="L4" s="869" t="str">
        <f>'Datos Gastos Fijos'!N7</f>
        <v>noviembre</v>
      </c>
      <c r="M4" s="869" t="str">
        <f>'Datos Gastos Fijos'!O7</f>
        <v>diciembre</v>
      </c>
      <c r="N4" s="869" t="s">
        <v>860</v>
      </c>
    </row>
    <row r="5" spans="1:14" s="845" customFormat="1" ht="16.149999999999999" customHeight="1" x14ac:dyDescent="0.2">
      <c r="A5" s="871" t="s">
        <v>741</v>
      </c>
      <c r="B5" s="872">
        <f>'Prev.Ventas 2'!B25</f>
        <v>0</v>
      </c>
      <c r="C5" s="872">
        <f>'Prev.Ventas 2'!C25</f>
        <v>0</v>
      </c>
      <c r="D5" s="872">
        <f>'Prev.Ventas 2'!D25</f>
        <v>0</v>
      </c>
      <c r="E5" s="872">
        <f>'Prev.Ventas 2'!E25</f>
        <v>0</v>
      </c>
      <c r="F5" s="872">
        <f>'Prev.Ventas 2'!F25</f>
        <v>0</v>
      </c>
      <c r="G5" s="872">
        <f>'Prev.Ventas 2'!G25</f>
        <v>0</v>
      </c>
      <c r="H5" s="872">
        <f>'Prev.Ventas 2'!H25</f>
        <v>0</v>
      </c>
      <c r="I5" s="872">
        <f>'Prev.Ventas 2'!I25</f>
        <v>0</v>
      </c>
      <c r="J5" s="872">
        <f>'Prev.Ventas 2'!J25</f>
        <v>0</v>
      </c>
      <c r="K5" s="872">
        <f>'Prev.Ventas 2'!K25</f>
        <v>0</v>
      </c>
      <c r="L5" s="872">
        <f>'Prev.Ventas 2'!L25</f>
        <v>0</v>
      </c>
      <c r="M5" s="872">
        <f>'Prev.Ventas 2'!M25</f>
        <v>0</v>
      </c>
      <c r="N5" s="873">
        <f>SUM(B5:M5)</f>
        <v>0</v>
      </c>
    </row>
    <row r="6" spans="1:14" s="845" customFormat="1" ht="16.149999999999999" customHeight="1" x14ac:dyDescent="0.2">
      <c r="A6" s="874" t="s">
        <v>742</v>
      </c>
      <c r="B6" s="875">
        <f>IF('Financiación Inicial'!$F$35&gt;2,'Financiación Inicial'!$F$34/'Financiación Inicial'!$F$35/12,0)</f>
        <v>0</v>
      </c>
      <c r="C6" s="875">
        <f>IF('Financiación Inicial'!$F$35&gt;2,'Financiación Inicial'!$F$34/'Financiación Inicial'!$F$35/12,0)</f>
        <v>0</v>
      </c>
      <c r="D6" s="875">
        <f>IF('Financiación Inicial'!$F$35&gt;2,'Financiación Inicial'!$F$34/'Financiación Inicial'!$F$35/12,0)</f>
        <v>0</v>
      </c>
      <c r="E6" s="875">
        <f>IF('Financiación Inicial'!$F$35&gt;2,'Financiación Inicial'!$F$34/'Financiación Inicial'!$F$35/12,0)</f>
        <v>0</v>
      </c>
      <c r="F6" s="875">
        <f>IF('Financiación Inicial'!$F$35&gt;2,'Financiación Inicial'!$F$34/'Financiación Inicial'!$F$35/12,0)</f>
        <v>0</v>
      </c>
      <c r="G6" s="875">
        <f>IF('Financiación Inicial'!$F$35&gt;2,'Financiación Inicial'!$F$34/'Financiación Inicial'!$F$35/12,0)</f>
        <v>0</v>
      </c>
      <c r="H6" s="875">
        <f>IF('Financiación Inicial'!$F$35&gt;2,'Financiación Inicial'!$F$34/'Financiación Inicial'!$F$35/12,0)</f>
        <v>0</v>
      </c>
      <c r="I6" s="875">
        <f>IF('Financiación Inicial'!$F$35&gt;2,'Financiación Inicial'!$F$34/'Financiación Inicial'!$F$35/12,0)</f>
        <v>0</v>
      </c>
      <c r="J6" s="875">
        <f>IF('Financiación Inicial'!$F$35&gt;2,'Financiación Inicial'!$F$34/'Financiación Inicial'!$F$35/12,0)</f>
        <v>0</v>
      </c>
      <c r="K6" s="875">
        <f>IF('Financiación Inicial'!$F$35&gt;2,'Financiación Inicial'!$F$34/'Financiación Inicial'!$F$35/12,0)</f>
        <v>0</v>
      </c>
      <c r="L6" s="875">
        <f>IF('Financiación Inicial'!$F$35&gt;2,'Financiación Inicial'!$F$34/'Financiación Inicial'!$F$35/12,0)</f>
        <v>0</v>
      </c>
      <c r="M6" s="875">
        <f>IF('Financiación Inicial'!$F$35&gt;2,'Financiación Inicial'!$F$34/'Financiación Inicial'!$F$35/12,0)</f>
        <v>0</v>
      </c>
      <c r="N6" s="876">
        <f>SUM(B6:M6)</f>
        <v>0</v>
      </c>
    </row>
    <row r="7" spans="1:14" s="845" customFormat="1" ht="16.149999999999999" customHeight="1" x14ac:dyDescent="0.2">
      <c r="A7" s="877" t="s">
        <v>787</v>
      </c>
      <c r="B7" s="873">
        <f t="shared" ref="B7:M7" si="0">B5+B6</f>
        <v>0</v>
      </c>
      <c r="C7" s="873">
        <f t="shared" si="0"/>
        <v>0</v>
      </c>
      <c r="D7" s="873">
        <f t="shared" si="0"/>
        <v>0</v>
      </c>
      <c r="E7" s="873">
        <f t="shared" si="0"/>
        <v>0</v>
      </c>
      <c r="F7" s="873">
        <f t="shared" si="0"/>
        <v>0</v>
      </c>
      <c r="G7" s="873">
        <f t="shared" si="0"/>
        <v>0</v>
      </c>
      <c r="H7" s="873">
        <f t="shared" si="0"/>
        <v>0</v>
      </c>
      <c r="I7" s="873">
        <f t="shared" si="0"/>
        <v>0</v>
      </c>
      <c r="J7" s="873">
        <f t="shared" si="0"/>
        <v>0</v>
      </c>
      <c r="K7" s="873">
        <f t="shared" si="0"/>
        <v>0</v>
      </c>
      <c r="L7" s="873">
        <f t="shared" si="0"/>
        <v>0</v>
      </c>
      <c r="M7" s="873">
        <f t="shared" si="0"/>
        <v>0</v>
      </c>
      <c r="N7" s="873">
        <f>SUM(B7:M7)</f>
        <v>0</v>
      </c>
    </row>
    <row r="8" spans="1:14" s="845" customFormat="1" ht="16.149999999999999" customHeight="1" x14ac:dyDescent="0.2">
      <c r="A8" s="878"/>
      <c r="B8" s="873"/>
      <c r="C8" s="873"/>
      <c r="D8" s="873"/>
      <c r="E8" s="873"/>
      <c r="F8" s="873"/>
      <c r="G8" s="873"/>
      <c r="H8" s="873"/>
      <c r="I8" s="873"/>
      <c r="J8" s="873"/>
      <c r="K8" s="873"/>
      <c r="L8" s="873"/>
      <c r="M8" s="873"/>
      <c r="N8" s="873"/>
    </row>
    <row r="9" spans="1:14" s="843" customFormat="1" ht="16.149999999999999" customHeight="1" x14ac:dyDescent="0.2">
      <c r="A9" s="879" t="s">
        <v>717</v>
      </c>
      <c r="B9" s="872">
        <f>'Prev.Ventas 2'!B39</f>
        <v>0</v>
      </c>
      <c r="C9" s="872">
        <f>'Prev.Ventas 2'!C39</f>
        <v>0</v>
      </c>
      <c r="D9" s="872">
        <f>'Prev.Ventas 2'!D39</f>
        <v>0</v>
      </c>
      <c r="E9" s="872">
        <f>'Prev.Ventas 2'!E39</f>
        <v>0</v>
      </c>
      <c r="F9" s="872">
        <f>'Prev.Ventas 2'!F39</f>
        <v>0</v>
      </c>
      <c r="G9" s="872">
        <f>'Prev.Ventas 2'!G39</f>
        <v>0</v>
      </c>
      <c r="H9" s="872">
        <f>'Prev.Ventas 2'!H39</f>
        <v>0</v>
      </c>
      <c r="I9" s="872">
        <f>'Prev.Ventas 2'!I39</f>
        <v>0</v>
      </c>
      <c r="J9" s="872">
        <f>'Prev.Ventas 2'!J39</f>
        <v>0</v>
      </c>
      <c r="K9" s="872">
        <f>'Prev.Ventas 2'!K39</f>
        <v>0</v>
      </c>
      <c r="L9" s="872">
        <f>'Prev.Ventas 2'!L39</f>
        <v>0</v>
      </c>
      <c r="M9" s="872">
        <f>'Prev.Ventas 2'!M39</f>
        <v>0</v>
      </c>
      <c r="N9" s="873">
        <f>SUM(B9:M9)</f>
        <v>0</v>
      </c>
    </row>
    <row r="10" spans="1:14" s="845" customFormat="1" ht="16.149999999999999" customHeight="1" x14ac:dyDescent="0.2">
      <c r="A10" s="880" t="s">
        <v>866</v>
      </c>
      <c r="B10" s="873">
        <f t="shared" ref="B10:M10" si="1">B7-B9</f>
        <v>0</v>
      </c>
      <c r="C10" s="873">
        <f t="shared" si="1"/>
        <v>0</v>
      </c>
      <c r="D10" s="873">
        <f t="shared" si="1"/>
        <v>0</v>
      </c>
      <c r="E10" s="873">
        <f t="shared" si="1"/>
        <v>0</v>
      </c>
      <c r="F10" s="873">
        <f t="shared" si="1"/>
        <v>0</v>
      </c>
      <c r="G10" s="873">
        <f t="shared" si="1"/>
        <v>0</v>
      </c>
      <c r="H10" s="873">
        <f t="shared" si="1"/>
        <v>0</v>
      </c>
      <c r="I10" s="873">
        <f t="shared" si="1"/>
        <v>0</v>
      </c>
      <c r="J10" s="873">
        <f t="shared" si="1"/>
        <v>0</v>
      </c>
      <c r="K10" s="873">
        <f t="shared" si="1"/>
        <v>0</v>
      </c>
      <c r="L10" s="873">
        <f t="shared" si="1"/>
        <v>0</v>
      </c>
      <c r="M10" s="873">
        <f t="shared" si="1"/>
        <v>0</v>
      </c>
      <c r="N10" s="873">
        <f>SUM(B10:M10)</f>
        <v>0</v>
      </c>
    </row>
    <row r="11" spans="1:14" s="845" customFormat="1" ht="16.149999999999999" customHeight="1" x14ac:dyDescent="0.2">
      <c r="A11" s="881"/>
      <c r="B11" s="882"/>
      <c r="C11" s="882"/>
      <c r="D11" s="882"/>
      <c r="E11" s="882"/>
      <c r="F11" s="882"/>
      <c r="G11" s="882"/>
      <c r="H11" s="882"/>
      <c r="I11" s="882"/>
      <c r="J11" s="882"/>
      <c r="K11" s="882"/>
      <c r="L11" s="882"/>
      <c r="M11" s="882"/>
      <c r="N11" s="882"/>
    </row>
    <row r="12" spans="1:14" s="843" customFormat="1" ht="16.149999999999999" customHeight="1" x14ac:dyDescent="0.2">
      <c r="A12" s="879" t="s">
        <v>697</v>
      </c>
      <c r="B12" s="872">
        <f>'G.F. 2'!C24-B13</f>
        <v>1320.6336000000001</v>
      </c>
      <c r="C12" s="872">
        <f>'G.F. 2'!D24-C13</f>
        <v>1320.6336000000001</v>
      </c>
      <c r="D12" s="872">
        <f>'G.F. 2'!E24-D13</f>
        <v>1320.6336000000001</v>
      </c>
      <c r="E12" s="872">
        <f>'G.F. 2'!F24-E13</f>
        <v>1320.6336000000001</v>
      </c>
      <c r="F12" s="872">
        <f>'G.F. 2'!G24-F13</f>
        <v>1320.6336000000001</v>
      </c>
      <c r="G12" s="872">
        <f>'G.F. 2'!H24-G13</f>
        <v>1320.6336000000001</v>
      </c>
      <c r="H12" s="872">
        <f>'G.F. 2'!I24-H13</f>
        <v>1320.6336000000001</v>
      </c>
      <c r="I12" s="872">
        <f>'G.F. 2'!J24-I13</f>
        <v>1320.6336000000001</v>
      </c>
      <c r="J12" s="872">
        <f>'G.F. 2'!K24-J13</f>
        <v>1320.6336000000001</v>
      </c>
      <c r="K12" s="872">
        <f>'G.F. 2'!L24-K13</f>
        <v>1320.6336000000001</v>
      </c>
      <c r="L12" s="872">
        <f>'G.F. 2'!M24-L13</f>
        <v>1320.6336000000001</v>
      </c>
      <c r="M12" s="872">
        <f>'G.F. 2'!N24-M13</f>
        <v>1320.6336000000001</v>
      </c>
      <c r="N12" s="873">
        <f>SUM(B12:M12)</f>
        <v>15847.603200000005</v>
      </c>
    </row>
    <row r="13" spans="1:14" s="843" customFormat="1" ht="16.149999999999999" customHeight="1" x14ac:dyDescent="0.2">
      <c r="A13" s="879" t="s">
        <v>119</v>
      </c>
      <c r="B13" s="872">
        <f>SUM('G.F. 2'!C18:C19)</f>
        <v>205.88</v>
      </c>
      <c r="C13" s="872">
        <f>SUM('G.F. 2'!D18:D19)</f>
        <v>205.88</v>
      </c>
      <c r="D13" s="872">
        <f>SUM('G.F. 2'!E18:E19)</f>
        <v>205.88</v>
      </c>
      <c r="E13" s="872">
        <f>SUM('G.F. 2'!F18:F19)</f>
        <v>205.88</v>
      </c>
      <c r="F13" s="872">
        <f>SUM('G.F. 2'!G18:G19)</f>
        <v>205.88</v>
      </c>
      <c r="G13" s="872">
        <f>SUM('G.F. 2'!H18:H19)</f>
        <v>205.88</v>
      </c>
      <c r="H13" s="872">
        <f>SUM('G.F. 2'!I18:I19)</f>
        <v>205.88</v>
      </c>
      <c r="I13" s="872">
        <f>SUM('G.F. 2'!J18:J19)</f>
        <v>205.88</v>
      </c>
      <c r="J13" s="872">
        <f>SUM('G.F. 2'!K18:K19)</f>
        <v>205.88</v>
      </c>
      <c r="K13" s="872">
        <f>SUM('G.F. 2'!L18:L19)</f>
        <v>205.88</v>
      </c>
      <c r="L13" s="872">
        <f>SUM('G.F. 2'!M18:M19)</f>
        <v>205.88</v>
      </c>
      <c r="M13" s="872">
        <f>SUM('G.F. 2'!N18:N19)</f>
        <v>205.88</v>
      </c>
      <c r="N13" s="873">
        <f>SUM(B13:M13)</f>
        <v>2470.5600000000009</v>
      </c>
    </row>
    <row r="14" spans="1:14" s="843" customFormat="1" ht="16.149999999999999" customHeight="1" x14ac:dyDescent="0.2">
      <c r="A14" s="879" t="s">
        <v>90</v>
      </c>
      <c r="B14" s="872">
        <f>'G.F. 2'!C46+'IVA 2'!C13</f>
        <v>0</v>
      </c>
      <c r="C14" s="872">
        <f>'G.F. 2'!D46+'IVA 2'!D13</f>
        <v>0</v>
      </c>
      <c r="D14" s="872">
        <f>'G.F. 2'!E46+'IVA 2'!E13</f>
        <v>0</v>
      </c>
      <c r="E14" s="872">
        <f>'G.F. 2'!F46+'IVA 2'!F13</f>
        <v>0</v>
      </c>
      <c r="F14" s="872">
        <f>'G.F. 2'!G46+'IVA 2'!G13</f>
        <v>0</v>
      </c>
      <c r="G14" s="872">
        <f>'G.F. 2'!H46+'IVA 2'!H13</f>
        <v>0</v>
      </c>
      <c r="H14" s="872">
        <f>'G.F. 2'!I46+'IVA 2'!I13</f>
        <v>0</v>
      </c>
      <c r="I14" s="872">
        <f>'G.F. 2'!J46+'IVA 2'!J13</f>
        <v>0</v>
      </c>
      <c r="J14" s="872">
        <f>'G.F. 2'!K46+'IVA 2'!K13</f>
        <v>0</v>
      </c>
      <c r="K14" s="872">
        <f>'G.F. 2'!L46+'IVA 2'!L13</f>
        <v>0</v>
      </c>
      <c r="L14" s="872">
        <f>'G.F. 2'!M46+'IVA 2'!M13</f>
        <v>0</v>
      </c>
      <c r="M14" s="872">
        <f>'G.F. 2'!N46+'IVA 2'!N13</f>
        <v>0</v>
      </c>
      <c r="N14" s="873">
        <f>SUM(B14:M14)</f>
        <v>0</v>
      </c>
    </row>
    <row r="15" spans="1:14" s="843" customFormat="1" ht="16.149999999999999" customHeight="1" x14ac:dyDescent="0.2">
      <c r="A15" s="879" t="s">
        <v>870</v>
      </c>
      <c r="B15" s="872">
        <f>Amortizaciones!$H$21/12</f>
        <v>0</v>
      </c>
      <c r="C15" s="872">
        <f>Amortizaciones!$H$21/12</f>
        <v>0</v>
      </c>
      <c r="D15" s="872">
        <f>Amortizaciones!$H$21/12</f>
        <v>0</v>
      </c>
      <c r="E15" s="872">
        <f>Amortizaciones!$H$21/12</f>
        <v>0</v>
      </c>
      <c r="F15" s="872">
        <f>Amortizaciones!$H$21/12</f>
        <v>0</v>
      </c>
      <c r="G15" s="872">
        <f>Amortizaciones!$H$21/12</f>
        <v>0</v>
      </c>
      <c r="H15" s="872">
        <f>Amortizaciones!$H$21/12</f>
        <v>0</v>
      </c>
      <c r="I15" s="872">
        <f>Amortizaciones!$H$21/12</f>
        <v>0</v>
      </c>
      <c r="J15" s="872">
        <f>Amortizaciones!$H$21/12</f>
        <v>0</v>
      </c>
      <c r="K15" s="872">
        <f>Amortizaciones!$H$21/12</f>
        <v>0</v>
      </c>
      <c r="L15" s="872">
        <f>Amortizaciones!$H$21/12</f>
        <v>0</v>
      </c>
      <c r="M15" s="872">
        <f>Amortizaciones!$H$21/12</f>
        <v>0</v>
      </c>
      <c r="N15" s="873">
        <f>SUM(B15:M15)</f>
        <v>0</v>
      </c>
    </row>
    <row r="16" spans="1:14" s="845" customFormat="1" ht="16.149999999999999" customHeight="1" x14ac:dyDescent="0.2">
      <c r="A16" s="880" t="s">
        <v>871</v>
      </c>
      <c r="B16" s="873">
        <f t="shared" ref="B16:M16" si="2">SUM(B12:B15)</f>
        <v>1526.5136000000002</v>
      </c>
      <c r="C16" s="873">
        <f t="shared" si="2"/>
        <v>1526.5136000000002</v>
      </c>
      <c r="D16" s="873">
        <f t="shared" si="2"/>
        <v>1526.5136000000002</v>
      </c>
      <c r="E16" s="873">
        <f t="shared" si="2"/>
        <v>1526.5136000000002</v>
      </c>
      <c r="F16" s="873">
        <f t="shared" si="2"/>
        <v>1526.5136000000002</v>
      </c>
      <c r="G16" s="873">
        <f t="shared" si="2"/>
        <v>1526.5136000000002</v>
      </c>
      <c r="H16" s="873">
        <f t="shared" si="2"/>
        <v>1526.5136000000002</v>
      </c>
      <c r="I16" s="873">
        <f t="shared" si="2"/>
        <v>1526.5136000000002</v>
      </c>
      <c r="J16" s="873">
        <f t="shared" si="2"/>
        <v>1526.5136000000002</v>
      </c>
      <c r="K16" s="873">
        <f t="shared" si="2"/>
        <v>1526.5136000000002</v>
      </c>
      <c r="L16" s="873">
        <f t="shared" si="2"/>
        <v>1526.5136000000002</v>
      </c>
      <c r="M16" s="873">
        <f t="shared" si="2"/>
        <v>1526.5136000000002</v>
      </c>
      <c r="N16" s="873">
        <f>SUM(B16:M16)</f>
        <v>18318.163200000003</v>
      </c>
    </row>
    <row r="17" spans="1:14" s="845" customFormat="1" ht="16.149999999999999" customHeight="1" x14ac:dyDescent="0.2">
      <c r="A17" s="880"/>
      <c r="B17" s="882"/>
      <c r="C17" s="882"/>
      <c r="D17" s="882"/>
      <c r="E17" s="882"/>
      <c r="F17" s="882"/>
      <c r="G17" s="882"/>
      <c r="H17" s="882"/>
      <c r="I17" s="882"/>
      <c r="J17" s="882"/>
      <c r="K17" s="882"/>
      <c r="L17" s="882"/>
      <c r="M17" s="882"/>
      <c r="N17" s="882"/>
    </row>
    <row r="18" spans="1:14" s="845" customFormat="1" ht="16.149999999999999" customHeight="1" x14ac:dyDescent="0.2">
      <c r="A18" s="880" t="s">
        <v>786</v>
      </c>
      <c r="B18" s="876">
        <f t="shared" ref="B18:M18" si="3">B10-B16</f>
        <v>-1526.5136000000002</v>
      </c>
      <c r="C18" s="876">
        <f t="shared" si="3"/>
        <v>-1526.5136000000002</v>
      </c>
      <c r="D18" s="876">
        <f t="shared" si="3"/>
        <v>-1526.5136000000002</v>
      </c>
      <c r="E18" s="876">
        <f t="shared" si="3"/>
        <v>-1526.5136000000002</v>
      </c>
      <c r="F18" s="876">
        <f t="shared" si="3"/>
        <v>-1526.5136000000002</v>
      </c>
      <c r="G18" s="876">
        <f t="shared" si="3"/>
        <v>-1526.5136000000002</v>
      </c>
      <c r="H18" s="876">
        <f t="shared" si="3"/>
        <v>-1526.5136000000002</v>
      </c>
      <c r="I18" s="876">
        <f t="shared" si="3"/>
        <v>-1526.5136000000002</v>
      </c>
      <c r="J18" s="876">
        <f t="shared" si="3"/>
        <v>-1526.5136000000002</v>
      </c>
      <c r="K18" s="876">
        <f t="shared" si="3"/>
        <v>-1526.5136000000002</v>
      </c>
      <c r="L18" s="876">
        <f t="shared" si="3"/>
        <v>-1526.5136000000002</v>
      </c>
      <c r="M18" s="876">
        <f t="shared" si="3"/>
        <v>-1526.5136000000002</v>
      </c>
      <c r="N18" s="876">
        <f>SUM(B18:M18)</f>
        <v>-18318.163200000003</v>
      </c>
    </row>
    <row r="19" spans="1:14" s="845" customFormat="1" ht="16.149999999999999" customHeight="1" x14ac:dyDescent="0.2">
      <c r="A19" s="880"/>
      <c r="B19" s="882"/>
      <c r="C19" s="882"/>
      <c r="D19" s="882"/>
      <c r="E19" s="882"/>
      <c r="F19" s="882"/>
      <c r="G19" s="882"/>
      <c r="H19" s="882"/>
      <c r="I19" s="882"/>
      <c r="J19" s="882"/>
      <c r="K19" s="882"/>
      <c r="L19" s="882"/>
      <c r="M19" s="882"/>
      <c r="N19" s="882"/>
    </row>
    <row r="20" spans="1:14" s="843" customFormat="1" ht="16.149999999999999" customHeight="1" x14ac:dyDescent="0.2">
      <c r="A20" s="879" t="s">
        <v>872</v>
      </c>
      <c r="B20" s="872">
        <f>'Gastos Financieros'!C69</f>
        <v>0</v>
      </c>
      <c r="C20" s="872">
        <f>'Gastos Financieros'!D69</f>
        <v>0</v>
      </c>
      <c r="D20" s="872">
        <f>'Gastos Financieros'!E69</f>
        <v>0</v>
      </c>
      <c r="E20" s="872">
        <f>'Gastos Financieros'!F69</f>
        <v>0</v>
      </c>
      <c r="F20" s="872">
        <f>'Gastos Financieros'!G69</f>
        <v>0</v>
      </c>
      <c r="G20" s="872">
        <f>'Gastos Financieros'!H69</f>
        <v>0</v>
      </c>
      <c r="H20" s="872">
        <f>'Gastos Financieros'!I69</f>
        <v>0</v>
      </c>
      <c r="I20" s="872">
        <f>'Gastos Financieros'!J69</f>
        <v>0</v>
      </c>
      <c r="J20" s="872">
        <f>'Gastos Financieros'!K69</f>
        <v>0</v>
      </c>
      <c r="K20" s="872">
        <f>'Gastos Financieros'!L69</f>
        <v>0</v>
      </c>
      <c r="L20" s="872">
        <f>'Gastos Financieros'!M69</f>
        <v>0</v>
      </c>
      <c r="M20" s="872">
        <f>'Gastos Financieros'!N69</f>
        <v>0</v>
      </c>
      <c r="N20" s="873">
        <f>SUM(B20:M20)</f>
        <v>0</v>
      </c>
    </row>
    <row r="21" spans="1:14" s="843" customFormat="1" ht="16.149999999999999" customHeight="1" x14ac:dyDescent="0.2">
      <c r="A21" s="879" t="s">
        <v>873</v>
      </c>
      <c r="B21" s="872">
        <f>'Gastos Financieros'!C33</f>
        <v>213.07119145793553</v>
      </c>
      <c r="C21" s="872">
        <f>'Gastos Financieros'!D33</f>
        <v>223.21876940810679</v>
      </c>
      <c r="D21" s="872">
        <f>'Gastos Financieros'!E33</f>
        <v>233.42554156298743</v>
      </c>
      <c r="E21" s="872">
        <f>'Gastos Financieros'!F33</f>
        <v>243.69185322210484</v>
      </c>
      <c r="F21" s="872">
        <f>'Gastos Financieros'!G33</f>
        <v>254.01805169923381</v>
      </c>
      <c r="G21" s="872">
        <f>'Gastos Financieros'!H33</f>
        <v>264.40448633414599</v>
      </c>
      <c r="H21" s="872">
        <f>'Gastos Financieros'!I33</f>
        <v>274.85150850442852</v>
      </c>
      <c r="I21" s="872">
        <f>'Gastos Financieros'!J33</f>
        <v>285.35947163737103</v>
      </c>
      <c r="J21" s="872">
        <f>'Gastos Financieros'!K33</f>
        <v>295.92873122192231</v>
      </c>
      <c r="K21" s="872">
        <f>'Gastos Financieros'!L33</f>
        <v>306.55964482071687</v>
      </c>
      <c r="L21" s="872">
        <f>'Gastos Financieros'!M33</f>
        <v>317.25257208217107</v>
      </c>
      <c r="M21" s="872">
        <f>'Gastos Financieros'!N33</f>
        <v>328.00787475265042</v>
      </c>
      <c r="N21" s="873">
        <f>SUM(B21:M21)</f>
        <v>3239.7896967037746</v>
      </c>
    </row>
    <row r="22" spans="1:14" s="845" customFormat="1" ht="16.149999999999999" customHeight="1" x14ac:dyDescent="0.2">
      <c r="A22" s="880" t="s">
        <v>874</v>
      </c>
      <c r="B22" s="876">
        <f t="shared" ref="B22:M22" si="4">B20-B21</f>
        <v>-213.07119145793553</v>
      </c>
      <c r="C22" s="876">
        <f t="shared" si="4"/>
        <v>-223.21876940810679</v>
      </c>
      <c r="D22" s="876">
        <f t="shared" si="4"/>
        <v>-233.42554156298743</v>
      </c>
      <c r="E22" s="876">
        <f t="shared" si="4"/>
        <v>-243.69185322210484</v>
      </c>
      <c r="F22" s="876">
        <f t="shared" si="4"/>
        <v>-254.01805169923381</v>
      </c>
      <c r="G22" s="876">
        <f t="shared" si="4"/>
        <v>-264.40448633414599</v>
      </c>
      <c r="H22" s="876">
        <f t="shared" si="4"/>
        <v>-274.85150850442852</v>
      </c>
      <c r="I22" s="876">
        <f t="shared" si="4"/>
        <v>-285.35947163737103</v>
      </c>
      <c r="J22" s="876">
        <f t="shared" si="4"/>
        <v>-295.92873122192231</v>
      </c>
      <c r="K22" s="876">
        <f t="shared" si="4"/>
        <v>-306.55964482071687</v>
      </c>
      <c r="L22" s="876">
        <f t="shared" si="4"/>
        <v>-317.25257208217107</v>
      </c>
      <c r="M22" s="876">
        <f t="shared" si="4"/>
        <v>-328.00787475265042</v>
      </c>
      <c r="N22" s="876">
        <f>SUM(B22:M22)</f>
        <v>-3239.7896967037746</v>
      </c>
    </row>
    <row r="23" spans="1:14" s="845" customFormat="1" ht="16.149999999999999" customHeight="1" x14ac:dyDescent="0.2">
      <c r="A23" s="880"/>
      <c r="B23" s="883"/>
      <c r="C23" s="883"/>
      <c r="D23" s="883"/>
      <c r="E23" s="883"/>
      <c r="F23" s="883"/>
      <c r="G23" s="883"/>
      <c r="H23" s="883"/>
      <c r="I23" s="883"/>
      <c r="J23" s="883"/>
      <c r="K23" s="883"/>
      <c r="L23" s="883"/>
      <c r="M23" s="883"/>
      <c r="N23" s="883"/>
    </row>
    <row r="24" spans="1:14" s="845" customFormat="1" ht="16.149999999999999" customHeight="1" x14ac:dyDescent="0.2">
      <c r="A24" s="880" t="s">
        <v>744</v>
      </c>
      <c r="B24" s="876">
        <f t="shared" ref="B24:M24" si="5">B18+B22</f>
        <v>-1739.5847914579358</v>
      </c>
      <c r="C24" s="876">
        <f t="shared" si="5"/>
        <v>-1749.7323694081069</v>
      </c>
      <c r="D24" s="876">
        <f t="shared" si="5"/>
        <v>-1759.9391415629877</v>
      </c>
      <c r="E24" s="876">
        <f t="shared" si="5"/>
        <v>-1770.205453222105</v>
      </c>
      <c r="F24" s="876">
        <f t="shared" si="5"/>
        <v>-1780.5316516992341</v>
      </c>
      <c r="G24" s="876">
        <f t="shared" si="5"/>
        <v>-1790.9180863341462</v>
      </c>
      <c r="H24" s="876">
        <f t="shared" si="5"/>
        <v>-1801.3651085044287</v>
      </c>
      <c r="I24" s="876">
        <f t="shared" si="5"/>
        <v>-1811.8730716373711</v>
      </c>
      <c r="J24" s="876">
        <f t="shared" si="5"/>
        <v>-1822.4423312219226</v>
      </c>
      <c r="K24" s="876">
        <f t="shared" si="5"/>
        <v>-1833.073244820717</v>
      </c>
      <c r="L24" s="876">
        <f t="shared" si="5"/>
        <v>-1843.7661720821714</v>
      </c>
      <c r="M24" s="876">
        <f t="shared" si="5"/>
        <v>-1854.5214747526506</v>
      </c>
      <c r="N24" s="876">
        <f>SUM(B24:M24)</f>
        <v>-21557.952896703777</v>
      </c>
    </row>
    <row r="25" spans="1:14" s="845" customFormat="1" ht="16.149999999999999" customHeight="1" x14ac:dyDescent="0.2">
      <c r="A25" s="880"/>
      <c r="B25" s="882"/>
      <c r="C25" s="882"/>
      <c r="D25" s="882"/>
      <c r="E25" s="882"/>
      <c r="F25" s="882"/>
      <c r="G25" s="882"/>
      <c r="H25" s="882"/>
      <c r="I25" s="882"/>
      <c r="J25" s="882"/>
      <c r="K25" s="882"/>
      <c r="L25" s="882"/>
      <c r="M25" s="882"/>
      <c r="N25" s="882"/>
    </row>
    <row r="26" spans="1:14" s="845" customFormat="1" ht="16.149999999999999" customHeight="1" thickBot="1" x14ac:dyDescent="0.25">
      <c r="A26" s="884" t="s">
        <v>875</v>
      </c>
      <c r="B26" s="885">
        <f>B24</f>
        <v>-1739.5847914579358</v>
      </c>
      <c r="C26" s="885">
        <f t="shared" ref="C26:M26" si="6">B26+C24</f>
        <v>-3489.3171608660427</v>
      </c>
      <c r="D26" s="885">
        <f t="shared" si="6"/>
        <v>-5249.2563024290303</v>
      </c>
      <c r="E26" s="885">
        <f t="shared" si="6"/>
        <v>-7019.4617556511348</v>
      </c>
      <c r="F26" s="885">
        <f t="shared" si="6"/>
        <v>-8799.9934073503682</v>
      </c>
      <c r="G26" s="885">
        <f t="shared" si="6"/>
        <v>-10590.911493684514</v>
      </c>
      <c r="H26" s="885">
        <f t="shared" si="6"/>
        <v>-12392.276602188944</v>
      </c>
      <c r="I26" s="885">
        <f t="shared" si="6"/>
        <v>-14204.149673826316</v>
      </c>
      <c r="J26" s="885">
        <f t="shared" si="6"/>
        <v>-16026.592005048238</v>
      </c>
      <c r="K26" s="885">
        <f t="shared" si="6"/>
        <v>-17859.665249868955</v>
      </c>
      <c r="L26" s="885">
        <f t="shared" si="6"/>
        <v>-19703.431421951125</v>
      </c>
      <c r="M26" s="885">
        <f t="shared" si="6"/>
        <v>-21557.952896703777</v>
      </c>
      <c r="N26" s="885"/>
    </row>
    <row r="27" spans="1:14" s="843" customFormat="1" ht="12" x14ac:dyDescent="0.2">
      <c r="N27" s="845"/>
    </row>
    <row r="28" spans="1:14" s="843" customFormat="1" x14ac:dyDescent="0.25">
      <c r="L28" s="446"/>
      <c r="M28" s="446"/>
      <c r="N28" s="305"/>
    </row>
  </sheetData>
  <sheetProtection sheet="1" objects="1" scenarios="1" formatCells="0" formatColumns="0"/>
  <phoneticPr fontId="13" type="noConversion"/>
  <printOptions horizontalCentered="1" verticalCentered="1"/>
  <pageMargins left="0.39370078740157483" right="0.39370078740157483" top="0.41" bottom="0.59055118110236227" header="0.31496062992125984" footer="0.31496062992125984"/>
  <pageSetup paperSize="9" scale="80" orientation="landscape" horizontalDpi="300" verticalDpi="300" r:id="rId1"/>
  <headerFooter alignWithMargins="0">
    <oddFooter>&amp;A</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43">
    <tabColor rgb="FF7CC9D0"/>
    <pageSetUpPr fitToPage="1"/>
  </sheetPr>
  <dimension ref="A1:N28"/>
  <sheetViews>
    <sheetView showGridLines="0" workbookViewId="0"/>
  </sheetViews>
  <sheetFormatPr baseColWidth="10" defaultRowHeight="15" x14ac:dyDescent="0.25"/>
  <cols>
    <col min="1" max="1" width="24.875" style="446" customWidth="1"/>
    <col min="2" max="2" width="10.5" style="446" customWidth="1"/>
    <col min="3" max="5" width="10.375" style="446" customWidth="1"/>
    <col min="6" max="13" width="10.75" style="446" customWidth="1"/>
    <col min="14" max="14" width="10.625" style="305" customWidth="1"/>
    <col min="15" max="16384" width="11" style="446"/>
  </cols>
  <sheetData>
    <row r="1" spans="1:14" ht="24.75" x14ac:dyDescent="0.4">
      <c r="A1" s="886" t="s">
        <v>451</v>
      </c>
      <c r="E1" s="305"/>
      <c r="F1" s="305"/>
      <c r="I1" s="470">
        <f>'Datos Básicos'!D17+1</f>
        <v>2029</v>
      </c>
      <c r="L1" s="842"/>
    </row>
    <row r="2" spans="1:14" s="843" customFormat="1" ht="27.75" x14ac:dyDescent="0.45">
      <c r="A2" s="408">
        <f>'Datos Básicos'!B8</f>
        <v>0</v>
      </c>
      <c r="C2" s="868"/>
      <c r="D2" s="450"/>
      <c r="N2" s="845"/>
    </row>
    <row r="3" spans="1:14" s="843" customFormat="1" ht="28.5" thickBot="1" x14ac:dyDescent="0.5">
      <c r="A3" s="408"/>
      <c r="C3" s="868"/>
      <c r="D3" s="450"/>
      <c r="N3" s="845"/>
    </row>
    <row r="4" spans="1:14" s="870" customFormat="1" ht="16.149999999999999" customHeight="1" thickBot="1" x14ac:dyDescent="0.3">
      <c r="A4" s="454" t="s">
        <v>889</v>
      </c>
      <c r="B4" s="869" t="str">
        <f>'Datos Gastos Fijos'!D7</f>
        <v>enero</v>
      </c>
      <c r="C4" s="869" t="str">
        <f>'Datos Gastos Fijos'!E7</f>
        <v>febrero</v>
      </c>
      <c r="D4" s="869" t="str">
        <f>'Datos Gastos Fijos'!F7</f>
        <v>marzo</v>
      </c>
      <c r="E4" s="869" t="str">
        <f>'Datos Gastos Fijos'!G7</f>
        <v>abril</v>
      </c>
      <c r="F4" s="869" t="str">
        <f>'Datos Gastos Fijos'!H7</f>
        <v>mayo</v>
      </c>
      <c r="G4" s="869" t="str">
        <f>'Datos Gastos Fijos'!I7</f>
        <v>junio</v>
      </c>
      <c r="H4" s="869" t="str">
        <f>'Datos Gastos Fijos'!J7</f>
        <v>julio</v>
      </c>
      <c r="I4" s="869" t="str">
        <f>'Datos Gastos Fijos'!K7</f>
        <v>agosto</v>
      </c>
      <c r="J4" s="869" t="str">
        <f>'Datos Gastos Fijos'!L7</f>
        <v>septiembre</v>
      </c>
      <c r="K4" s="869" t="str">
        <f>'Datos Gastos Fijos'!M7</f>
        <v>octubre</v>
      </c>
      <c r="L4" s="869" t="str">
        <f>'Datos Gastos Fijos'!N7</f>
        <v>noviembre</v>
      </c>
      <c r="M4" s="869" t="str">
        <f>'Datos Gastos Fijos'!O7</f>
        <v>diciembre</v>
      </c>
      <c r="N4" s="869" t="s">
        <v>860</v>
      </c>
    </row>
    <row r="5" spans="1:14" s="845" customFormat="1" ht="16.149999999999999" customHeight="1" x14ac:dyDescent="0.2">
      <c r="A5" s="871" t="s">
        <v>741</v>
      </c>
      <c r="B5" s="872">
        <f>'Prev.Ventas 3'!B25</f>
        <v>0</v>
      </c>
      <c r="C5" s="872">
        <f>'Prev.Ventas 3'!C25</f>
        <v>0</v>
      </c>
      <c r="D5" s="872">
        <f>'Prev.Ventas 3'!D25</f>
        <v>0</v>
      </c>
      <c r="E5" s="872">
        <f>'Prev.Ventas 3'!E25</f>
        <v>0</v>
      </c>
      <c r="F5" s="872">
        <f>'Prev.Ventas 3'!F25</f>
        <v>0</v>
      </c>
      <c r="G5" s="872">
        <f>'Prev.Ventas 3'!G25</f>
        <v>0</v>
      </c>
      <c r="H5" s="872">
        <f>'Prev.Ventas 3'!H25</f>
        <v>0</v>
      </c>
      <c r="I5" s="872">
        <f>'Prev.Ventas 3'!I25</f>
        <v>0</v>
      </c>
      <c r="J5" s="872">
        <f>'Prev.Ventas 3'!J25</f>
        <v>0</v>
      </c>
      <c r="K5" s="872">
        <f>'Prev.Ventas 3'!K25</f>
        <v>0</v>
      </c>
      <c r="L5" s="872">
        <f>'Prev.Ventas 3'!L25</f>
        <v>0</v>
      </c>
      <c r="M5" s="872">
        <f>'Prev.Ventas 3'!M25</f>
        <v>0</v>
      </c>
      <c r="N5" s="873">
        <f>SUM(B5:M5)</f>
        <v>0</v>
      </c>
    </row>
    <row r="6" spans="1:14" s="845" customFormat="1" ht="16.149999999999999" customHeight="1" x14ac:dyDescent="0.2">
      <c r="A6" s="874" t="s">
        <v>742</v>
      </c>
      <c r="B6" s="875">
        <f>IF('Financiación Inicial'!$F$35&gt;3,'Financiación Inicial'!$F$34/'Financiación Inicial'!$F$35/12,0)</f>
        <v>0</v>
      </c>
      <c r="C6" s="875">
        <f>IF('Financiación Inicial'!$F$35&gt;3,'Financiación Inicial'!$F$34/'Financiación Inicial'!$F$35/12,0)</f>
        <v>0</v>
      </c>
      <c r="D6" s="875">
        <f>IF('Financiación Inicial'!$F$35&gt;3,'Financiación Inicial'!$F$34/'Financiación Inicial'!$F$35/12,0)</f>
        <v>0</v>
      </c>
      <c r="E6" s="875">
        <f>IF('Financiación Inicial'!$F$35&gt;3,'Financiación Inicial'!$F$34/'Financiación Inicial'!$F$35/12,0)</f>
        <v>0</v>
      </c>
      <c r="F6" s="875">
        <f>IF('Financiación Inicial'!$F$35&gt;3,'Financiación Inicial'!$F$34/'Financiación Inicial'!$F$35/12,0)</f>
        <v>0</v>
      </c>
      <c r="G6" s="875">
        <f>IF('Financiación Inicial'!$F$35&gt;3,'Financiación Inicial'!$F$34/'Financiación Inicial'!$F$35/12,0)</f>
        <v>0</v>
      </c>
      <c r="H6" s="875">
        <f>IF('Financiación Inicial'!$F$35&gt;3,'Financiación Inicial'!$F$34/'Financiación Inicial'!$F$35/12,0)</f>
        <v>0</v>
      </c>
      <c r="I6" s="875">
        <f>IF('Financiación Inicial'!$F$35&gt;3,'Financiación Inicial'!$F$34/'Financiación Inicial'!$F$35/12,0)</f>
        <v>0</v>
      </c>
      <c r="J6" s="875">
        <f>IF('Financiación Inicial'!$F$35&gt;3,'Financiación Inicial'!$F$34/'Financiación Inicial'!$F$35/12,0)</f>
        <v>0</v>
      </c>
      <c r="K6" s="875">
        <f>IF('Financiación Inicial'!$F$35&gt;3,'Financiación Inicial'!$F$34/'Financiación Inicial'!$F$35/12,0)</f>
        <v>0</v>
      </c>
      <c r="L6" s="875">
        <f>IF('Financiación Inicial'!$F$35&gt;3,'Financiación Inicial'!$F$34/'Financiación Inicial'!$F$35/12,0)</f>
        <v>0</v>
      </c>
      <c r="M6" s="875">
        <f>IF('Financiación Inicial'!$F$35&gt;3,'Financiación Inicial'!$F$34/'Financiación Inicial'!$F$35/12,0)</f>
        <v>0</v>
      </c>
      <c r="N6" s="876">
        <f>SUM(B6:M6)</f>
        <v>0</v>
      </c>
    </row>
    <row r="7" spans="1:14" s="845" customFormat="1" ht="16.149999999999999" customHeight="1" x14ac:dyDescent="0.2">
      <c r="A7" s="877" t="s">
        <v>787</v>
      </c>
      <c r="B7" s="873">
        <f t="shared" ref="B7:M7" si="0">B5+B6</f>
        <v>0</v>
      </c>
      <c r="C7" s="873">
        <f t="shared" si="0"/>
        <v>0</v>
      </c>
      <c r="D7" s="873">
        <f t="shared" si="0"/>
        <v>0</v>
      </c>
      <c r="E7" s="873">
        <f t="shared" si="0"/>
        <v>0</v>
      </c>
      <c r="F7" s="873">
        <f t="shared" si="0"/>
        <v>0</v>
      </c>
      <c r="G7" s="873">
        <f t="shared" si="0"/>
        <v>0</v>
      </c>
      <c r="H7" s="873">
        <f t="shared" si="0"/>
        <v>0</v>
      </c>
      <c r="I7" s="873">
        <f t="shared" si="0"/>
        <v>0</v>
      </c>
      <c r="J7" s="873">
        <f t="shared" si="0"/>
        <v>0</v>
      </c>
      <c r="K7" s="873">
        <f t="shared" si="0"/>
        <v>0</v>
      </c>
      <c r="L7" s="873">
        <f t="shared" si="0"/>
        <v>0</v>
      </c>
      <c r="M7" s="873">
        <f t="shared" si="0"/>
        <v>0</v>
      </c>
      <c r="N7" s="873">
        <f>SUM(B7:M7)</f>
        <v>0</v>
      </c>
    </row>
    <row r="8" spans="1:14" s="845" customFormat="1" ht="16.149999999999999" customHeight="1" x14ac:dyDescent="0.2">
      <c r="A8" s="878"/>
      <c r="B8" s="873"/>
      <c r="C8" s="873"/>
      <c r="D8" s="873"/>
      <c r="E8" s="873"/>
      <c r="F8" s="873"/>
      <c r="G8" s="873"/>
      <c r="H8" s="873"/>
      <c r="I8" s="873"/>
      <c r="J8" s="873"/>
      <c r="K8" s="873"/>
      <c r="L8" s="873"/>
      <c r="M8" s="873"/>
      <c r="N8" s="873"/>
    </row>
    <row r="9" spans="1:14" s="843" customFormat="1" ht="16.149999999999999" customHeight="1" x14ac:dyDescent="0.2">
      <c r="A9" s="879" t="s">
        <v>717</v>
      </c>
      <c r="B9" s="872">
        <f>'Prev.Ventas 3'!B39</f>
        <v>0</v>
      </c>
      <c r="C9" s="872">
        <f>'Prev.Ventas 3'!C39</f>
        <v>0</v>
      </c>
      <c r="D9" s="872">
        <f>'Prev.Ventas 3'!D39</f>
        <v>0</v>
      </c>
      <c r="E9" s="872">
        <f>'Prev.Ventas 3'!E39</f>
        <v>0</v>
      </c>
      <c r="F9" s="872">
        <f>'Prev.Ventas 3'!F39</f>
        <v>0</v>
      </c>
      <c r="G9" s="872">
        <f>'Prev.Ventas 3'!G39</f>
        <v>0</v>
      </c>
      <c r="H9" s="872">
        <f>'Prev.Ventas 3'!H39</f>
        <v>0</v>
      </c>
      <c r="I9" s="872">
        <f>'Prev.Ventas 3'!I39</f>
        <v>0</v>
      </c>
      <c r="J9" s="872">
        <f>'Prev.Ventas 3'!J39</f>
        <v>0</v>
      </c>
      <c r="K9" s="872">
        <f>'Prev.Ventas 3'!K39</f>
        <v>0</v>
      </c>
      <c r="L9" s="872">
        <f>'Prev.Ventas 3'!L39</f>
        <v>0</v>
      </c>
      <c r="M9" s="872">
        <f>'Prev.Ventas 3'!M39</f>
        <v>0</v>
      </c>
      <c r="N9" s="873">
        <f>SUM(B9:M9)</f>
        <v>0</v>
      </c>
    </row>
    <row r="10" spans="1:14" s="845" customFormat="1" ht="16.149999999999999" customHeight="1" x14ac:dyDescent="0.2">
      <c r="A10" s="880" t="s">
        <v>866</v>
      </c>
      <c r="B10" s="873">
        <f t="shared" ref="B10:M10" si="1">B7-B9</f>
        <v>0</v>
      </c>
      <c r="C10" s="873">
        <f t="shared" si="1"/>
        <v>0</v>
      </c>
      <c r="D10" s="873">
        <f t="shared" si="1"/>
        <v>0</v>
      </c>
      <c r="E10" s="873">
        <f t="shared" si="1"/>
        <v>0</v>
      </c>
      <c r="F10" s="873">
        <f t="shared" si="1"/>
        <v>0</v>
      </c>
      <c r="G10" s="873">
        <f t="shared" si="1"/>
        <v>0</v>
      </c>
      <c r="H10" s="873">
        <f t="shared" si="1"/>
        <v>0</v>
      </c>
      <c r="I10" s="873">
        <f t="shared" si="1"/>
        <v>0</v>
      </c>
      <c r="J10" s="873">
        <f t="shared" si="1"/>
        <v>0</v>
      </c>
      <c r="K10" s="873">
        <f t="shared" si="1"/>
        <v>0</v>
      </c>
      <c r="L10" s="873">
        <f t="shared" si="1"/>
        <v>0</v>
      </c>
      <c r="M10" s="873">
        <f t="shared" si="1"/>
        <v>0</v>
      </c>
      <c r="N10" s="873">
        <f>SUM(B10:M10)</f>
        <v>0</v>
      </c>
    </row>
    <row r="11" spans="1:14" s="845" customFormat="1" ht="16.149999999999999" customHeight="1" x14ac:dyDescent="0.2">
      <c r="A11" s="881"/>
      <c r="B11" s="882"/>
      <c r="C11" s="882"/>
      <c r="D11" s="882"/>
      <c r="E11" s="882"/>
      <c r="F11" s="882"/>
      <c r="G11" s="882"/>
      <c r="H11" s="882"/>
      <c r="I11" s="882"/>
      <c r="J11" s="882"/>
      <c r="K11" s="882"/>
      <c r="L11" s="882"/>
      <c r="M11" s="882"/>
      <c r="N11" s="882"/>
    </row>
    <row r="12" spans="1:14" s="843" customFormat="1" ht="16.149999999999999" customHeight="1" x14ac:dyDescent="0.2">
      <c r="A12" s="879" t="s">
        <v>697</v>
      </c>
      <c r="B12" s="872">
        <f>'G.F. 3'!C24-B13</f>
        <v>1373.458944</v>
      </c>
      <c r="C12" s="872">
        <f>'G.F. 3'!D24-C13</f>
        <v>1373.458944</v>
      </c>
      <c r="D12" s="872">
        <f>'G.F. 3'!E24-D13</f>
        <v>1373.458944</v>
      </c>
      <c r="E12" s="872">
        <f>'G.F. 3'!F24-E13</f>
        <v>1373.458944</v>
      </c>
      <c r="F12" s="872">
        <f>'G.F. 3'!G24-F13</f>
        <v>1373.458944</v>
      </c>
      <c r="G12" s="872">
        <f>'G.F. 3'!H24-G13</f>
        <v>1373.458944</v>
      </c>
      <c r="H12" s="872">
        <f>'G.F. 3'!I24-H13</f>
        <v>1373.458944</v>
      </c>
      <c r="I12" s="872">
        <f>'G.F. 3'!J24-I13</f>
        <v>1373.458944</v>
      </c>
      <c r="J12" s="872">
        <f>'G.F. 3'!K24-J13</f>
        <v>1373.458944</v>
      </c>
      <c r="K12" s="872">
        <f>'G.F. 3'!L24-K13</f>
        <v>1373.458944</v>
      </c>
      <c r="L12" s="872">
        <f>'G.F. 3'!M24-L13</f>
        <v>1373.458944</v>
      </c>
      <c r="M12" s="872">
        <f>'G.F. 3'!N24-M13</f>
        <v>1373.458944</v>
      </c>
      <c r="N12" s="873">
        <f>SUM(B12:M12)</f>
        <v>16481.507328</v>
      </c>
    </row>
    <row r="13" spans="1:14" s="843" customFormat="1" ht="16.149999999999999" customHeight="1" x14ac:dyDescent="0.2">
      <c r="A13" s="879" t="s">
        <v>119</v>
      </c>
      <c r="B13" s="872">
        <f>SUM('G.F. 3'!C18:C19)</f>
        <v>205.88</v>
      </c>
      <c r="C13" s="872">
        <f>SUM('G.F. 3'!D18:D19)</f>
        <v>205.88</v>
      </c>
      <c r="D13" s="872">
        <f>SUM('G.F. 3'!E18:E19)</f>
        <v>205.88</v>
      </c>
      <c r="E13" s="872">
        <f>SUM('G.F. 3'!F18:F19)</f>
        <v>205.88</v>
      </c>
      <c r="F13" s="872">
        <f>SUM('G.F. 3'!G18:G19)</f>
        <v>205.88</v>
      </c>
      <c r="G13" s="872">
        <f>SUM('G.F. 3'!H18:H19)</f>
        <v>205.88</v>
      </c>
      <c r="H13" s="872">
        <f>SUM('G.F. 3'!I18:I19)</f>
        <v>205.88</v>
      </c>
      <c r="I13" s="872">
        <f>SUM('G.F. 3'!J18:J19)</f>
        <v>205.88</v>
      </c>
      <c r="J13" s="872">
        <f>SUM('G.F. 3'!K18:K19)</f>
        <v>205.88</v>
      </c>
      <c r="K13" s="872">
        <f>SUM('G.F. 3'!L18:L19)</f>
        <v>205.88</v>
      </c>
      <c r="L13" s="872">
        <f>SUM('G.F. 3'!M18:M19)</f>
        <v>205.88</v>
      </c>
      <c r="M13" s="872">
        <f>SUM('G.F. 3'!N18:N19)</f>
        <v>205.88</v>
      </c>
      <c r="N13" s="873">
        <f>SUM(B13:M13)</f>
        <v>2470.5600000000009</v>
      </c>
    </row>
    <row r="14" spans="1:14" s="843" customFormat="1" ht="16.149999999999999" customHeight="1" x14ac:dyDescent="0.2">
      <c r="A14" s="879" t="s">
        <v>90</v>
      </c>
      <c r="B14" s="872">
        <f>'G.F. 3'!C46+'IVA 3'!C13</f>
        <v>0</v>
      </c>
      <c r="C14" s="872">
        <f>'G.F. 3'!D46+'IVA 3'!D13</f>
        <v>0</v>
      </c>
      <c r="D14" s="872">
        <f>'G.F. 3'!E46+'IVA 3'!E13</f>
        <v>0</v>
      </c>
      <c r="E14" s="872">
        <f>'G.F. 3'!F46+'IVA 3'!F13</f>
        <v>0</v>
      </c>
      <c r="F14" s="872">
        <f>'G.F. 3'!G46+'IVA 3'!G13</f>
        <v>0</v>
      </c>
      <c r="G14" s="872">
        <f>'G.F. 3'!H46+'IVA 3'!H13</f>
        <v>0</v>
      </c>
      <c r="H14" s="872">
        <f>'G.F. 3'!I46+'IVA 3'!I13</f>
        <v>0</v>
      </c>
      <c r="I14" s="872">
        <f>'G.F. 3'!J46+'IVA 3'!J13</f>
        <v>0</v>
      </c>
      <c r="J14" s="872">
        <f>'G.F. 3'!K46+'IVA 3'!K13</f>
        <v>0</v>
      </c>
      <c r="K14" s="872">
        <f>'G.F. 3'!L46+'IVA 3'!L13</f>
        <v>0</v>
      </c>
      <c r="L14" s="872">
        <f>'G.F. 3'!M46+'IVA 3'!M13</f>
        <v>0</v>
      </c>
      <c r="M14" s="872">
        <f>'G.F. 3'!N46+'IVA 3'!N13</f>
        <v>0</v>
      </c>
      <c r="N14" s="873">
        <f>SUM(B14:M14)</f>
        <v>0</v>
      </c>
    </row>
    <row r="15" spans="1:14" s="843" customFormat="1" ht="16.149999999999999" customHeight="1" x14ac:dyDescent="0.2">
      <c r="A15" s="879" t="s">
        <v>870</v>
      </c>
      <c r="B15" s="872">
        <f>Amortizaciones!$I$21/12</f>
        <v>0</v>
      </c>
      <c r="C15" s="872">
        <f>Amortizaciones!$I$21/12</f>
        <v>0</v>
      </c>
      <c r="D15" s="872">
        <f>Amortizaciones!$I$21/12</f>
        <v>0</v>
      </c>
      <c r="E15" s="872">
        <f>Amortizaciones!$I$21/12</f>
        <v>0</v>
      </c>
      <c r="F15" s="872">
        <f>Amortizaciones!$I$21/12</f>
        <v>0</v>
      </c>
      <c r="G15" s="872">
        <f>Amortizaciones!$I$21/12</f>
        <v>0</v>
      </c>
      <c r="H15" s="872">
        <f>Amortizaciones!$I$21/12</f>
        <v>0</v>
      </c>
      <c r="I15" s="872">
        <f>Amortizaciones!$I$21/12</f>
        <v>0</v>
      </c>
      <c r="J15" s="872">
        <f>Amortizaciones!$I$21/12</f>
        <v>0</v>
      </c>
      <c r="K15" s="872">
        <f>Amortizaciones!$I$21/12</f>
        <v>0</v>
      </c>
      <c r="L15" s="872">
        <f>Amortizaciones!$I$21/12</f>
        <v>0</v>
      </c>
      <c r="M15" s="872">
        <f>Amortizaciones!$I$21/12</f>
        <v>0</v>
      </c>
      <c r="N15" s="873">
        <f>SUM(B15:M15)</f>
        <v>0</v>
      </c>
    </row>
    <row r="16" spans="1:14" s="845" customFormat="1" ht="16.149999999999999" customHeight="1" x14ac:dyDescent="0.2">
      <c r="A16" s="880" t="s">
        <v>871</v>
      </c>
      <c r="B16" s="873">
        <f t="shared" ref="B16:M16" si="2">SUM(B12:B15)</f>
        <v>1579.3389440000001</v>
      </c>
      <c r="C16" s="873">
        <f t="shared" si="2"/>
        <v>1579.3389440000001</v>
      </c>
      <c r="D16" s="873">
        <f t="shared" si="2"/>
        <v>1579.3389440000001</v>
      </c>
      <c r="E16" s="873">
        <f t="shared" si="2"/>
        <v>1579.3389440000001</v>
      </c>
      <c r="F16" s="873">
        <f t="shared" si="2"/>
        <v>1579.3389440000001</v>
      </c>
      <c r="G16" s="873">
        <f t="shared" si="2"/>
        <v>1579.3389440000001</v>
      </c>
      <c r="H16" s="873">
        <f t="shared" si="2"/>
        <v>1579.3389440000001</v>
      </c>
      <c r="I16" s="873">
        <f t="shared" si="2"/>
        <v>1579.3389440000001</v>
      </c>
      <c r="J16" s="873">
        <f t="shared" si="2"/>
        <v>1579.3389440000001</v>
      </c>
      <c r="K16" s="873">
        <f t="shared" si="2"/>
        <v>1579.3389440000001</v>
      </c>
      <c r="L16" s="873">
        <f t="shared" si="2"/>
        <v>1579.3389440000001</v>
      </c>
      <c r="M16" s="873">
        <f t="shared" si="2"/>
        <v>1579.3389440000001</v>
      </c>
      <c r="N16" s="873">
        <f>SUM(B16:M16)</f>
        <v>18952.067327999997</v>
      </c>
    </row>
    <row r="17" spans="1:14" s="845" customFormat="1" ht="16.149999999999999" customHeight="1" x14ac:dyDescent="0.2">
      <c r="A17" s="880"/>
      <c r="B17" s="882"/>
      <c r="C17" s="882"/>
      <c r="D17" s="882"/>
      <c r="E17" s="882"/>
      <c r="F17" s="882"/>
      <c r="G17" s="882"/>
      <c r="H17" s="882"/>
      <c r="I17" s="882"/>
      <c r="J17" s="882"/>
      <c r="K17" s="882"/>
      <c r="L17" s="882"/>
      <c r="M17" s="882"/>
      <c r="N17" s="882"/>
    </row>
    <row r="18" spans="1:14" s="845" customFormat="1" ht="16.149999999999999" customHeight="1" x14ac:dyDescent="0.2">
      <c r="A18" s="880" t="s">
        <v>786</v>
      </c>
      <c r="B18" s="876">
        <f t="shared" ref="B18:M18" si="3">B10-B16</f>
        <v>-1579.3389440000001</v>
      </c>
      <c r="C18" s="876">
        <f t="shared" si="3"/>
        <v>-1579.3389440000001</v>
      </c>
      <c r="D18" s="876">
        <f t="shared" si="3"/>
        <v>-1579.3389440000001</v>
      </c>
      <c r="E18" s="876">
        <f t="shared" si="3"/>
        <v>-1579.3389440000001</v>
      </c>
      <c r="F18" s="876">
        <f t="shared" si="3"/>
        <v>-1579.3389440000001</v>
      </c>
      <c r="G18" s="876">
        <f t="shared" si="3"/>
        <v>-1579.3389440000001</v>
      </c>
      <c r="H18" s="876">
        <f t="shared" si="3"/>
        <v>-1579.3389440000001</v>
      </c>
      <c r="I18" s="876">
        <f t="shared" si="3"/>
        <v>-1579.3389440000001</v>
      </c>
      <c r="J18" s="876">
        <f t="shared" si="3"/>
        <v>-1579.3389440000001</v>
      </c>
      <c r="K18" s="876">
        <f t="shared" si="3"/>
        <v>-1579.3389440000001</v>
      </c>
      <c r="L18" s="876">
        <f t="shared" si="3"/>
        <v>-1579.3389440000001</v>
      </c>
      <c r="M18" s="876">
        <f t="shared" si="3"/>
        <v>-1579.3389440000001</v>
      </c>
      <c r="N18" s="876">
        <f>SUM(B18:M18)</f>
        <v>-18952.067327999997</v>
      </c>
    </row>
    <row r="19" spans="1:14" s="845" customFormat="1" ht="16.149999999999999" customHeight="1" x14ac:dyDescent="0.2">
      <c r="A19" s="880"/>
      <c r="B19" s="882"/>
      <c r="C19" s="882"/>
      <c r="D19" s="882"/>
      <c r="E19" s="882"/>
      <c r="F19" s="882"/>
      <c r="G19" s="882"/>
      <c r="H19" s="882"/>
      <c r="I19" s="882"/>
      <c r="J19" s="882"/>
      <c r="K19" s="882"/>
      <c r="L19" s="882"/>
      <c r="M19" s="882"/>
      <c r="N19" s="882"/>
    </row>
    <row r="20" spans="1:14" s="843" customFormat="1" ht="16.149999999999999" customHeight="1" x14ac:dyDescent="0.2">
      <c r="A20" s="879" t="s">
        <v>872</v>
      </c>
      <c r="B20" s="872">
        <f>'Gastos Financieros'!C74</f>
        <v>0</v>
      </c>
      <c r="C20" s="872">
        <f>'Gastos Financieros'!D74</f>
        <v>0</v>
      </c>
      <c r="D20" s="872">
        <f>'Gastos Financieros'!E74</f>
        <v>0</v>
      </c>
      <c r="E20" s="872">
        <f>'Gastos Financieros'!F74</f>
        <v>0</v>
      </c>
      <c r="F20" s="872">
        <f>'Gastos Financieros'!G74</f>
        <v>0</v>
      </c>
      <c r="G20" s="872">
        <f>'Gastos Financieros'!H74</f>
        <v>0</v>
      </c>
      <c r="H20" s="872">
        <f>'Gastos Financieros'!I74</f>
        <v>0</v>
      </c>
      <c r="I20" s="872">
        <f>'Gastos Financieros'!J74</f>
        <v>0</v>
      </c>
      <c r="J20" s="872">
        <f>'Gastos Financieros'!K74</f>
        <v>0</v>
      </c>
      <c r="K20" s="872">
        <f>'Gastos Financieros'!L74</f>
        <v>0</v>
      </c>
      <c r="L20" s="872">
        <f>'Gastos Financieros'!M74</f>
        <v>0</v>
      </c>
      <c r="M20" s="872">
        <f>'Gastos Financieros'!N74</f>
        <v>0</v>
      </c>
      <c r="N20" s="873">
        <f>SUM(B20:M20)</f>
        <v>0</v>
      </c>
    </row>
    <row r="21" spans="1:14" s="843" customFormat="1" ht="16.149999999999999" customHeight="1" x14ac:dyDescent="0.2">
      <c r="A21" s="879" t="s">
        <v>873</v>
      </c>
      <c r="B21" s="872">
        <f>'Gastos Financieros'!C42</f>
        <v>338.82591668870754</v>
      </c>
      <c r="C21" s="872">
        <f>'Gastos Financieros'!D42</f>
        <v>350.01521170939168</v>
      </c>
      <c r="D21" s="872">
        <f>'Gastos Financieros'!E42</f>
        <v>361.26977761769643</v>
      </c>
      <c r="E21" s="872">
        <f>'Gastos Financieros'!F42</f>
        <v>372.58999516046634</v>
      </c>
      <c r="F21" s="872">
        <f>'Gastos Financieros'!G42</f>
        <v>383.97624730556913</v>
      </c>
      <c r="G21" s="872">
        <f>'Gastos Financieros'!H42</f>
        <v>395.42891925485156</v>
      </c>
      <c r="H21" s="872">
        <f>'Gastos Financieros'!I42</f>
        <v>406.94839845717149</v>
      </c>
      <c r="I21" s="872">
        <f>'Gastos Financieros'!J42</f>
        <v>418.53507462150503</v>
      </c>
      <c r="J21" s="872">
        <f>'Gastos Financieros'!K42</f>
        <v>430.18933973013043</v>
      </c>
      <c r="K21" s="872">
        <f>'Gastos Financieros'!L42</f>
        <v>441.91158805188957</v>
      </c>
      <c r="L21" s="872">
        <f>'Gastos Financieros'!M42</f>
        <v>453.70221615552555</v>
      </c>
      <c r="M21" s="872">
        <f>'Gastos Financieros'!N42</f>
        <v>465.56162292309943</v>
      </c>
      <c r="N21" s="873">
        <f>SUM(B21:M21)</f>
        <v>4818.9543076760046</v>
      </c>
    </row>
    <row r="22" spans="1:14" s="845" customFormat="1" ht="16.149999999999999" customHeight="1" x14ac:dyDescent="0.2">
      <c r="A22" s="880" t="s">
        <v>874</v>
      </c>
      <c r="B22" s="876">
        <f t="shared" ref="B22:M22" si="4">B20-B21</f>
        <v>-338.82591668870754</v>
      </c>
      <c r="C22" s="876">
        <f t="shared" si="4"/>
        <v>-350.01521170939168</v>
      </c>
      <c r="D22" s="876">
        <f t="shared" si="4"/>
        <v>-361.26977761769643</v>
      </c>
      <c r="E22" s="876">
        <f t="shared" si="4"/>
        <v>-372.58999516046634</v>
      </c>
      <c r="F22" s="876">
        <f t="shared" si="4"/>
        <v>-383.97624730556913</v>
      </c>
      <c r="G22" s="876">
        <f t="shared" si="4"/>
        <v>-395.42891925485156</v>
      </c>
      <c r="H22" s="876">
        <f t="shared" si="4"/>
        <v>-406.94839845717149</v>
      </c>
      <c r="I22" s="876">
        <f t="shared" si="4"/>
        <v>-418.53507462150503</v>
      </c>
      <c r="J22" s="876">
        <f t="shared" si="4"/>
        <v>-430.18933973013043</v>
      </c>
      <c r="K22" s="876">
        <f t="shared" si="4"/>
        <v>-441.91158805188957</v>
      </c>
      <c r="L22" s="876">
        <f t="shared" si="4"/>
        <v>-453.70221615552555</v>
      </c>
      <c r="M22" s="876">
        <f t="shared" si="4"/>
        <v>-465.56162292309943</v>
      </c>
      <c r="N22" s="876">
        <f>SUM(B22:M22)</f>
        <v>-4818.9543076760046</v>
      </c>
    </row>
    <row r="23" spans="1:14" s="845" customFormat="1" ht="16.149999999999999" customHeight="1" x14ac:dyDescent="0.2">
      <c r="A23" s="880"/>
      <c r="B23" s="883"/>
      <c r="C23" s="883"/>
      <c r="D23" s="883"/>
      <c r="E23" s="883"/>
      <c r="F23" s="883"/>
      <c r="G23" s="883"/>
      <c r="H23" s="883"/>
      <c r="I23" s="883"/>
      <c r="J23" s="883"/>
      <c r="K23" s="883"/>
      <c r="L23" s="883"/>
      <c r="M23" s="883"/>
      <c r="N23" s="883"/>
    </row>
    <row r="24" spans="1:14" s="845" customFormat="1" ht="16.149999999999999" customHeight="1" x14ac:dyDescent="0.2">
      <c r="A24" s="880" t="s">
        <v>744</v>
      </c>
      <c r="B24" s="876">
        <f t="shared" ref="B24:M24" si="5">B18+B22</f>
        <v>-1918.1648606887077</v>
      </c>
      <c r="C24" s="876">
        <f t="shared" si="5"/>
        <v>-1929.3541557093918</v>
      </c>
      <c r="D24" s="876">
        <f t="shared" si="5"/>
        <v>-1940.6087216176966</v>
      </c>
      <c r="E24" s="876">
        <f t="shared" si="5"/>
        <v>-1951.9289391604664</v>
      </c>
      <c r="F24" s="876">
        <f t="shared" si="5"/>
        <v>-1963.3151913055692</v>
      </c>
      <c r="G24" s="876">
        <f t="shared" si="5"/>
        <v>-1974.7678632548516</v>
      </c>
      <c r="H24" s="876">
        <f t="shared" si="5"/>
        <v>-1986.2873424571717</v>
      </c>
      <c r="I24" s="876">
        <f t="shared" si="5"/>
        <v>-1997.874018621505</v>
      </c>
      <c r="J24" s="876">
        <f t="shared" si="5"/>
        <v>-2009.5282837301306</v>
      </c>
      <c r="K24" s="876">
        <f t="shared" si="5"/>
        <v>-2021.2505320518896</v>
      </c>
      <c r="L24" s="876">
        <f t="shared" si="5"/>
        <v>-2033.0411601555256</v>
      </c>
      <c r="M24" s="876">
        <f t="shared" si="5"/>
        <v>-2044.9005669230996</v>
      </c>
      <c r="N24" s="876">
        <f>SUM(B24:M24)</f>
        <v>-23771.021635676007</v>
      </c>
    </row>
    <row r="25" spans="1:14" s="845" customFormat="1" ht="16.149999999999999" customHeight="1" x14ac:dyDescent="0.2">
      <c r="A25" s="880"/>
      <c r="B25" s="882"/>
      <c r="C25" s="882"/>
      <c r="D25" s="882"/>
      <c r="E25" s="882"/>
      <c r="F25" s="882"/>
      <c r="G25" s="882"/>
      <c r="H25" s="882"/>
      <c r="I25" s="882"/>
      <c r="J25" s="882"/>
      <c r="K25" s="882"/>
      <c r="L25" s="882"/>
      <c r="M25" s="882"/>
      <c r="N25" s="882"/>
    </row>
    <row r="26" spans="1:14" s="845" customFormat="1" ht="16.149999999999999" customHeight="1" thickBot="1" x14ac:dyDescent="0.25">
      <c r="A26" s="884" t="s">
        <v>875</v>
      </c>
      <c r="B26" s="885">
        <f>B24</f>
        <v>-1918.1648606887077</v>
      </c>
      <c r="C26" s="885">
        <f t="shared" ref="C26:M26" si="6">B26+C24</f>
        <v>-3847.5190163980997</v>
      </c>
      <c r="D26" s="885">
        <f t="shared" si="6"/>
        <v>-5788.1277380157962</v>
      </c>
      <c r="E26" s="885">
        <f t="shared" si="6"/>
        <v>-7740.0566771762624</v>
      </c>
      <c r="F26" s="885">
        <f t="shared" si="6"/>
        <v>-9703.3718684818323</v>
      </c>
      <c r="G26" s="885">
        <f t="shared" si="6"/>
        <v>-11678.139731736685</v>
      </c>
      <c r="H26" s="885">
        <f t="shared" si="6"/>
        <v>-13664.427074193856</v>
      </c>
      <c r="I26" s="885">
        <f t="shared" si="6"/>
        <v>-15662.301092815362</v>
      </c>
      <c r="J26" s="885">
        <f t="shared" si="6"/>
        <v>-17671.829376545491</v>
      </c>
      <c r="K26" s="885">
        <f t="shared" si="6"/>
        <v>-19693.079908597381</v>
      </c>
      <c r="L26" s="885">
        <f t="shared" si="6"/>
        <v>-21726.121068752906</v>
      </c>
      <c r="M26" s="885">
        <f t="shared" si="6"/>
        <v>-23771.021635676007</v>
      </c>
      <c r="N26" s="885"/>
    </row>
    <row r="27" spans="1:14" s="843" customFormat="1" ht="12" x14ac:dyDescent="0.2">
      <c r="N27" s="845"/>
    </row>
    <row r="28" spans="1:14" s="843" customFormat="1" x14ac:dyDescent="0.25">
      <c r="L28" s="446"/>
      <c r="M28" s="446"/>
      <c r="N28" s="305"/>
    </row>
  </sheetData>
  <sheetProtection sheet="1" objects="1" scenarios="1" formatCells="0" formatColumns="0"/>
  <phoneticPr fontId="13" type="noConversion"/>
  <printOptions horizontalCentered="1" verticalCentered="1"/>
  <pageMargins left="0.39370078740157483" right="0.39370078740157483" top="0.41" bottom="0.59055118110236227" header="0.31496062992125984" footer="0.31496062992125984"/>
  <pageSetup paperSize="9" scale="80" orientation="landscape" horizontalDpi="300" verticalDpi="300" r:id="rId1"/>
  <headerFooter alignWithMargins="0">
    <oddFooter>&amp;A</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44">
    <tabColor rgb="FF7CC9D0"/>
    <pageSetUpPr fitToPage="1"/>
  </sheetPr>
  <dimension ref="A1:N28"/>
  <sheetViews>
    <sheetView showGridLines="0" workbookViewId="0"/>
  </sheetViews>
  <sheetFormatPr baseColWidth="10" defaultRowHeight="15" x14ac:dyDescent="0.25"/>
  <cols>
    <col min="1" max="1" width="24.875" style="446" customWidth="1"/>
    <col min="2" max="2" width="10.5" style="446" customWidth="1"/>
    <col min="3" max="5" width="10.375" style="446" customWidth="1"/>
    <col min="6" max="13" width="10.75" style="446" customWidth="1"/>
    <col min="14" max="14" width="10.625" style="305" customWidth="1"/>
    <col min="15" max="16384" width="11" style="446"/>
  </cols>
  <sheetData>
    <row r="1" spans="1:14" ht="24.75" x14ac:dyDescent="0.4">
      <c r="A1" s="886" t="s">
        <v>451</v>
      </c>
      <c r="E1" s="305"/>
      <c r="F1" s="305"/>
      <c r="I1" s="470">
        <f>'Datos Básicos'!D17+2</f>
        <v>2030</v>
      </c>
      <c r="L1" s="842"/>
    </row>
    <row r="2" spans="1:14" s="843" customFormat="1" ht="27.75" x14ac:dyDescent="0.45">
      <c r="A2" s="408">
        <f>'Datos Básicos'!B8</f>
        <v>0</v>
      </c>
      <c r="C2" s="868"/>
      <c r="D2" s="450"/>
      <c r="N2" s="845"/>
    </row>
    <row r="3" spans="1:14" s="843" customFormat="1" ht="28.5" thickBot="1" x14ac:dyDescent="0.5">
      <c r="A3" s="408"/>
      <c r="C3" s="868"/>
      <c r="D3" s="450"/>
      <c r="N3" s="845"/>
    </row>
    <row r="4" spans="1:14" s="870" customFormat="1" ht="16.149999999999999" customHeight="1" thickBot="1" x14ac:dyDescent="0.3">
      <c r="A4" s="454" t="s">
        <v>889</v>
      </c>
      <c r="B4" s="869" t="str">
        <f>'Datos Gastos Fijos'!D7</f>
        <v>enero</v>
      </c>
      <c r="C4" s="869" t="str">
        <f>'Datos Gastos Fijos'!E7</f>
        <v>febrero</v>
      </c>
      <c r="D4" s="869" t="str">
        <f>'Datos Gastos Fijos'!F7</f>
        <v>marzo</v>
      </c>
      <c r="E4" s="869" t="str">
        <f>'Datos Gastos Fijos'!G7</f>
        <v>abril</v>
      </c>
      <c r="F4" s="869" t="str">
        <f>'Datos Gastos Fijos'!H7</f>
        <v>mayo</v>
      </c>
      <c r="G4" s="869" t="str">
        <f>'Datos Gastos Fijos'!I7</f>
        <v>junio</v>
      </c>
      <c r="H4" s="869" t="str">
        <f>'Datos Gastos Fijos'!J7</f>
        <v>julio</v>
      </c>
      <c r="I4" s="869" t="str">
        <f>'Datos Gastos Fijos'!K7</f>
        <v>agosto</v>
      </c>
      <c r="J4" s="869" t="str">
        <f>'Datos Gastos Fijos'!L7</f>
        <v>septiembre</v>
      </c>
      <c r="K4" s="869" t="str">
        <f>'Datos Gastos Fijos'!M7</f>
        <v>octubre</v>
      </c>
      <c r="L4" s="869" t="str">
        <f>'Datos Gastos Fijos'!N7</f>
        <v>noviembre</v>
      </c>
      <c r="M4" s="869" t="str">
        <f>'Datos Gastos Fijos'!O7</f>
        <v>diciembre</v>
      </c>
      <c r="N4" s="869" t="s">
        <v>860</v>
      </c>
    </row>
    <row r="5" spans="1:14" s="845" customFormat="1" ht="16.149999999999999" customHeight="1" x14ac:dyDescent="0.2">
      <c r="A5" s="871" t="s">
        <v>741</v>
      </c>
      <c r="B5" s="872">
        <f>'Prev.Ventas 4'!B25</f>
        <v>0</v>
      </c>
      <c r="C5" s="872">
        <f>'Prev.Ventas 4'!C25</f>
        <v>0</v>
      </c>
      <c r="D5" s="872">
        <f>'Prev.Ventas 4'!D25</f>
        <v>0</v>
      </c>
      <c r="E5" s="872">
        <f>'Prev.Ventas 4'!E25</f>
        <v>0</v>
      </c>
      <c r="F5" s="872">
        <f>'Prev.Ventas 4'!F25</f>
        <v>0</v>
      </c>
      <c r="G5" s="872">
        <f>'Prev.Ventas 4'!G25</f>
        <v>0</v>
      </c>
      <c r="H5" s="872">
        <f>'Prev.Ventas 4'!H25</f>
        <v>0</v>
      </c>
      <c r="I5" s="872">
        <f>'Prev.Ventas 4'!I25</f>
        <v>0</v>
      </c>
      <c r="J5" s="872">
        <f>'Prev.Ventas 4'!J25</f>
        <v>0</v>
      </c>
      <c r="K5" s="872">
        <f>'Prev.Ventas 4'!K25</f>
        <v>0</v>
      </c>
      <c r="L5" s="872">
        <f>'Prev.Ventas 4'!L25</f>
        <v>0</v>
      </c>
      <c r="M5" s="872">
        <f>'Prev.Ventas 4'!M25</f>
        <v>0</v>
      </c>
      <c r="N5" s="873">
        <f>SUM(B5:M5)</f>
        <v>0</v>
      </c>
    </row>
    <row r="6" spans="1:14" s="845" customFormat="1" ht="16.149999999999999" customHeight="1" x14ac:dyDescent="0.2">
      <c r="A6" s="874" t="s">
        <v>742</v>
      </c>
      <c r="B6" s="875">
        <f>IF('Financiación Inicial'!$F$35&gt;4,'Financiación Inicial'!$F$34/'Financiación Inicial'!$F$35/12,0)</f>
        <v>0</v>
      </c>
      <c r="C6" s="875">
        <f>IF('Financiación Inicial'!$F$35&gt;4,'Financiación Inicial'!$F$34/'Financiación Inicial'!$F$35/12,0)</f>
        <v>0</v>
      </c>
      <c r="D6" s="875">
        <f>IF('Financiación Inicial'!$F$35&gt;4,'Financiación Inicial'!$F$34/'Financiación Inicial'!$F$35/12,0)</f>
        <v>0</v>
      </c>
      <c r="E6" s="875">
        <f>IF('Financiación Inicial'!$F$35&gt;4,'Financiación Inicial'!$F$34/'Financiación Inicial'!$F$35/12,0)</f>
        <v>0</v>
      </c>
      <c r="F6" s="875">
        <f>IF('Financiación Inicial'!$F$35&gt;4,'Financiación Inicial'!$F$34/'Financiación Inicial'!$F$35/12,0)</f>
        <v>0</v>
      </c>
      <c r="G6" s="875">
        <f>IF('Financiación Inicial'!$F$35&gt;4,'Financiación Inicial'!$F$34/'Financiación Inicial'!$F$35/12,0)</f>
        <v>0</v>
      </c>
      <c r="H6" s="875">
        <f>IF('Financiación Inicial'!$F$35&gt;4,'Financiación Inicial'!$F$34/'Financiación Inicial'!$F$35/12,0)</f>
        <v>0</v>
      </c>
      <c r="I6" s="875">
        <f>IF('Financiación Inicial'!$F$35&gt;4,'Financiación Inicial'!$F$34/'Financiación Inicial'!$F$35/12,0)</f>
        <v>0</v>
      </c>
      <c r="J6" s="875">
        <f>IF('Financiación Inicial'!$F$35&gt;4,'Financiación Inicial'!$F$34/'Financiación Inicial'!$F$35/12,0)</f>
        <v>0</v>
      </c>
      <c r="K6" s="875">
        <f>IF('Financiación Inicial'!$F$35&gt;4,'Financiación Inicial'!$F$34/'Financiación Inicial'!$F$35/12,0)</f>
        <v>0</v>
      </c>
      <c r="L6" s="875">
        <f>IF('Financiación Inicial'!$F$35&gt;4,'Financiación Inicial'!$F$34/'Financiación Inicial'!$F$35/12,0)</f>
        <v>0</v>
      </c>
      <c r="M6" s="875">
        <f>IF('Financiación Inicial'!$F$35&gt;4,'Financiación Inicial'!$F$34/'Financiación Inicial'!$F$35/12,0)</f>
        <v>0</v>
      </c>
      <c r="N6" s="876">
        <f>SUM(B6:M6)</f>
        <v>0</v>
      </c>
    </row>
    <row r="7" spans="1:14" s="845" customFormat="1" ht="16.149999999999999" customHeight="1" x14ac:dyDescent="0.2">
      <c r="A7" s="877" t="s">
        <v>787</v>
      </c>
      <c r="B7" s="873">
        <f t="shared" ref="B7:M7" si="0">B5+B6</f>
        <v>0</v>
      </c>
      <c r="C7" s="873">
        <f t="shared" si="0"/>
        <v>0</v>
      </c>
      <c r="D7" s="873">
        <f t="shared" si="0"/>
        <v>0</v>
      </c>
      <c r="E7" s="873">
        <f t="shared" si="0"/>
        <v>0</v>
      </c>
      <c r="F7" s="873">
        <f t="shared" si="0"/>
        <v>0</v>
      </c>
      <c r="G7" s="873">
        <f t="shared" si="0"/>
        <v>0</v>
      </c>
      <c r="H7" s="873">
        <f t="shared" si="0"/>
        <v>0</v>
      </c>
      <c r="I7" s="873">
        <f t="shared" si="0"/>
        <v>0</v>
      </c>
      <c r="J7" s="873">
        <f t="shared" si="0"/>
        <v>0</v>
      </c>
      <c r="K7" s="873">
        <f t="shared" si="0"/>
        <v>0</v>
      </c>
      <c r="L7" s="873">
        <f t="shared" si="0"/>
        <v>0</v>
      </c>
      <c r="M7" s="873">
        <f t="shared" si="0"/>
        <v>0</v>
      </c>
      <c r="N7" s="873">
        <f>SUM(B7:M7)</f>
        <v>0</v>
      </c>
    </row>
    <row r="8" spans="1:14" s="845" customFormat="1" ht="16.149999999999999" customHeight="1" x14ac:dyDescent="0.2">
      <c r="A8" s="878"/>
      <c r="B8" s="873"/>
      <c r="C8" s="873"/>
      <c r="D8" s="873"/>
      <c r="E8" s="873"/>
      <c r="F8" s="873"/>
      <c r="G8" s="873"/>
      <c r="H8" s="873"/>
      <c r="I8" s="873"/>
      <c r="J8" s="873"/>
      <c r="K8" s="873"/>
      <c r="L8" s="873"/>
      <c r="M8" s="873"/>
      <c r="N8" s="873"/>
    </row>
    <row r="9" spans="1:14" s="843" customFormat="1" ht="16.149999999999999" customHeight="1" x14ac:dyDescent="0.2">
      <c r="A9" s="879" t="s">
        <v>717</v>
      </c>
      <c r="B9" s="872">
        <f>'Prev.Ventas 4'!B39</f>
        <v>0</v>
      </c>
      <c r="C9" s="872">
        <f>'Prev.Ventas 4'!C39</f>
        <v>0</v>
      </c>
      <c r="D9" s="872">
        <f>'Prev.Ventas 4'!D39</f>
        <v>0</v>
      </c>
      <c r="E9" s="872">
        <f>'Prev.Ventas 4'!E39</f>
        <v>0</v>
      </c>
      <c r="F9" s="872">
        <f>'Prev.Ventas 4'!F39</f>
        <v>0</v>
      </c>
      <c r="G9" s="872">
        <f>'Prev.Ventas 4'!G39</f>
        <v>0</v>
      </c>
      <c r="H9" s="872">
        <f>'Prev.Ventas 4'!H39</f>
        <v>0</v>
      </c>
      <c r="I9" s="872">
        <f>'Prev.Ventas 4'!I39</f>
        <v>0</v>
      </c>
      <c r="J9" s="872">
        <f>'Prev.Ventas 4'!J39</f>
        <v>0</v>
      </c>
      <c r="K9" s="872">
        <f>'Prev.Ventas 4'!K39</f>
        <v>0</v>
      </c>
      <c r="L9" s="872">
        <f>'Prev.Ventas 4'!L39</f>
        <v>0</v>
      </c>
      <c r="M9" s="872">
        <f>'Prev.Ventas 4'!M39</f>
        <v>0</v>
      </c>
      <c r="N9" s="873">
        <f>SUM(B9:M9)</f>
        <v>0</v>
      </c>
    </row>
    <row r="10" spans="1:14" s="845" customFormat="1" ht="16.149999999999999" customHeight="1" x14ac:dyDescent="0.2">
      <c r="A10" s="880" t="s">
        <v>866</v>
      </c>
      <c r="B10" s="873">
        <f t="shared" ref="B10:M10" si="1">B7-B9</f>
        <v>0</v>
      </c>
      <c r="C10" s="873">
        <f t="shared" si="1"/>
        <v>0</v>
      </c>
      <c r="D10" s="873">
        <f t="shared" si="1"/>
        <v>0</v>
      </c>
      <c r="E10" s="873">
        <f t="shared" si="1"/>
        <v>0</v>
      </c>
      <c r="F10" s="873">
        <f t="shared" si="1"/>
        <v>0</v>
      </c>
      <c r="G10" s="873">
        <f t="shared" si="1"/>
        <v>0</v>
      </c>
      <c r="H10" s="873">
        <f t="shared" si="1"/>
        <v>0</v>
      </c>
      <c r="I10" s="873">
        <f t="shared" si="1"/>
        <v>0</v>
      </c>
      <c r="J10" s="873">
        <f t="shared" si="1"/>
        <v>0</v>
      </c>
      <c r="K10" s="873">
        <f t="shared" si="1"/>
        <v>0</v>
      </c>
      <c r="L10" s="873">
        <f t="shared" si="1"/>
        <v>0</v>
      </c>
      <c r="M10" s="873">
        <f t="shared" si="1"/>
        <v>0</v>
      </c>
      <c r="N10" s="873">
        <f>SUM(B10:M10)</f>
        <v>0</v>
      </c>
    </row>
    <row r="11" spans="1:14" s="845" customFormat="1" ht="16.149999999999999" customHeight="1" x14ac:dyDescent="0.2">
      <c r="A11" s="881"/>
      <c r="B11" s="882"/>
      <c r="C11" s="882"/>
      <c r="D11" s="882"/>
      <c r="E11" s="882"/>
      <c r="F11" s="882"/>
      <c r="G11" s="882"/>
      <c r="H11" s="882"/>
      <c r="I11" s="882"/>
      <c r="J11" s="882"/>
      <c r="K11" s="882"/>
      <c r="L11" s="882"/>
      <c r="M11" s="882"/>
      <c r="N11" s="882"/>
    </row>
    <row r="12" spans="1:14" s="843" customFormat="1" ht="16.149999999999999" customHeight="1" x14ac:dyDescent="0.2">
      <c r="A12" s="879" t="s">
        <v>697</v>
      </c>
      <c r="B12" s="872">
        <f>'G.F. 4'!C24-B13</f>
        <v>1428.3973017600001</v>
      </c>
      <c r="C12" s="872">
        <f>'G.F. 4'!D24-C13</f>
        <v>1428.3973017600001</v>
      </c>
      <c r="D12" s="872">
        <f>'G.F. 4'!E24-D13</f>
        <v>1428.3973017600001</v>
      </c>
      <c r="E12" s="872">
        <f>'G.F. 4'!F24-E13</f>
        <v>1428.3973017600001</v>
      </c>
      <c r="F12" s="872">
        <f>'G.F. 4'!G24-F13</f>
        <v>1428.3973017600001</v>
      </c>
      <c r="G12" s="872">
        <f>'G.F. 4'!H24-G13</f>
        <v>1428.3973017600001</v>
      </c>
      <c r="H12" s="872">
        <f>'G.F. 4'!I24-H13</f>
        <v>1428.3973017600001</v>
      </c>
      <c r="I12" s="872">
        <f>'G.F. 4'!J24-I13</f>
        <v>1428.3973017600001</v>
      </c>
      <c r="J12" s="872">
        <f>'G.F. 4'!K24-J13</f>
        <v>1428.3973017600001</v>
      </c>
      <c r="K12" s="872">
        <f>'G.F. 4'!L24-K13</f>
        <v>1428.3973017600001</v>
      </c>
      <c r="L12" s="872">
        <f>'G.F. 4'!M24-L13</f>
        <v>1428.3973017600001</v>
      </c>
      <c r="M12" s="872">
        <f>'G.F. 4'!N24-M13</f>
        <v>1428.3973017600001</v>
      </c>
      <c r="N12" s="873">
        <f>SUM(B12:M12)</f>
        <v>17140.767621120001</v>
      </c>
    </row>
    <row r="13" spans="1:14" s="843" customFormat="1" ht="16.149999999999999" customHeight="1" x14ac:dyDescent="0.2">
      <c r="A13" s="879" t="s">
        <v>119</v>
      </c>
      <c r="B13" s="872">
        <f>SUM('G.F. 4'!C18:C19)</f>
        <v>205.88</v>
      </c>
      <c r="C13" s="872">
        <f>SUM('G.F. 4'!D18:D19)</f>
        <v>205.88</v>
      </c>
      <c r="D13" s="872">
        <f>SUM('G.F. 4'!E18:E19)</f>
        <v>205.88</v>
      </c>
      <c r="E13" s="872">
        <f>SUM('G.F. 4'!F18:F19)</f>
        <v>205.88</v>
      </c>
      <c r="F13" s="872">
        <f>SUM('G.F. 4'!G18:G19)</f>
        <v>205.88</v>
      </c>
      <c r="G13" s="872">
        <f>SUM('G.F. 4'!H18:H19)</f>
        <v>205.88</v>
      </c>
      <c r="H13" s="872">
        <f>SUM('G.F. 4'!I18:I19)</f>
        <v>205.88</v>
      </c>
      <c r="I13" s="872">
        <f>SUM('G.F. 4'!J18:J19)</f>
        <v>205.88</v>
      </c>
      <c r="J13" s="872">
        <f>SUM('G.F. 4'!K18:K19)</f>
        <v>205.88</v>
      </c>
      <c r="K13" s="872">
        <f>SUM('G.F. 4'!L18:L19)</f>
        <v>205.88</v>
      </c>
      <c r="L13" s="872">
        <f>SUM('G.F. 4'!M18:M19)</f>
        <v>205.88</v>
      </c>
      <c r="M13" s="872">
        <f>SUM('G.F. 4'!N18:N19)</f>
        <v>205.88</v>
      </c>
      <c r="N13" s="873">
        <f>SUM(B13:M13)</f>
        <v>2470.5600000000009</v>
      </c>
    </row>
    <row r="14" spans="1:14" s="843" customFormat="1" ht="16.149999999999999" customHeight="1" x14ac:dyDescent="0.2">
      <c r="A14" s="879" t="s">
        <v>90</v>
      </c>
      <c r="B14" s="872">
        <f>'G.F. 4'!C46+'IVA 4'!C13</f>
        <v>0</v>
      </c>
      <c r="C14" s="872">
        <f>'G.F. 4'!D46+'IVA 4'!D13</f>
        <v>0</v>
      </c>
      <c r="D14" s="872">
        <f>'G.F. 4'!E46+'IVA 4'!E13</f>
        <v>0</v>
      </c>
      <c r="E14" s="872">
        <f>'G.F. 4'!F46+'IVA 4'!F13</f>
        <v>0</v>
      </c>
      <c r="F14" s="872">
        <f>'G.F. 4'!G46+'IVA 4'!G13</f>
        <v>0</v>
      </c>
      <c r="G14" s="872">
        <f>'G.F. 4'!H46+'IVA 4'!H13</f>
        <v>0</v>
      </c>
      <c r="H14" s="872">
        <f>'G.F. 4'!I46+'IVA 4'!I13</f>
        <v>0</v>
      </c>
      <c r="I14" s="872">
        <f>'G.F. 4'!J46+'IVA 4'!J13</f>
        <v>0</v>
      </c>
      <c r="J14" s="872">
        <f>'G.F. 4'!K46+'IVA 4'!K13</f>
        <v>0</v>
      </c>
      <c r="K14" s="872">
        <f>'G.F. 4'!L46+'IVA 4'!L13</f>
        <v>0</v>
      </c>
      <c r="L14" s="872">
        <f>'G.F. 4'!M46+'IVA 4'!M13</f>
        <v>0</v>
      </c>
      <c r="M14" s="872">
        <f>'G.F. 4'!N46+'IVA 4'!N13</f>
        <v>0</v>
      </c>
      <c r="N14" s="873">
        <f>SUM(B14:M14)</f>
        <v>0</v>
      </c>
    </row>
    <row r="15" spans="1:14" s="843" customFormat="1" ht="16.149999999999999" customHeight="1" x14ac:dyDescent="0.2">
      <c r="A15" s="879" t="s">
        <v>870</v>
      </c>
      <c r="B15" s="872">
        <f>Amortizaciones!$J$21/12</f>
        <v>0</v>
      </c>
      <c r="C15" s="872">
        <f>Amortizaciones!$J$21/12</f>
        <v>0</v>
      </c>
      <c r="D15" s="872">
        <f>Amortizaciones!$J$21/12</f>
        <v>0</v>
      </c>
      <c r="E15" s="872">
        <f>Amortizaciones!$J$21/12</f>
        <v>0</v>
      </c>
      <c r="F15" s="872">
        <f>Amortizaciones!$J$21/12</f>
        <v>0</v>
      </c>
      <c r="G15" s="872">
        <f>Amortizaciones!$J$21/12</f>
        <v>0</v>
      </c>
      <c r="H15" s="872">
        <f>Amortizaciones!$J$21/12</f>
        <v>0</v>
      </c>
      <c r="I15" s="872">
        <f>Amortizaciones!$J$21/12</f>
        <v>0</v>
      </c>
      <c r="J15" s="872">
        <f>Amortizaciones!$J$21/12</f>
        <v>0</v>
      </c>
      <c r="K15" s="872">
        <f>Amortizaciones!$J$21/12</f>
        <v>0</v>
      </c>
      <c r="L15" s="872">
        <f>Amortizaciones!$J$21/12</f>
        <v>0</v>
      </c>
      <c r="M15" s="872">
        <f>Amortizaciones!$J$21/12</f>
        <v>0</v>
      </c>
      <c r="N15" s="873">
        <f>SUM(B15:M15)</f>
        <v>0</v>
      </c>
    </row>
    <row r="16" spans="1:14" s="845" customFormat="1" ht="16.149999999999999" customHeight="1" x14ac:dyDescent="0.2">
      <c r="A16" s="880" t="s">
        <v>871</v>
      </c>
      <c r="B16" s="873">
        <f t="shared" ref="B16:M16" si="2">SUM(B12:B15)</f>
        <v>1634.2773017600002</v>
      </c>
      <c r="C16" s="873">
        <f t="shared" si="2"/>
        <v>1634.2773017600002</v>
      </c>
      <c r="D16" s="873">
        <f t="shared" si="2"/>
        <v>1634.2773017600002</v>
      </c>
      <c r="E16" s="873">
        <f t="shared" si="2"/>
        <v>1634.2773017600002</v>
      </c>
      <c r="F16" s="873">
        <f t="shared" si="2"/>
        <v>1634.2773017600002</v>
      </c>
      <c r="G16" s="873">
        <f t="shared" si="2"/>
        <v>1634.2773017600002</v>
      </c>
      <c r="H16" s="873">
        <f t="shared" si="2"/>
        <v>1634.2773017600002</v>
      </c>
      <c r="I16" s="873">
        <f t="shared" si="2"/>
        <v>1634.2773017600002</v>
      </c>
      <c r="J16" s="873">
        <f t="shared" si="2"/>
        <v>1634.2773017600002</v>
      </c>
      <c r="K16" s="873">
        <f t="shared" si="2"/>
        <v>1634.2773017600002</v>
      </c>
      <c r="L16" s="873">
        <f t="shared" si="2"/>
        <v>1634.2773017600002</v>
      </c>
      <c r="M16" s="873">
        <f t="shared" si="2"/>
        <v>1634.2773017600002</v>
      </c>
      <c r="N16" s="873">
        <f>SUM(B16:M16)</f>
        <v>19611.327621120006</v>
      </c>
    </row>
    <row r="17" spans="1:14" s="845" customFormat="1" ht="16.149999999999999" customHeight="1" x14ac:dyDescent="0.2">
      <c r="A17" s="880"/>
      <c r="B17" s="882"/>
      <c r="C17" s="882"/>
      <c r="D17" s="882"/>
      <c r="E17" s="882"/>
      <c r="F17" s="882"/>
      <c r="G17" s="882"/>
      <c r="H17" s="882"/>
      <c r="I17" s="882"/>
      <c r="J17" s="882"/>
      <c r="K17" s="882"/>
      <c r="L17" s="882"/>
      <c r="M17" s="882"/>
      <c r="N17" s="882"/>
    </row>
    <row r="18" spans="1:14" s="845" customFormat="1" ht="16.149999999999999" customHeight="1" x14ac:dyDescent="0.2">
      <c r="A18" s="880" t="s">
        <v>786</v>
      </c>
      <c r="B18" s="876">
        <f t="shared" ref="B18:M18" si="3">B10-B16</f>
        <v>-1634.2773017600002</v>
      </c>
      <c r="C18" s="876">
        <f t="shared" si="3"/>
        <v>-1634.2773017600002</v>
      </c>
      <c r="D18" s="876">
        <f t="shared" si="3"/>
        <v>-1634.2773017600002</v>
      </c>
      <c r="E18" s="876">
        <f t="shared" si="3"/>
        <v>-1634.2773017600002</v>
      </c>
      <c r="F18" s="876">
        <f t="shared" si="3"/>
        <v>-1634.2773017600002</v>
      </c>
      <c r="G18" s="876">
        <f t="shared" si="3"/>
        <v>-1634.2773017600002</v>
      </c>
      <c r="H18" s="876">
        <f t="shared" si="3"/>
        <v>-1634.2773017600002</v>
      </c>
      <c r="I18" s="876">
        <f t="shared" si="3"/>
        <v>-1634.2773017600002</v>
      </c>
      <c r="J18" s="876">
        <f t="shared" si="3"/>
        <v>-1634.2773017600002</v>
      </c>
      <c r="K18" s="876">
        <f t="shared" si="3"/>
        <v>-1634.2773017600002</v>
      </c>
      <c r="L18" s="876">
        <f t="shared" si="3"/>
        <v>-1634.2773017600002</v>
      </c>
      <c r="M18" s="876">
        <f t="shared" si="3"/>
        <v>-1634.2773017600002</v>
      </c>
      <c r="N18" s="876">
        <f>SUM(B18:M18)</f>
        <v>-19611.327621120006</v>
      </c>
    </row>
    <row r="19" spans="1:14" s="845" customFormat="1" ht="16.149999999999999" customHeight="1" x14ac:dyDescent="0.2">
      <c r="A19" s="880"/>
      <c r="B19" s="882"/>
      <c r="C19" s="882"/>
      <c r="D19" s="882"/>
      <c r="E19" s="882"/>
      <c r="F19" s="882"/>
      <c r="G19" s="882"/>
      <c r="H19" s="882"/>
      <c r="I19" s="882"/>
      <c r="J19" s="882"/>
      <c r="K19" s="882"/>
      <c r="L19" s="882"/>
      <c r="M19" s="882"/>
      <c r="N19" s="882"/>
    </row>
    <row r="20" spans="1:14" s="843" customFormat="1" ht="16.149999999999999" customHeight="1" x14ac:dyDescent="0.2">
      <c r="A20" s="879" t="s">
        <v>872</v>
      </c>
      <c r="B20" s="872">
        <f>'Gastos Financieros'!C79</f>
        <v>0</v>
      </c>
      <c r="C20" s="872">
        <f>'Gastos Financieros'!D79</f>
        <v>0</v>
      </c>
      <c r="D20" s="872">
        <f>'Gastos Financieros'!E79</f>
        <v>0</v>
      </c>
      <c r="E20" s="872">
        <f>'Gastos Financieros'!F79</f>
        <v>0</v>
      </c>
      <c r="F20" s="872">
        <f>'Gastos Financieros'!G79</f>
        <v>0</v>
      </c>
      <c r="G20" s="872">
        <f>'Gastos Financieros'!H79</f>
        <v>0</v>
      </c>
      <c r="H20" s="872">
        <f>'Gastos Financieros'!I79</f>
        <v>0</v>
      </c>
      <c r="I20" s="872">
        <f>'Gastos Financieros'!J79</f>
        <v>0</v>
      </c>
      <c r="J20" s="872">
        <f>'Gastos Financieros'!K79</f>
        <v>0</v>
      </c>
      <c r="K20" s="872">
        <f>'Gastos Financieros'!L79</f>
        <v>0</v>
      </c>
      <c r="L20" s="872">
        <f>'Gastos Financieros'!M79</f>
        <v>0</v>
      </c>
      <c r="M20" s="872">
        <f>'Gastos Financieros'!N79</f>
        <v>0</v>
      </c>
      <c r="N20" s="873">
        <f>SUM(B20:M20)</f>
        <v>0</v>
      </c>
    </row>
    <row r="21" spans="1:14" s="843" customFormat="1" ht="16.149999999999999" customHeight="1" x14ac:dyDescent="0.2">
      <c r="A21" s="879" t="s">
        <v>873</v>
      </c>
      <c r="B21" s="872">
        <f>'Gastos Financieros'!C51</f>
        <v>477.4902095634842</v>
      </c>
      <c r="C21" s="872">
        <f>'Gastos Financieros'!D51</f>
        <v>489.80885337953788</v>
      </c>
      <c r="D21" s="872">
        <f>'Gastos Financieros'!E51</f>
        <v>502.19935595118517</v>
      </c>
      <c r="E21" s="872">
        <f>'Gastos Financieros'!F51</f>
        <v>514.66213645450046</v>
      </c>
      <c r="F21" s="872">
        <f>'Gastos Financieros'!G51</f>
        <v>527.19761651075169</v>
      </c>
      <c r="G21" s="872">
        <f>'Gastos Financieros'!H51</f>
        <v>539.80622020066437</v>
      </c>
      <c r="H21" s="872">
        <f>'Gastos Financieros'!I51</f>
        <v>552.48837407876817</v>
      </c>
      <c r="I21" s="872">
        <f>'Gastos Financieros'!J51</f>
        <v>565.24450718782771</v>
      </c>
      <c r="J21" s="872">
        <f>'Gastos Financieros'!K51</f>
        <v>578.07505107335669</v>
      </c>
      <c r="K21" s="872">
        <f>'Gastos Financieros'!L51</f>
        <v>590.98043979821796</v>
      </c>
      <c r="L21" s="872">
        <f>'Gastos Financieros'!M51</f>
        <v>603.9611099573076</v>
      </c>
      <c r="M21" s="872">
        <f>'Gastos Financieros'!N51</f>
        <v>617.01750069232526</v>
      </c>
      <c r="N21" s="873">
        <f>SUM(B21:M21)</f>
        <v>6558.9313748479281</v>
      </c>
    </row>
    <row r="22" spans="1:14" s="845" customFormat="1" ht="16.149999999999999" customHeight="1" x14ac:dyDescent="0.2">
      <c r="A22" s="880" t="s">
        <v>874</v>
      </c>
      <c r="B22" s="876">
        <f t="shared" ref="B22:M22" si="4">B20-B21</f>
        <v>-477.4902095634842</v>
      </c>
      <c r="C22" s="876">
        <f t="shared" si="4"/>
        <v>-489.80885337953788</v>
      </c>
      <c r="D22" s="876">
        <f t="shared" si="4"/>
        <v>-502.19935595118517</v>
      </c>
      <c r="E22" s="876">
        <f t="shared" si="4"/>
        <v>-514.66213645450046</v>
      </c>
      <c r="F22" s="876">
        <f t="shared" si="4"/>
        <v>-527.19761651075169</v>
      </c>
      <c r="G22" s="876">
        <f t="shared" si="4"/>
        <v>-539.80622020066437</v>
      </c>
      <c r="H22" s="876">
        <f t="shared" si="4"/>
        <v>-552.48837407876817</v>
      </c>
      <c r="I22" s="876">
        <f t="shared" si="4"/>
        <v>-565.24450718782771</v>
      </c>
      <c r="J22" s="876">
        <f t="shared" si="4"/>
        <v>-578.07505107335669</v>
      </c>
      <c r="K22" s="876">
        <f t="shared" si="4"/>
        <v>-590.98043979821796</v>
      </c>
      <c r="L22" s="876">
        <f t="shared" si="4"/>
        <v>-603.9611099573076</v>
      </c>
      <c r="M22" s="876">
        <f t="shared" si="4"/>
        <v>-617.01750069232526</v>
      </c>
      <c r="N22" s="876">
        <f>SUM(B22:M22)</f>
        <v>-6558.9313748479281</v>
      </c>
    </row>
    <row r="23" spans="1:14" s="845" customFormat="1" ht="16.149999999999999" customHeight="1" x14ac:dyDescent="0.2">
      <c r="A23" s="880"/>
      <c r="B23" s="883"/>
      <c r="C23" s="883"/>
      <c r="D23" s="883"/>
      <c r="E23" s="883"/>
      <c r="F23" s="883"/>
      <c r="G23" s="883"/>
      <c r="H23" s="883"/>
      <c r="I23" s="883"/>
      <c r="J23" s="883"/>
      <c r="K23" s="883"/>
      <c r="L23" s="883"/>
      <c r="M23" s="883"/>
      <c r="N23" s="883"/>
    </row>
    <row r="24" spans="1:14" s="845" customFormat="1" ht="16.149999999999999" customHeight="1" x14ac:dyDescent="0.2">
      <c r="A24" s="880" t="s">
        <v>744</v>
      </c>
      <c r="B24" s="876">
        <f t="shared" ref="B24:M24" si="5">B18+B22</f>
        <v>-2111.7675113234845</v>
      </c>
      <c r="C24" s="876">
        <f t="shared" si="5"/>
        <v>-2124.0861551395383</v>
      </c>
      <c r="D24" s="876">
        <f t="shared" si="5"/>
        <v>-2136.4766577111855</v>
      </c>
      <c r="E24" s="876">
        <f t="shared" si="5"/>
        <v>-2148.9394382145006</v>
      </c>
      <c r="F24" s="876">
        <f t="shared" si="5"/>
        <v>-2161.4749182707519</v>
      </c>
      <c r="G24" s="876">
        <f t="shared" si="5"/>
        <v>-2174.0835219606647</v>
      </c>
      <c r="H24" s="876">
        <f t="shared" si="5"/>
        <v>-2186.7656758387684</v>
      </c>
      <c r="I24" s="876">
        <f t="shared" si="5"/>
        <v>-2199.521808947828</v>
      </c>
      <c r="J24" s="876">
        <f t="shared" si="5"/>
        <v>-2212.3523528333571</v>
      </c>
      <c r="K24" s="876">
        <f t="shared" si="5"/>
        <v>-2225.2577415582182</v>
      </c>
      <c r="L24" s="876">
        <f t="shared" si="5"/>
        <v>-2238.2384117173078</v>
      </c>
      <c r="M24" s="876">
        <f t="shared" si="5"/>
        <v>-2251.2948024523257</v>
      </c>
      <c r="N24" s="876">
        <f>SUM(B24:M24)</f>
        <v>-26170.258995967928</v>
      </c>
    </row>
    <row r="25" spans="1:14" s="845" customFormat="1" ht="16.149999999999999" customHeight="1" x14ac:dyDescent="0.2">
      <c r="A25" s="880"/>
      <c r="B25" s="882"/>
      <c r="C25" s="882"/>
      <c r="D25" s="882"/>
      <c r="E25" s="882"/>
      <c r="F25" s="882"/>
      <c r="G25" s="882"/>
      <c r="H25" s="882"/>
      <c r="I25" s="882"/>
      <c r="J25" s="882"/>
      <c r="K25" s="882"/>
      <c r="L25" s="882"/>
      <c r="M25" s="882"/>
      <c r="N25" s="882"/>
    </row>
    <row r="26" spans="1:14" s="845" customFormat="1" ht="16.149999999999999" customHeight="1" thickBot="1" x14ac:dyDescent="0.25">
      <c r="A26" s="884" t="s">
        <v>875</v>
      </c>
      <c r="B26" s="885">
        <f>B24</f>
        <v>-2111.7675113234845</v>
      </c>
      <c r="C26" s="885">
        <f t="shared" ref="C26:M26" si="6">B26+C24</f>
        <v>-4235.8536664630228</v>
      </c>
      <c r="D26" s="885">
        <f t="shared" si="6"/>
        <v>-6372.3303241742087</v>
      </c>
      <c r="E26" s="885">
        <f t="shared" si="6"/>
        <v>-8521.2697623887088</v>
      </c>
      <c r="F26" s="885">
        <f t="shared" si="6"/>
        <v>-10682.74468065946</v>
      </c>
      <c r="G26" s="885">
        <f t="shared" si="6"/>
        <v>-12856.828202620125</v>
      </c>
      <c r="H26" s="885">
        <f t="shared" si="6"/>
        <v>-15043.593878458894</v>
      </c>
      <c r="I26" s="885">
        <f t="shared" si="6"/>
        <v>-17243.115687406724</v>
      </c>
      <c r="J26" s="885">
        <f t="shared" si="6"/>
        <v>-19455.468040240081</v>
      </c>
      <c r="K26" s="885">
        <f t="shared" si="6"/>
        <v>-21680.725781798297</v>
      </c>
      <c r="L26" s="885">
        <f t="shared" si="6"/>
        <v>-23918.964193515603</v>
      </c>
      <c r="M26" s="885">
        <f t="shared" si="6"/>
        <v>-26170.258995967928</v>
      </c>
      <c r="N26" s="885"/>
    </row>
    <row r="27" spans="1:14" s="843" customFormat="1" ht="12" x14ac:dyDescent="0.2">
      <c r="N27" s="845"/>
    </row>
    <row r="28" spans="1:14" s="843" customFormat="1" x14ac:dyDescent="0.25">
      <c r="L28" s="446"/>
      <c r="M28" s="446"/>
      <c r="N28" s="305"/>
    </row>
  </sheetData>
  <sheetProtection sheet="1" objects="1" scenarios="1" formatCells="0" formatColumns="0"/>
  <phoneticPr fontId="13" type="noConversion"/>
  <printOptions horizontalCentered="1" verticalCentered="1"/>
  <pageMargins left="0.39370078740157483" right="0.39370078740157483" top="0.41" bottom="0.59055118110236227" header="0.31496062992125984" footer="0.31496062992125984"/>
  <pageSetup paperSize="9" scale="80" orientation="landscape" horizontalDpi="300" verticalDpi="300" r:id="rId1"/>
  <headerFooter alignWithMargins="0">
    <oddFooter>&amp;A</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54">
    <tabColor rgb="FFFFB81F"/>
    <pageSetUpPr fitToPage="1"/>
  </sheetPr>
  <dimension ref="A1:P90"/>
  <sheetViews>
    <sheetView showGridLines="0" workbookViewId="0">
      <selection activeCell="M15" sqref="M15"/>
    </sheetView>
  </sheetViews>
  <sheetFormatPr baseColWidth="10" defaultRowHeight="15" x14ac:dyDescent="0.25"/>
  <cols>
    <col min="1" max="1" width="24.5" style="305" customWidth="1"/>
    <col min="2" max="2" width="15.125" style="445" bestFit="1" customWidth="1"/>
    <col min="3" max="3" width="12" style="446" customWidth="1"/>
    <col min="4" max="4" width="8.875" style="446" customWidth="1"/>
    <col min="5" max="5" width="11.375" style="446" customWidth="1"/>
    <col min="6" max="6" width="9.625" style="446" customWidth="1"/>
    <col min="7" max="7" width="11" style="446"/>
    <col min="8" max="8" width="8.25" style="446" customWidth="1"/>
    <col min="9" max="9" width="11.5" style="446" customWidth="1"/>
    <col min="10" max="10" width="8.75" style="446" customWidth="1"/>
    <col min="11" max="12" width="11" style="446"/>
    <col min="13" max="13" width="21.75" style="446" bestFit="1" customWidth="1"/>
    <col min="14" max="16384" width="11" style="446"/>
  </cols>
  <sheetData>
    <row r="1" spans="1:14" ht="27.75" x14ac:dyDescent="0.45">
      <c r="A1" s="1308" t="str">
        <f>'Prev.Ventas 0'!A1</f>
        <v>Previsiones de Ventas de la empresa</v>
      </c>
      <c r="B1" s="1232"/>
      <c r="C1" s="1233"/>
      <c r="D1" s="1233"/>
      <c r="E1" s="1233"/>
      <c r="F1" s="1233"/>
      <c r="G1" s="1231"/>
      <c r="H1" s="1231"/>
      <c r="I1" s="1233"/>
      <c r="J1" s="1231"/>
      <c r="K1" s="1233"/>
      <c r="L1" s="662"/>
    </row>
    <row r="2" spans="1:14" ht="27.75" x14ac:dyDescent="0.45">
      <c r="A2" s="408">
        <f>'Datos Básicos'!B8</f>
        <v>0</v>
      </c>
      <c r="M2" s="1189"/>
      <c r="N2" s="1075"/>
    </row>
    <row r="3" spans="1:14" ht="27.75" x14ac:dyDescent="0.45">
      <c r="A3" s="408"/>
    </row>
    <row r="4" spans="1:14" ht="27.75" x14ac:dyDescent="0.45">
      <c r="A4" s="408"/>
    </row>
    <row r="5" spans="1:14" ht="28.5" thickBot="1" x14ac:dyDescent="0.5">
      <c r="A5" s="408"/>
    </row>
    <row r="6" spans="1:14" s="481" customFormat="1" ht="19.5" customHeight="1" x14ac:dyDescent="0.25">
      <c r="A6" s="1859" t="s">
        <v>52</v>
      </c>
      <c r="B6" s="1860" t="str">
        <f>CONCATENATE('Datos Básicos'!B16,":  ",'Datos Básicos'!B17)</f>
        <v>Año 0:  2026</v>
      </c>
      <c r="C6" s="1861" t="str">
        <f>CONCATENATE("Año ",'Datos Básicos'!C16,":  ",'Datos Básicos'!C17)</f>
        <v>Año 1:  2027</v>
      </c>
      <c r="D6" s="1862"/>
      <c r="E6" s="1861" t="str">
        <f>CONCATENATE("Año ",'Datos Básicos'!D16,":  ",'Datos Básicos'!D17)</f>
        <v>Año 2:  2028</v>
      </c>
      <c r="F6" s="1862"/>
      <c r="G6" s="1861" t="str">
        <f>CONCATENATE("Año ",'Datos Básicos'!E16,":  ",'Datos Básicos'!E17)</f>
        <v>Año 3:  2029</v>
      </c>
      <c r="H6" s="1862"/>
      <c r="I6" s="1861" t="str">
        <f>CONCATENATE("Año ",'Datos Básicos'!F16,":  ",'Datos Básicos'!F17)</f>
        <v>Año 4:  2030</v>
      </c>
      <c r="J6" s="1863"/>
    </row>
    <row r="7" spans="1:14" s="481" customFormat="1" ht="16.5" customHeight="1" x14ac:dyDescent="0.25">
      <c r="A7" s="1388"/>
      <c r="B7" s="1385" t="s">
        <v>864</v>
      </c>
      <c r="C7" s="1385" t="s">
        <v>864</v>
      </c>
      <c r="D7" s="1385" t="s">
        <v>318</v>
      </c>
      <c r="E7" s="1385" t="s">
        <v>864</v>
      </c>
      <c r="F7" s="1385" t="s">
        <v>318</v>
      </c>
      <c r="G7" s="1385" t="s">
        <v>864</v>
      </c>
      <c r="H7" s="1385" t="s">
        <v>318</v>
      </c>
      <c r="I7" s="1385" t="s">
        <v>864</v>
      </c>
      <c r="J7" s="1389" t="s">
        <v>318</v>
      </c>
    </row>
    <row r="8" spans="1:14" ht="15.75" customHeight="1" x14ac:dyDescent="0.25">
      <c r="A8" s="1390" t="str">
        <f>IF(Parametros!A24="","",Parametros!A24)</f>
        <v/>
      </c>
      <c r="B8" s="1386">
        <f>'Prev.Ventas 0'!$N5</f>
        <v>0</v>
      </c>
      <c r="C8" s="1386">
        <f>'Prev.Ventas 1'!$N5</f>
        <v>0</v>
      </c>
      <c r="D8" s="1387" t="str">
        <f t="shared" ref="D8:D15" si="0">IF(B8=0,"",(C8-B8)/B8)</f>
        <v/>
      </c>
      <c r="E8" s="1386">
        <f>'Prev.Ventas 2'!$N5</f>
        <v>0</v>
      </c>
      <c r="F8" s="1387" t="str">
        <f t="shared" ref="F8:J15" si="1">IF(C8=0,"",(E8-C8)/C8)</f>
        <v/>
      </c>
      <c r="G8" s="1386">
        <f>'Prev.Ventas 3'!$N5</f>
        <v>0</v>
      </c>
      <c r="H8" s="1387" t="str">
        <f t="shared" si="1"/>
        <v/>
      </c>
      <c r="I8" s="1386">
        <f>'Prev.Ventas 4'!$N5</f>
        <v>0</v>
      </c>
      <c r="J8" s="1391" t="str">
        <f t="shared" si="1"/>
        <v/>
      </c>
    </row>
    <row r="9" spans="1:14" x14ac:dyDescent="0.25">
      <c r="A9" s="1390" t="str">
        <f>IF(Parametros!A25="","",Parametros!A25)</f>
        <v/>
      </c>
      <c r="B9" s="1386">
        <f>'Prev.Ventas 0'!$N6</f>
        <v>0</v>
      </c>
      <c r="C9" s="1386">
        <f>'Prev.Ventas 1'!$N6</f>
        <v>0</v>
      </c>
      <c r="D9" s="1387" t="str">
        <f t="shared" si="0"/>
        <v/>
      </c>
      <c r="E9" s="1386">
        <f>'Prev.Ventas 2'!$N6</f>
        <v>0</v>
      </c>
      <c r="F9" s="1387" t="str">
        <f t="shared" si="1"/>
        <v/>
      </c>
      <c r="G9" s="1386">
        <f>'Prev.Ventas 3'!$N6</f>
        <v>0</v>
      </c>
      <c r="H9" s="1387" t="str">
        <f t="shared" si="1"/>
        <v/>
      </c>
      <c r="I9" s="1386">
        <f>'Prev.Ventas 4'!$N6</f>
        <v>0</v>
      </c>
      <c r="J9" s="1391" t="str">
        <f t="shared" si="1"/>
        <v/>
      </c>
    </row>
    <row r="10" spans="1:14" x14ac:dyDescent="0.25">
      <c r="A10" s="1390" t="str">
        <f>IF(Parametros!A26="","",Parametros!A26)</f>
        <v/>
      </c>
      <c r="B10" s="1386">
        <f>'Prev.Ventas 0'!$N7</f>
        <v>0</v>
      </c>
      <c r="C10" s="1386">
        <f>'Prev.Ventas 1'!$N7</f>
        <v>0</v>
      </c>
      <c r="D10" s="1387" t="str">
        <f t="shared" si="0"/>
        <v/>
      </c>
      <c r="E10" s="1386">
        <f>'Prev.Ventas 2'!$N7</f>
        <v>0</v>
      </c>
      <c r="F10" s="1387" t="str">
        <f t="shared" si="1"/>
        <v/>
      </c>
      <c r="G10" s="1386">
        <f>'Prev.Ventas 3'!$N7</f>
        <v>0</v>
      </c>
      <c r="H10" s="1387" t="str">
        <f t="shared" si="1"/>
        <v/>
      </c>
      <c r="I10" s="1386">
        <f>'Prev.Ventas 4'!$N7</f>
        <v>0</v>
      </c>
      <c r="J10" s="1391" t="str">
        <f t="shared" si="1"/>
        <v/>
      </c>
    </row>
    <row r="11" spans="1:14" x14ac:dyDescent="0.25">
      <c r="A11" s="1390" t="str">
        <f>IF(Parametros!A27="","",Parametros!A27)</f>
        <v/>
      </c>
      <c r="B11" s="1386">
        <f>'Prev.Ventas 0'!$N8</f>
        <v>0</v>
      </c>
      <c r="C11" s="1386">
        <f>'Prev.Ventas 1'!$N8</f>
        <v>0</v>
      </c>
      <c r="D11" s="1387" t="str">
        <f t="shared" si="0"/>
        <v/>
      </c>
      <c r="E11" s="1386">
        <f>'Prev.Ventas 2'!$N8</f>
        <v>0</v>
      </c>
      <c r="F11" s="1387" t="str">
        <f t="shared" si="1"/>
        <v/>
      </c>
      <c r="G11" s="1386">
        <f>'Prev.Ventas 3'!$N8</f>
        <v>0</v>
      </c>
      <c r="H11" s="1387" t="str">
        <f t="shared" si="1"/>
        <v/>
      </c>
      <c r="I11" s="1386">
        <f>'Prev.Ventas 4'!$N8</f>
        <v>0</v>
      </c>
      <c r="J11" s="1391" t="str">
        <f t="shared" si="1"/>
        <v/>
      </c>
    </row>
    <row r="12" spans="1:14" x14ac:dyDescent="0.25">
      <c r="A12" s="1390" t="str">
        <f>IF(Parametros!A28="","",Parametros!A28)</f>
        <v/>
      </c>
      <c r="B12" s="1386">
        <f>'Prev.Ventas 0'!$N9</f>
        <v>0</v>
      </c>
      <c r="C12" s="1386">
        <f>'Prev.Ventas 1'!$N9</f>
        <v>0</v>
      </c>
      <c r="D12" s="1387" t="str">
        <f t="shared" si="0"/>
        <v/>
      </c>
      <c r="E12" s="1386">
        <f>'Prev.Ventas 2'!$N9</f>
        <v>0</v>
      </c>
      <c r="F12" s="1387" t="str">
        <f t="shared" si="1"/>
        <v/>
      </c>
      <c r="G12" s="1386">
        <f>'Prev.Ventas 3'!$N9</f>
        <v>0</v>
      </c>
      <c r="H12" s="1387" t="str">
        <f t="shared" si="1"/>
        <v/>
      </c>
      <c r="I12" s="1386">
        <f>'Prev.Ventas 4'!$N9</f>
        <v>0</v>
      </c>
      <c r="J12" s="1391" t="str">
        <f t="shared" si="1"/>
        <v/>
      </c>
    </row>
    <row r="13" spans="1:14" x14ac:dyDescent="0.25">
      <c r="A13" s="1390" t="str">
        <f>IF(Parametros!A29="","",Parametros!A29)</f>
        <v/>
      </c>
      <c r="B13" s="1386">
        <f>'Prev.Ventas 0'!$N10</f>
        <v>0</v>
      </c>
      <c r="C13" s="1386">
        <f>'Prev.Ventas 1'!$N10</f>
        <v>0</v>
      </c>
      <c r="D13" s="1387" t="str">
        <f t="shared" si="0"/>
        <v/>
      </c>
      <c r="E13" s="1386">
        <f>'Prev.Ventas 2'!$N10</f>
        <v>0</v>
      </c>
      <c r="F13" s="1387" t="str">
        <f t="shared" si="1"/>
        <v/>
      </c>
      <c r="G13" s="1386">
        <f>'Prev.Ventas 3'!$N10</f>
        <v>0</v>
      </c>
      <c r="H13" s="1387" t="str">
        <f t="shared" si="1"/>
        <v/>
      </c>
      <c r="I13" s="1386">
        <f>'Prev.Ventas 4'!$N10</f>
        <v>0</v>
      </c>
      <c r="J13" s="1391" t="str">
        <f t="shared" si="1"/>
        <v/>
      </c>
    </row>
    <row r="14" spans="1:14" x14ac:dyDescent="0.25">
      <c r="A14" s="1390" t="str">
        <f>IF(Parametros!A30="","",Parametros!A30)</f>
        <v/>
      </c>
      <c r="B14" s="1386">
        <f>'Prev.Ventas 0'!$N11</f>
        <v>0</v>
      </c>
      <c r="C14" s="1386">
        <f>'Prev.Ventas 1'!$N11</f>
        <v>0</v>
      </c>
      <c r="D14" s="1387" t="str">
        <f t="shared" si="0"/>
        <v/>
      </c>
      <c r="E14" s="1386">
        <f>'Prev.Ventas 2'!$N11</f>
        <v>0</v>
      </c>
      <c r="F14" s="1387" t="str">
        <f t="shared" si="1"/>
        <v/>
      </c>
      <c r="G14" s="1386">
        <f>'Prev.Ventas 3'!$N11</f>
        <v>0</v>
      </c>
      <c r="H14" s="1387" t="str">
        <f t="shared" si="1"/>
        <v/>
      </c>
      <c r="I14" s="1386">
        <f>'Prev.Ventas 4'!$N11</f>
        <v>0</v>
      </c>
      <c r="J14" s="1391" t="str">
        <f t="shared" si="1"/>
        <v/>
      </c>
    </row>
    <row r="15" spans="1:14" ht="15.75" thickBot="1" x14ac:dyDescent="0.3">
      <c r="A15" s="1392" t="str">
        <f>IF(Parametros!A31="","",Parametros!A31)</f>
        <v/>
      </c>
      <c r="B15" s="1393">
        <f>'Prev.Ventas 0'!$N12</f>
        <v>0</v>
      </c>
      <c r="C15" s="1393">
        <f>'Prev.Ventas 1'!$N12</f>
        <v>0</v>
      </c>
      <c r="D15" s="1394" t="str">
        <f t="shared" si="0"/>
        <v/>
      </c>
      <c r="E15" s="1393">
        <f>'Prev.Ventas 2'!$N12</f>
        <v>0</v>
      </c>
      <c r="F15" s="1394" t="str">
        <f t="shared" si="1"/>
        <v/>
      </c>
      <c r="G15" s="1393">
        <f>'Prev.Ventas 3'!$N12</f>
        <v>0</v>
      </c>
      <c r="H15" s="1394" t="str">
        <f t="shared" si="1"/>
        <v/>
      </c>
      <c r="I15" s="1393">
        <f>'Prev.Ventas 4'!$N12</f>
        <v>0</v>
      </c>
      <c r="J15" s="1395" t="str">
        <f t="shared" si="1"/>
        <v/>
      </c>
    </row>
    <row r="16" spans="1:14" ht="18" thickTop="1" x14ac:dyDescent="0.3">
      <c r="A16" s="398"/>
    </row>
    <row r="17" spans="1:12" ht="17.25" x14ac:dyDescent="0.3">
      <c r="A17" s="450" t="str">
        <f>'PyG anuales'!A34</f>
        <v/>
      </c>
    </row>
    <row r="18" spans="1:12" ht="18" thickBot="1" x14ac:dyDescent="0.35">
      <c r="A18" s="450"/>
    </row>
    <row r="19" spans="1:12" s="483" customFormat="1" ht="20.25" customHeight="1" x14ac:dyDescent="0.25">
      <c r="A19" s="1859" t="str">
        <f>CONCATENATE("Ventas (",Moneda,")")</f>
        <v>Ventas (Euros)</v>
      </c>
      <c r="B19" s="1860" t="str">
        <f>B$6</f>
        <v>Año 0:  2026</v>
      </c>
      <c r="C19" s="1861" t="str">
        <f>C$6</f>
        <v>Año 1:  2027</v>
      </c>
      <c r="D19" s="1862"/>
      <c r="E19" s="1861" t="str">
        <f>E$6</f>
        <v>Año 2:  2028</v>
      </c>
      <c r="F19" s="1862"/>
      <c r="G19" s="1861" t="str">
        <f>G$6</f>
        <v>Año 3:  2029</v>
      </c>
      <c r="H19" s="1862"/>
      <c r="I19" s="1861" t="str">
        <f>I$6</f>
        <v>Año 4:  2030</v>
      </c>
      <c r="J19" s="1863"/>
    </row>
    <row r="20" spans="1:12" s="483" customFormat="1" ht="16.5" customHeight="1" x14ac:dyDescent="0.25">
      <c r="A20" s="1396"/>
      <c r="B20" s="1385" t="s">
        <v>864</v>
      </c>
      <c r="C20" s="1385" t="s">
        <v>864</v>
      </c>
      <c r="D20" s="1385" t="s">
        <v>318</v>
      </c>
      <c r="E20" s="1385" t="s">
        <v>864</v>
      </c>
      <c r="F20" s="1385" t="s">
        <v>318</v>
      </c>
      <c r="G20" s="1385" t="s">
        <v>864</v>
      </c>
      <c r="H20" s="1385" t="s">
        <v>318</v>
      </c>
      <c r="I20" s="1385" t="s">
        <v>864</v>
      </c>
      <c r="J20" s="1389" t="s">
        <v>318</v>
      </c>
    </row>
    <row r="21" spans="1:12" x14ac:dyDescent="0.25">
      <c r="A21" s="1390" t="str">
        <f>IF(Parametros!A24="","",Parametros!A24)</f>
        <v/>
      </c>
      <c r="B21" s="1386">
        <f>'Prev.Ventas 0'!$N17</f>
        <v>0</v>
      </c>
      <c r="C21" s="1386">
        <f>'Prev.Ventas 1'!$N17</f>
        <v>0</v>
      </c>
      <c r="D21" s="1387" t="str">
        <f t="shared" ref="D21:D29" si="2">IF(B21=0,"",(C21-B21)/B21)</f>
        <v/>
      </c>
      <c r="E21" s="1386">
        <f>'Prev.Ventas 2'!$N17</f>
        <v>0</v>
      </c>
      <c r="F21" s="1387" t="str">
        <f t="shared" ref="F21:F29" si="3">IF(C21=0,"",(E21-C21)/C21)</f>
        <v/>
      </c>
      <c r="G21" s="1386">
        <f>'Prev.Ventas 3'!$N17</f>
        <v>0</v>
      </c>
      <c r="H21" s="1387" t="str">
        <f t="shared" ref="H21:H28" si="4">IF(E21=0,"",(G21-E21)/E21)</f>
        <v/>
      </c>
      <c r="I21" s="1386">
        <f>'Prev.Ventas 4'!$N17</f>
        <v>0</v>
      </c>
      <c r="J21" s="1391" t="str">
        <f t="shared" ref="J21:J28" si="5">IF(G21=0,"",(I21-G21)/G21)</f>
        <v/>
      </c>
    </row>
    <row r="22" spans="1:12" x14ac:dyDescent="0.25">
      <c r="A22" s="1390" t="str">
        <f>IF(Parametros!A25="","",Parametros!A25)</f>
        <v/>
      </c>
      <c r="B22" s="1386">
        <f>'Prev.Ventas 0'!$N18</f>
        <v>0</v>
      </c>
      <c r="C22" s="1386">
        <f>'Prev.Ventas 1'!$N18</f>
        <v>0</v>
      </c>
      <c r="D22" s="1387" t="str">
        <f t="shared" si="2"/>
        <v/>
      </c>
      <c r="E22" s="1386">
        <f>'Prev.Ventas 2'!$N18</f>
        <v>0</v>
      </c>
      <c r="F22" s="1387" t="str">
        <f t="shared" si="3"/>
        <v/>
      </c>
      <c r="G22" s="1386">
        <f>'Prev.Ventas 3'!$N18</f>
        <v>0</v>
      </c>
      <c r="H22" s="1387" t="str">
        <f t="shared" si="4"/>
        <v/>
      </c>
      <c r="I22" s="1386">
        <f>'Prev.Ventas 4'!$N18</f>
        <v>0</v>
      </c>
      <c r="J22" s="1391" t="str">
        <f t="shared" si="5"/>
        <v/>
      </c>
    </row>
    <row r="23" spans="1:12" x14ac:dyDescent="0.25">
      <c r="A23" s="1390" t="str">
        <f>IF(Parametros!A26="","",Parametros!A26)</f>
        <v/>
      </c>
      <c r="B23" s="1386">
        <f>'Prev.Ventas 0'!$N19</f>
        <v>0</v>
      </c>
      <c r="C23" s="1386">
        <f>'Prev.Ventas 1'!$N19</f>
        <v>0</v>
      </c>
      <c r="D23" s="1387" t="str">
        <f t="shared" si="2"/>
        <v/>
      </c>
      <c r="E23" s="1386">
        <f>'Prev.Ventas 2'!$N19</f>
        <v>0</v>
      </c>
      <c r="F23" s="1387" t="str">
        <f t="shared" si="3"/>
        <v/>
      </c>
      <c r="G23" s="1386">
        <f>'Prev.Ventas 3'!$N19</f>
        <v>0</v>
      </c>
      <c r="H23" s="1387" t="str">
        <f t="shared" si="4"/>
        <v/>
      </c>
      <c r="I23" s="1386">
        <f>'Prev.Ventas 4'!$N19</f>
        <v>0</v>
      </c>
      <c r="J23" s="1391" t="str">
        <f t="shared" si="5"/>
        <v/>
      </c>
    </row>
    <row r="24" spans="1:12" x14ac:dyDescent="0.25">
      <c r="A24" s="1390" t="str">
        <f>IF(Parametros!A27="","",Parametros!A27)</f>
        <v/>
      </c>
      <c r="B24" s="1386">
        <f>'Prev.Ventas 0'!$N20</f>
        <v>0</v>
      </c>
      <c r="C24" s="1386">
        <f>'Prev.Ventas 1'!$N20</f>
        <v>0</v>
      </c>
      <c r="D24" s="1387" t="str">
        <f t="shared" si="2"/>
        <v/>
      </c>
      <c r="E24" s="1386">
        <f>'Prev.Ventas 2'!$N20</f>
        <v>0</v>
      </c>
      <c r="F24" s="1387" t="str">
        <f t="shared" si="3"/>
        <v/>
      </c>
      <c r="G24" s="1386">
        <f>'Prev.Ventas 3'!$N20</f>
        <v>0</v>
      </c>
      <c r="H24" s="1387" t="str">
        <f t="shared" si="4"/>
        <v/>
      </c>
      <c r="I24" s="1386">
        <f>'Prev.Ventas 4'!$N20</f>
        <v>0</v>
      </c>
      <c r="J24" s="1391" t="str">
        <f t="shared" si="5"/>
        <v/>
      </c>
    </row>
    <row r="25" spans="1:12" x14ac:dyDescent="0.25">
      <c r="A25" s="1390" t="str">
        <f>IF(Parametros!A28="","",Parametros!A28)</f>
        <v/>
      </c>
      <c r="B25" s="1386">
        <f>'Prev.Ventas 0'!$N21</f>
        <v>0</v>
      </c>
      <c r="C25" s="1386">
        <f>'Prev.Ventas 1'!$N21</f>
        <v>0</v>
      </c>
      <c r="D25" s="1387" t="str">
        <f t="shared" si="2"/>
        <v/>
      </c>
      <c r="E25" s="1386">
        <f>'Prev.Ventas 2'!$N21</f>
        <v>0</v>
      </c>
      <c r="F25" s="1387" t="str">
        <f t="shared" si="3"/>
        <v/>
      </c>
      <c r="G25" s="1386">
        <f>'Prev.Ventas 3'!$N21</f>
        <v>0</v>
      </c>
      <c r="H25" s="1387" t="str">
        <f t="shared" si="4"/>
        <v/>
      </c>
      <c r="I25" s="1386">
        <f>'Prev.Ventas 4'!$N21</f>
        <v>0</v>
      </c>
      <c r="J25" s="1391" t="str">
        <f t="shared" si="5"/>
        <v/>
      </c>
    </row>
    <row r="26" spans="1:12" x14ac:dyDescent="0.25">
      <c r="A26" s="1390" t="str">
        <f>IF(Parametros!A29="","",Parametros!A29)</f>
        <v/>
      </c>
      <c r="B26" s="1386">
        <f>'Prev.Ventas 0'!$N22</f>
        <v>0</v>
      </c>
      <c r="C26" s="1386">
        <f>'Prev.Ventas 1'!$N22</f>
        <v>0</v>
      </c>
      <c r="D26" s="1387" t="str">
        <f t="shared" si="2"/>
        <v/>
      </c>
      <c r="E26" s="1386">
        <f>'Prev.Ventas 2'!$N22</f>
        <v>0</v>
      </c>
      <c r="F26" s="1387" t="str">
        <f t="shared" si="3"/>
        <v/>
      </c>
      <c r="G26" s="1386">
        <f>'Prev.Ventas 3'!$N22</f>
        <v>0</v>
      </c>
      <c r="H26" s="1387" t="str">
        <f t="shared" si="4"/>
        <v/>
      </c>
      <c r="I26" s="1386">
        <f>'Prev.Ventas 4'!$N22</f>
        <v>0</v>
      </c>
      <c r="J26" s="1391" t="str">
        <f t="shared" si="5"/>
        <v/>
      </c>
    </row>
    <row r="27" spans="1:12" x14ac:dyDescent="0.25">
      <c r="A27" s="1390" t="str">
        <f>IF(Parametros!A30="","",Parametros!A30)</f>
        <v/>
      </c>
      <c r="B27" s="1386">
        <f>'Prev.Ventas 0'!$N23</f>
        <v>0</v>
      </c>
      <c r="C27" s="1386">
        <f>'Prev.Ventas 1'!$N23</f>
        <v>0</v>
      </c>
      <c r="D27" s="1387" t="str">
        <f t="shared" si="2"/>
        <v/>
      </c>
      <c r="E27" s="1386">
        <f>'Prev.Ventas 2'!$N23</f>
        <v>0</v>
      </c>
      <c r="F27" s="1387" t="str">
        <f t="shared" si="3"/>
        <v/>
      </c>
      <c r="G27" s="1386">
        <f>'Prev.Ventas 3'!$N23</f>
        <v>0</v>
      </c>
      <c r="H27" s="1387" t="str">
        <f t="shared" si="4"/>
        <v/>
      </c>
      <c r="I27" s="1386">
        <f>'Prev.Ventas 4'!$N23</f>
        <v>0</v>
      </c>
      <c r="J27" s="1391" t="str">
        <f t="shared" si="5"/>
        <v/>
      </c>
    </row>
    <row r="28" spans="1:12" x14ac:dyDescent="0.25">
      <c r="A28" s="1390" t="str">
        <f>IF(Parametros!A31="","",Parametros!A31)</f>
        <v/>
      </c>
      <c r="B28" s="1386">
        <f>'Prev.Ventas 0'!$N24</f>
        <v>0</v>
      </c>
      <c r="C28" s="1386">
        <f>'Prev.Ventas 1'!$N24</f>
        <v>0</v>
      </c>
      <c r="D28" s="1387" t="str">
        <f t="shared" si="2"/>
        <v/>
      </c>
      <c r="E28" s="1386">
        <f>'Prev.Ventas 2'!$N24</f>
        <v>0</v>
      </c>
      <c r="F28" s="1387" t="str">
        <f t="shared" si="3"/>
        <v/>
      </c>
      <c r="G28" s="1386">
        <f>'Prev.Ventas 3'!$N24</f>
        <v>0</v>
      </c>
      <c r="H28" s="1387" t="str">
        <f t="shared" si="4"/>
        <v/>
      </c>
      <c r="I28" s="1386">
        <f>'Prev.Ventas 4'!$N24</f>
        <v>0</v>
      </c>
      <c r="J28" s="1391" t="str">
        <f t="shared" si="5"/>
        <v/>
      </c>
    </row>
    <row r="29" spans="1:12" ht="20.25" customHeight="1" thickBot="1" x14ac:dyDescent="0.3">
      <c r="A29" s="2129" t="s">
        <v>865</v>
      </c>
      <c r="B29" s="2130">
        <f>B21+B22+B23+B24+B25+B26+B27+B28</f>
        <v>0</v>
      </c>
      <c r="C29" s="2130">
        <f>C21+C22+C23+C24+C25+C26+C27+C28</f>
        <v>0</v>
      </c>
      <c r="D29" s="2131" t="str">
        <f t="shared" si="2"/>
        <v/>
      </c>
      <c r="E29" s="2130">
        <f>E21+E22+E23+E24+E25+E26+E27+E28</f>
        <v>0</v>
      </c>
      <c r="F29" s="2131" t="str">
        <f t="shared" si="3"/>
        <v/>
      </c>
      <c r="G29" s="2130">
        <f>G21+G22+G23+G24+G25+G26+G27+G28</f>
        <v>0</v>
      </c>
      <c r="H29" s="2131" t="str">
        <f>IF(E29=0,"",(G29-E29)/E29)</f>
        <v/>
      </c>
      <c r="I29" s="2130">
        <f>I21+I22+I23+I24+I25+I26+I27+I28</f>
        <v>0</v>
      </c>
      <c r="J29" s="2132" t="str">
        <f>IF(G29=0,"",(I29-G29)/G29)</f>
        <v/>
      </c>
    </row>
    <row r="30" spans="1:12" ht="18" thickTop="1" x14ac:dyDescent="0.3">
      <c r="A30" s="450"/>
    </row>
    <row r="31" spans="1:12" ht="17.25" x14ac:dyDescent="0.3">
      <c r="A31" s="450"/>
    </row>
    <row r="32" spans="1:12" ht="27.75" x14ac:dyDescent="0.45">
      <c r="A32" s="1308" t="str">
        <f>'Prev.Ventas 0'!A28</f>
        <v>Previsión de Costes Variables de la empresa</v>
      </c>
      <c r="B32" s="1232"/>
      <c r="C32" s="1233"/>
      <c r="D32" s="1233"/>
      <c r="E32" s="1233"/>
      <c r="F32" s="1233"/>
      <c r="G32" s="1233"/>
      <c r="H32" s="1233"/>
      <c r="I32" s="1231"/>
      <c r="J32" s="1233"/>
      <c r="K32" s="1233"/>
      <c r="L32" s="662"/>
    </row>
    <row r="33" spans="1:10" ht="28.5" thickBot="1" x14ac:dyDescent="0.5">
      <c r="A33" s="408">
        <f>'Datos Básicos'!B8</f>
        <v>0</v>
      </c>
    </row>
    <row r="34" spans="1:10" s="483" customFormat="1" ht="23.25" customHeight="1" x14ac:dyDescent="0.25">
      <c r="A34" s="1859" t="s">
        <v>320</v>
      </c>
      <c r="B34" s="1860" t="str">
        <f>B$6</f>
        <v>Año 0:  2026</v>
      </c>
      <c r="C34" s="1861" t="str">
        <f>C$6</f>
        <v>Año 1:  2027</v>
      </c>
      <c r="D34" s="1862"/>
      <c r="E34" s="1861" t="str">
        <f>E$6</f>
        <v>Año 2:  2028</v>
      </c>
      <c r="F34" s="1862"/>
      <c r="G34" s="1861" t="str">
        <f>G$6</f>
        <v>Año 3:  2029</v>
      </c>
      <c r="H34" s="1862"/>
      <c r="I34" s="1861" t="str">
        <f>I$6</f>
        <v>Año 4:  2030</v>
      </c>
      <c r="J34" s="1863"/>
    </row>
    <row r="35" spans="1:10" s="483" customFormat="1" ht="19.5" customHeight="1" x14ac:dyDescent="0.25">
      <c r="A35" s="1396"/>
      <c r="B35" s="1385" t="s">
        <v>319</v>
      </c>
      <c r="C35" s="1385" t="s">
        <v>319</v>
      </c>
      <c r="D35" s="1385" t="s">
        <v>318</v>
      </c>
      <c r="E35" s="1385" t="s">
        <v>319</v>
      </c>
      <c r="F35" s="1385" t="s">
        <v>318</v>
      </c>
      <c r="G35" s="1385" t="s">
        <v>319</v>
      </c>
      <c r="H35" s="1385" t="s">
        <v>318</v>
      </c>
      <c r="I35" s="1385" t="s">
        <v>319</v>
      </c>
      <c r="J35" s="1389" t="s">
        <v>318</v>
      </c>
    </row>
    <row r="36" spans="1:10" x14ac:dyDescent="0.25">
      <c r="A36" s="1390" t="str">
        <f>A8</f>
        <v/>
      </c>
      <c r="B36" s="1386">
        <f>'Prev.Ventas 0'!$N31</f>
        <v>0</v>
      </c>
      <c r="C36" s="1386">
        <f>'Prev.Ventas 1'!$N31</f>
        <v>0</v>
      </c>
      <c r="D36" s="1387" t="str">
        <f t="shared" ref="D36:D44" si="6">IF(B36=0,"",(C36-B36)/B36)</f>
        <v/>
      </c>
      <c r="E36" s="1386">
        <f>'Prev.Ventas 2'!$N31</f>
        <v>0</v>
      </c>
      <c r="F36" s="1387" t="str">
        <f t="shared" ref="F36:J44" si="7">IF(C36=0,"",(E36-C36)/C36)</f>
        <v/>
      </c>
      <c r="G36" s="1353">
        <f>'Prev.Ventas 3'!$N31</f>
        <v>0</v>
      </c>
      <c r="H36" s="1387" t="str">
        <f t="shared" si="7"/>
        <v/>
      </c>
      <c r="I36" s="1353">
        <f>'Prev.Ventas 4'!$N31</f>
        <v>0</v>
      </c>
      <c r="J36" s="1391" t="str">
        <f t="shared" si="7"/>
        <v/>
      </c>
    </row>
    <row r="37" spans="1:10" x14ac:dyDescent="0.25">
      <c r="A37" s="1390" t="str">
        <f t="shared" ref="A37:A43" si="8">A9</f>
        <v/>
      </c>
      <c r="B37" s="1386">
        <f>'Prev.Ventas 0'!$N32</f>
        <v>0</v>
      </c>
      <c r="C37" s="1386">
        <f>'Prev.Ventas 1'!$N32</f>
        <v>0</v>
      </c>
      <c r="D37" s="1387" t="str">
        <f t="shared" si="6"/>
        <v/>
      </c>
      <c r="E37" s="1386">
        <f>'Prev.Ventas 2'!$N32</f>
        <v>0</v>
      </c>
      <c r="F37" s="1387" t="str">
        <f t="shared" si="7"/>
        <v/>
      </c>
      <c r="G37" s="1353">
        <f>'Prev.Ventas 3'!$N32</f>
        <v>0</v>
      </c>
      <c r="H37" s="1387" t="str">
        <f t="shared" si="7"/>
        <v/>
      </c>
      <c r="I37" s="1353">
        <f>'Prev.Ventas 4'!$N32</f>
        <v>0</v>
      </c>
      <c r="J37" s="1391" t="str">
        <f t="shared" si="7"/>
        <v/>
      </c>
    </row>
    <row r="38" spans="1:10" x14ac:dyDescent="0.25">
      <c r="A38" s="1390" t="str">
        <f t="shared" si="8"/>
        <v/>
      </c>
      <c r="B38" s="1386">
        <f>'Prev.Ventas 0'!$N33</f>
        <v>0</v>
      </c>
      <c r="C38" s="1386">
        <f>'Prev.Ventas 1'!$N33</f>
        <v>0</v>
      </c>
      <c r="D38" s="1387" t="str">
        <f t="shared" si="6"/>
        <v/>
      </c>
      <c r="E38" s="1386">
        <f>'Prev.Ventas 2'!$N33</f>
        <v>0</v>
      </c>
      <c r="F38" s="1387" t="str">
        <f t="shared" si="7"/>
        <v/>
      </c>
      <c r="G38" s="1353">
        <f>'Prev.Ventas 3'!$N33</f>
        <v>0</v>
      </c>
      <c r="H38" s="1387" t="str">
        <f t="shared" si="7"/>
        <v/>
      </c>
      <c r="I38" s="1353">
        <f>'Prev.Ventas 4'!$N33</f>
        <v>0</v>
      </c>
      <c r="J38" s="1391" t="str">
        <f t="shared" si="7"/>
        <v/>
      </c>
    </row>
    <row r="39" spans="1:10" x14ac:dyDescent="0.25">
      <c r="A39" s="1390" t="str">
        <f t="shared" si="8"/>
        <v/>
      </c>
      <c r="B39" s="1386">
        <f>'Prev.Ventas 0'!$N34</f>
        <v>0</v>
      </c>
      <c r="C39" s="1386">
        <f>'Prev.Ventas 1'!$N34</f>
        <v>0</v>
      </c>
      <c r="D39" s="1387" t="str">
        <f t="shared" si="6"/>
        <v/>
      </c>
      <c r="E39" s="1386">
        <f>'Prev.Ventas 2'!$N34</f>
        <v>0</v>
      </c>
      <c r="F39" s="1387" t="str">
        <f t="shared" si="7"/>
        <v/>
      </c>
      <c r="G39" s="1353">
        <f>'Prev.Ventas 3'!$N34</f>
        <v>0</v>
      </c>
      <c r="H39" s="1387" t="str">
        <f t="shared" si="7"/>
        <v/>
      </c>
      <c r="I39" s="1353">
        <f>'Prev.Ventas 4'!$N34</f>
        <v>0</v>
      </c>
      <c r="J39" s="1391" t="str">
        <f t="shared" si="7"/>
        <v/>
      </c>
    </row>
    <row r="40" spans="1:10" x14ac:dyDescent="0.25">
      <c r="A40" s="1390" t="str">
        <f t="shared" si="8"/>
        <v/>
      </c>
      <c r="B40" s="1386">
        <f>'Prev.Ventas 0'!$N35</f>
        <v>0</v>
      </c>
      <c r="C40" s="1386">
        <f>'Prev.Ventas 1'!$N35</f>
        <v>0</v>
      </c>
      <c r="D40" s="1387" t="str">
        <f t="shared" si="6"/>
        <v/>
      </c>
      <c r="E40" s="1386">
        <f>'Prev.Ventas 2'!$N35</f>
        <v>0</v>
      </c>
      <c r="F40" s="1387" t="str">
        <f t="shared" si="7"/>
        <v/>
      </c>
      <c r="G40" s="1353">
        <f>'Prev.Ventas 3'!$N35</f>
        <v>0</v>
      </c>
      <c r="H40" s="1387" t="str">
        <f t="shared" si="7"/>
        <v/>
      </c>
      <c r="I40" s="1353">
        <f>'Prev.Ventas 4'!$N35</f>
        <v>0</v>
      </c>
      <c r="J40" s="1391" t="str">
        <f t="shared" si="7"/>
        <v/>
      </c>
    </row>
    <row r="41" spans="1:10" x14ac:dyDescent="0.25">
      <c r="A41" s="1390" t="str">
        <f t="shared" si="8"/>
        <v/>
      </c>
      <c r="B41" s="1386">
        <f>'Prev.Ventas 0'!$N36</f>
        <v>0</v>
      </c>
      <c r="C41" s="1386">
        <f>'Prev.Ventas 1'!$N36</f>
        <v>0</v>
      </c>
      <c r="D41" s="1387" t="str">
        <f t="shared" si="6"/>
        <v/>
      </c>
      <c r="E41" s="1386">
        <f>'Prev.Ventas 2'!$N36</f>
        <v>0</v>
      </c>
      <c r="F41" s="1387" t="str">
        <f t="shared" si="7"/>
        <v/>
      </c>
      <c r="G41" s="1353">
        <f>'Prev.Ventas 3'!$N36</f>
        <v>0</v>
      </c>
      <c r="H41" s="1387" t="str">
        <f t="shared" si="7"/>
        <v/>
      </c>
      <c r="I41" s="1353">
        <f>'Prev.Ventas 4'!$N36</f>
        <v>0</v>
      </c>
      <c r="J41" s="1391" t="str">
        <f t="shared" si="7"/>
        <v/>
      </c>
    </row>
    <row r="42" spans="1:10" x14ac:dyDescent="0.25">
      <c r="A42" s="1390" t="str">
        <f t="shared" si="8"/>
        <v/>
      </c>
      <c r="B42" s="1386">
        <f>'Prev.Ventas 0'!$N37</f>
        <v>0</v>
      </c>
      <c r="C42" s="1386">
        <f>'Prev.Ventas 1'!$N37</f>
        <v>0</v>
      </c>
      <c r="D42" s="1387" t="str">
        <f t="shared" si="6"/>
        <v/>
      </c>
      <c r="E42" s="1386">
        <f>'Prev.Ventas 2'!$N37</f>
        <v>0</v>
      </c>
      <c r="F42" s="1387" t="str">
        <f t="shared" si="7"/>
        <v/>
      </c>
      <c r="G42" s="1353">
        <f>'Prev.Ventas 3'!$N37</f>
        <v>0</v>
      </c>
      <c r="H42" s="1387" t="str">
        <f t="shared" si="7"/>
        <v/>
      </c>
      <c r="I42" s="1353">
        <f>'Prev.Ventas 4'!$N37</f>
        <v>0</v>
      </c>
      <c r="J42" s="1391" t="str">
        <f t="shared" si="7"/>
        <v/>
      </c>
    </row>
    <row r="43" spans="1:10" x14ac:dyDescent="0.25">
      <c r="A43" s="1390" t="str">
        <f t="shared" si="8"/>
        <v/>
      </c>
      <c r="B43" s="1386">
        <f>'Prev.Ventas 0'!$N38</f>
        <v>0</v>
      </c>
      <c r="C43" s="1386">
        <f>'Prev.Ventas 1'!$N38</f>
        <v>0</v>
      </c>
      <c r="D43" s="1387" t="str">
        <f t="shared" si="6"/>
        <v/>
      </c>
      <c r="E43" s="1386">
        <f>'Prev.Ventas 2'!$N38</f>
        <v>0</v>
      </c>
      <c r="F43" s="1387" t="str">
        <f t="shared" si="7"/>
        <v/>
      </c>
      <c r="G43" s="1386">
        <f>'Prev.Ventas 3'!$N38</f>
        <v>0</v>
      </c>
      <c r="H43" s="1387" t="str">
        <f t="shared" si="7"/>
        <v/>
      </c>
      <c r="I43" s="1386">
        <f>'Prev.Ventas 4'!$N38</f>
        <v>0</v>
      </c>
      <c r="J43" s="1391" t="str">
        <f t="shared" si="7"/>
        <v/>
      </c>
    </row>
    <row r="44" spans="1:10" s="305" customFormat="1" ht="18.75" customHeight="1" thickBot="1" x14ac:dyDescent="0.3">
      <c r="A44" s="2129" t="s">
        <v>865</v>
      </c>
      <c r="B44" s="2130">
        <f>SUM(B36:B43)</f>
        <v>0</v>
      </c>
      <c r="C44" s="2130">
        <f>SUM(C36:C43)</f>
        <v>0</v>
      </c>
      <c r="D44" s="2131" t="str">
        <f t="shared" si="6"/>
        <v/>
      </c>
      <c r="E44" s="2130">
        <f>SUM(E36:E43)</f>
        <v>0</v>
      </c>
      <c r="F44" s="2131" t="str">
        <f t="shared" si="7"/>
        <v/>
      </c>
      <c r="G44" s="2130">
        <f>SUM(G36:G43)</f>
        <v>0</v>
      </c>
      <c r="H44" s="2131" t="str">
        <f t="shared" si="7"/>
        <v/>
      </c>
      <c r="I44" s="2130">
        <f>SUM(I36:I43)</f>
        <v>0</v>
      </c>
      <c r="J44" s="2132" t="str">
        <f t="shared" si="7"/>
        <v/>
      </c>
    </row>
    <row r="45" spans="1:10" s="305" customFormat="1" ht="15.75" thickTop="1" x14ac:dyDescent="0.25">
      <c r="A45" s="445"/>
      <c r="B45" s="445"/>
    </row>
    <row r="46" spans="1:10" s="305" customFormat="1" x14ac:dyDescent="0.25">
      <c r="A46" s="445"/>
      <c r="B46" s="445"/>
    </row>
    <row r="47" spans="1:10" s="305" customFormat="1" x14ac:dyDescent="0.25">
      <c r="A47" s="445"/>
      <c r="B47" s="445"/>
    </row>
    <row r="48" spans="1:10" s="305" customFormat="1" x14ac:dyDescent="0.25">
      <c r="A48" s="445"/>
      <c r="B48" s="445"/>
    </row>
    <row r="49" spans="1:2" s="305" customFormat="1" ht="27.75" x14ac:dyDescent="0.45">
      <c r="A49" s="408" t="s">
        <v>317</v>
      </c>
      <c r="B49" s="445"/>
    </row>
    <row r="50" spans="1:2" s="305" customFormat="1" x14ac:dyDescent="0.25">
      <c r="A50" s="445"/>
      <c r="B50" s="445"/>
    </row>
    <row r="52" spans="1:2" s="305" customFormat="1" x14ac:dyDescent="0.25">
      <c r="A52" s="445"/>
      <c r="B52" s="445"/>
    </row>
    <row r="53" spans="1:2" s="305" customFormat="1" x14ac:dyDescent="0.25">
      <c r="A53" s="445"/>
      <c r="B53" s="445"/>
    </row>
    <row r="54" spans="1:2" s="305" customFormat="1" x14ac:dyDescent="0.25">
      <c r="A54" s="445"/>
      <c r="B54" s="445"/>
    </row>
    <row r="55" spans="1:2" s="305" customFormat="1" x14ac:dyDescent="0.25">
      <c r="A55" s="445"/>
      <c r="B55" s="445"/>
    </row>
    <row r="56" spans="1:2" s="305" customFormat="1" x14ac:dyDescent="0.25">
      <c r="A56" s="445"/>
      <c r="B56" s="445"/>
    </row>
    <row r="57" spans="1:2" s="305" customFormat="1" x14ac:dyDescent="0.25">
      <c r="A57" s="445"/>
      <c r="B57" s="445"/>
    </row>
    <row r="58" spans="1:2" s="305" customFormat="1" x14ac:dyDescent="0.25">
      <c r="A58" s="445"/>
      <c r="B58" s="445"/>
    </row>
    <row r="59" spans="1:2" s="305" customFormat="1" x14ac:dyDescent="0.25">
      <c r="A59" s="445"/>
      <c r="B59" s="445"/>
    </row>
    <row r="60" spans="1:2" s="305" customFormat="1" x14ac:dyDescent="0.25">
      <c r="A60" s="445"/>
      <c r="B60" s="445"/>
    </row>
    <row r="61" spans="1:2" s="305" customFormat="1" x14ac:dyDescent="0.25">
      <c r="A61" s="445"/>
      <c r="B61" s="445"/>
    </row>
    <row r="62" spans="1:2" s="305" customFormat="1" x14ac:dyDescent="0.25">
      <c r="A62" s="445"/>
      <c r="B62" s="445"/>
    </row>
    <row r="63" spans="1:2" s="305" customFormat="1" x14ac:dyDescent="0.25">
      <c r="A63" s="445"/>
      <c r="B63" s="445"/>
    </row>
    <row r="64" spans="1:2" s="305" customFormat="1" x14ac:dyDescent="0.25">
      <c r="A64" s="445"/>
      <c r="B64" s="445"/>
    </row>
    <row r="65" spans="1:16" s="305" customFormat="1" x14ac:dyDescent="0.25">
      <c r="A65" s="445"/>
      <c r="B65" s="445"/>
    </row>
    <row r="66" spans="1:16" s="305" customFormat="1" x14ac:dyDescent="0.25">
      <c r="A66" s="445"/>
      <c r="B66" s="445"/>
    </row>
    <row r="67" spans="1:16" s="305" customFormat="1" x14ac:dyDescent="0.25">
      <c r="A67" s="445"/>
      <c r="B67" s="445"/>
    </row>
    <row r="68" spans="1:16" x14ac:dyDescent="0.25">
      <c r="A68" s="445"/>
    </row>
    <row r="69" spans="1:16" x14ac:dyDescent="0.25">
      <c r="A69" s="445"/>
    </row>
    <row r="70" spans="1:16" x14ac:dyDescent="0.25">
      <c r="A70" s="445"/>
    </row>
    <row r="71" spans="1:16" x14ac:dyDescent="0.25">
      <c r="A71" s="445"/>
    </row>
    <row r="72" spans="1:16" x14ac:dyDescent="0.25">
      <c r="A72" s="445"/>
    </row>
    <row r="73" spans="1:16" x14ac:dyDescent="0.25">
      <c r="A73" s="445"/>
    </row>
    <row r="74" spans="1:16" x14ac:dyDescent="0.25">
      <c r="A74" s="445"/>
    </row>
    <row r="75" spans="1:16" x14ac:dyDescent="0.25">
      <c r="A75" s="445"/>
    </row>
    <row r="76" spans="1:16" ht="27.75" x14ac:dyDescent="0.45">
      <c r="A76" s="484"/>
      <c r="B76" s="446"/>
      <c r="E76" s="449"/>
      <c r="F76" s="449"/>
    </row>
    <row r="77" spans="1:16" ht="27.75" x14ac:dyDescent="0.45">
      <c r="A77" s="484"/>
    </row>
    <row r="78" spans="1:16" ht="18.75" customHeight="1" x14ac:dyDescent="0.25">
      <c r="P78" s="305"/>
    </row>
    <row r="89" spans="2:2" x14ac:dyDescent="0.25">
      <c r="B89" s="446"/>
    </row>
    <row r="90" spans="2:2" x14ac:dyDescent="0.25">
      <c r="B90" s="446"/>
    </row>
  </sheetData>
  <sheetProtection sheet="1" objects="1" scenarios="1" formatCells="0" formatColumns="0"/>
  <phoneticPr fontId="13" type="noConversion"/>
  <printOptions horizontalCentered="1"/>
  <pageMargins left="0.6692913385826772" right="0.55118110236220474" top="0.78" bottom="0.70866141732283472" header="0.51181102362204722" footer="0.39370078740157483"/>
  <pageSetup paperSize="9" scale="64" orientation="portrait" horizontalDpi="300" verticalDpi="300" r:id="rId1"/>
  <headerFooter alignWithMargins="0">
    <oddFooter>&amp;A</oddFooter>
  </headerFooter>
  <rowBreaks count="1" manualBreakCount="1">
    <brk id="67" max="16383" man="1"/>
  </rowBreaks>
  <ignoredErrors>
    <ignoredError sqref="G8:G15" formula="1"/>
  </ignoredError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68"/>
  <dimension ref="A1:H14"/>
  <sheetViews>
    <sheetView showGridLines="0" workbookViewId="0"/>
  </sheetViews>
  <sheetFormatPr baseColWidth="10" defaultRowHeight="15.75" x14ac:dyDescent="0.25"/>
  <cols>
    <col min="2" max="2" width="13.625" customWidth="1"/>
    <col min="8" max="8" width="14.375" customWidth="1"/>
  </cols>
  <sheetData>
    <row r="1" spans="1:8" ht="17.25" x14ac:dyDescent="0.3">
      <c r="A1" s="1154" t="str">
        <f>'COMP. PyG'!A9</f>
        <v>Ingresos</v>
      </c>
      <c r="B1" s="1155"/>
      <c r="D1" s="1154" t="str">
        <f>'COMP. PyG'!A12</f>
        <v>Margen Bruto s/Ventas</v>
      </c>
      <c r="E1" s="1155"/>
      <c r="G1" s="1154" t="str">
        <f>'COMP. PyG'!A18</f>
        <v>Total Gastos Explotación</v>
      </c>
      <c r="H1" s="1155"/>
    </row>
    <row r="2" spans="1:8" x14ac:dyDescent="0.25">
      <c r="A2" s="1163">
        <f>'COMP. PyG'!B6</f>
        <v>2026</v>
      </c>
      <c r="B2" s="1166">
        <f>'COMP. PyG'!B9</f>
        <v>0</v>
      </c>
      <c r="D2" s="1163">
        <f>'COMP. PyG'!B6</f>
        <v>2026</v>
      </c>
      <c r="E2" s="1166">
        <f>'COMP. PyG'!B12</f>
        <v>0</v>
      </c>
      <c r="G2" s="1163">
        <f>'COMP. PyG'!B6</f>
        <v>2026</v>
      </c>
      <c r="H2" s="1166">
        <f>'COMP. PyG'!B18</f>
        <v>15716.64</v>
      </c>
    </row>
    <row r="3" spans="1:8" x14ac:dyDescent="0.25">
      <c r="A3" s="1163">
        <f>'COMP. PyG'!C6</f>
        <v>2027</v>
      </c>
      <c r="B3" s="1166">
        <f>'COMP. PyG'!C9</f>
        <v>0</v>
      </c>
      <c r="D3" s="1163">
        <f>'COMP. PyG'!C6</f>
        <v>2027</v>
      </c>
      <c r="E3" s="1166">
        <f>'COMP. PyG'!C12</f>
        <v>0</v>
      </c>
      <c r="G3" s="1163">
        <f>'COMP. PyG'!C6</f>
        <v>2027</v>
      </c>
      <c r="H3" s="1166">
        <f>'COMP. PyG'!C18</f>
        <v>16302.720000000001</v>
      </c>
    </row>
    <row r="4" spans="1:8" x14ac:dyDescent="0.25">
      <c r="A4" s="1163">
        <f>'COMP. PyG'!D6</f>
        <v>2028</v>
      </c>
      <c r="B4" s="1166">
        <f>'COMP. PyG'!D9</f>
        <v>0</v>
      </c>
      <c r="D4" s="1163">
        <f>'COMP. PyG'!D6</f>
        <v>2028</v>
      </c>
      <c r="E4" s="1166">
        <f>'COMP. PyG'!D12</f>
        <v>0</v>
      </c>
      <c r="G4" s="1163">
        <f>'COMP. PyG'!D6</f>
        <v>2028</v>
      </c>
      <c r="H4" s="1166">
        <f>'COMP. PyG'!D18</f>
        <v>18318.163200000006</v>
      </c>
    </row>
    <row r="5" spans="1:8" x14ac:dyDescent="0.25">
      <c r="A5" s="1163">
        <f>'COMP. PyG'!E6</f>
        <v>2029</v>
      </c>
      <c r="B5" s="1166">
        <f>'COMP. PyG'!E9</f>
        <v>0</v>
      </c>
      <c r="D5" s="1163">
        <f>'COMP. PyG'!E6</f>
        <v>2029</v>
      </c>
      <c r="E5" s="1166">
        <f>'COMP. PyG'!E12</f>
        <v>0</v>
      </c>
      <c r="G5" s="1163">
        <f>'COMP. PyG'!E6</f>
        <v>2029</v>
      </c>
      <c r="H5" s="1166">
        <f>'COMP. PyG'!E18</f>
        <v>18952.067328000001</v>
      </c>
    </row>
    <row r="6" spans="1:8" ht="16.5" thickBot="1" x14ac:dyDescent="0.3">
      <c r="A6" s="1164">
        <f>'COMP. PyG'!F6</f>
        <v>2030</v>
      </c>
      <c r="B6" s="1167">
        <f>'COMP. PyG'!F9</f>
        <v>0</v>
      </c>
      <c r="D6" s="1164">
        <f>'COMP. PyG'!F6</f>
        <v>2030</v>
      </c>
      <c r="E6" s="1167">
        <f>'COMP. PyG'!F12</f>
        <v>0</v>
      </c>
      <c r="G6" s="1164">
        <f>'COMP. PyG'!F6</f>
        <v>2030</v>
      </c>
      <c r="H6" s="1167">
        <f>'COMP. PyG'!F18</f>
        <v>19611.327621120003</v>
      </c>
    </row>
    <row r="7" spans="1:8" x14ac:dyDescent="0.25">
      <c r="D7" s="1165"/>
    </row>
    <row r="8" spans="1:8" ht="16.5" thickBot="1" x14ac:dyDescent="0.3"/>
    <row r="9" spans="1:8" ht="17.25" x14ac:dyDescent="0.3">
      <c r="A9" s="1154" t="str">
        <f>'COMP. PyG'!A20</f>
        <v>Res. antes Int. e Imp. (BAII)</v>
      </c>
      <c r="B9" s="1155"/>
      <c r="D9" s="1154" t="str">
        <f>'COMP. PyG'!A24</f>
        <v>Resultado Financiero</v>
      </c>
      <c r="E9" s="1155"/>
      <c r="G9" s="1154" t="str">
        <f>'COMP. PyG'!A26</f>
        <v>Res. antes Impuestos (BAI)</v>
      </c>
      <c r="H9" s="1155"/>
    </row>
    <row r="10" spans="1:8" x14ac:dyDescent="0.25">
      <c r="A10" s="1163">
        <f>'COMP. PyG'!B6</f>
        <v>2026</v>
      </c>
      <c r="B10" s="1166">
        <f>'COMP. PyG'!B20</f>
        <v>-15716.64</v>
      </c>
      <c r="D10" s="1163">
        <f>'COMP. PyG'!B6</f>
        <v>2026</v>
      </c>
      <c r="E10" s="1166">
        <f>'COMP. PyG'!B24</f>
        <v>-646.31946839369516</v>
      </c>
      <c r="G10" s="1163">
        <f>'COMP. PyG'!B6</f>
        <v>2026</v>
      </c>
      <c r="H10" s="1166">
        <f>'COMP. PyG'!B26</f>
        <v>-16362.959468393694</v>
      </c>
    </row>
    <row r="11" spans="1:8" x14ac:dyDescent="0.25">
      <c r="A11" s="1163">
        <f>'COMP. PyG'!C6</f>
        <v>2027</v>
      </c>
      <c r="B11" s="1166">
        <f>'COMP. PyG'!C20</f>
        <v>-16302.720000000001</v>
      </c>
      <c r="D11" s="1163">
        <f>'COMP. PyG'!C6</f>
        <v>2027</v>
      </c>
      <c r="E11" s="1166">
        <f xml:space="preserve"> 'COMP. PyG'!C24</f>
        <v>-1860.8104958238205</v>
      </c>
      <c r="G11" s="1163">
        <f>'COMP. PyG'!C6</f>
        <v>2027</v>
      </c>
      <c r="H11" s="1166">
        <f>'COMP. PyG'!C26</f>
        <v>-18163.530495823823</v>
      </c>
    </row>
    <row r="12" spans="1:8" x14ac:dyDescent="0.25">
      <c r="A12" s="1163">
        <f>'COMP. PyG'!D6</f>
        <v>2028</v>
      </c>
      <c r="B12" s="1166">
        <f>'COMP. PyG'!D20</f>
        <v>-18318.163200000006</v>
      </c>
      <c r="D12" s="1163">
        <f>'COMP. PyG'!D6</f>
        <v>2028</v>
      </c>
      <c r="E12" s="1166">
        <f>'COMP. PyG'!D24</f>
        <v>-3239.7896967037746</v>
      </c>
      <c r="G12" s="1163">
        <f>'COMP. PyG'!D6</f>
        <v>2028</v>
      </c>
      <c r="H12" s="1166">
        <f>'COMP. PyG'!D26</f>
        <v>-21557.95289670378</v>
      </c>
    </row>
    <row r="13" spans="1:8" x14ac:dyDescent="0.25">
      <c r="A13" s="1163">
        <f>'COMP. PyG'!E6</f>
        <v>2029</v>
      </c>
      <c r="B13" s="1166">
        <f>'COMP. PyG'!E20</f>
        <v>-18952.067328000001</v>
      </c>
      <c r="D13" s="1163">
        <f>'COMP. PyG'!E6</f>
        <v>2029</v>
      </c>
      <c r="E13" s="1166">
        <f>'COMP. PyG'!E24</f>
        <v>-4818.9543076760046</v>
      </c>
      <c r="G13" s="1163">
        <f>'COMP. PyG'!E6</f>
        <v>2029</v>
      </c>
      <c r="H13" s="1166">
        <f>'COMP. PyG'!E26</f>
        <v>-23771.021635676007</v>
      </c>
    </row>
    <row r="14" spans="1:8" ht="16.5" thickBot="1" x14ac:dyDescent="0.3">
      <c r="A14" s="1164">
        <f>'COMP. PyG'!F6</f>
        <v>2030</v>
      </c>
      <c r="B14" s="1167">
        <f>'COMP. PyG'!F20</f>
        <v>-19611.327621120003</v>
      </c>
      <c r="D14" s="1164">
        <f>'COMP. PyG'!F6</f>
        <v>2030</v>
      </c>
      <c r="E14" s="1167">
        <f>'COMP. PyG'!F24</f>
        <v>-6558.9313748479281</v>
      </c>
      <c r="G14" s="1164">
        <f>'COMP. PyG'!F6</f>
        <v>2030</v>
      </c>
      <c r="H14" s="1167">
        <f>'COMP. PyG'!F26</f>
        <v>-26170.258995967932</v>
      </c>
    </row>
  </sheetData>
  <sheetProtection sheet="1" objects="1" scenarios="1"/>
  <phoneticPr fontId="13" type="noConversion"/>
  <pageMargins left="0.75" right="0.75" top="1" bottom="1" header="0" footer="0"/>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69"/>
  <dimension ref="A1:GL2063"/>
  <sheetViews>
    <sheetView showGridLines="0" workbookViewId="0">
      <selection activeCell="C7" sqref="C7"/>
    </sheetView>
  </sheetViews>
  <sheetFormatPr baseColWidth="10" defaultRowHeight="17.25" x14ac:dyDescent="0.3"/>
  <cols>
    <col min="1" max="1" width="31.375" style="307" customWidth="1"/>
    <col min="2" max="2" width="11.5" style="307" customWidth="1"/>
    <col min="3" max="3" width="12.25" style="307" customWidth="1"/>
    <col min="4" max="6" width="13.125" style="307" customWidth="1"/>
    <col min="7" max="7" width="9.125" style="1559" customWidth="1"/>
    <col min="8" max="8" width="21.875" style="1559" bestFit="1" customWidth="1"/>
    <col min="9" max="194" width="11" style="1559"/>
    <col min="195" max="16384" width="11" style="307"/>
  </cols>
  <sheetData>
    <row r="1" spans="1:194" ht="27.75" x14ac:dyDescent="0.45">
      <c r="A1" s="1655" t="s">
        <v>1021</v>
      </c>
      <c r="B1" s="1234"/>
      <c r="C1" s="1234"/>
      <c r="D1" s="1234"/>
      <c r="E1" s="1234"/>
      <c r="F1" s="1234"/>
      <c r="G1" s="1659"/>
    </row>
    <row r="2" spans="1:194" s="1559" customFormat="1" ht="27.75" x14ac:dyDescent="0.45">
      <c r="A2" s="1656">
        <f>'Datos Básicos'!$B$8</f>
        <v>0</v>
      </c>
      <c r="H2" s="1565"/>
      <c r="I2" s="1566"/>
    </row>
    <row r="3" spans="1:194" s="1559" customFormat="1" ht="27.75" x14ac:dyDescent="0.45">
      <c r="A3" s="1656"/>
      <c r="H3" s="1565"/>
      <c r="I3" s="1566"/>
    </row>
    <row r="4" spans="1:194" s="1559" customFormat="1" ht="27.75" x14ac:dyDescent="0.45">
      <c r="A4" s="1656"/>
      <c r="H4" s="1565"/>
      <c r="I4" s="1566"/>
    </row>
    <row r="5" spans="1:194" s="1559" customFormat="1" ht="26.25" customHeight="1" thickBot="1" x14ac:dyDescent="0.5">
      <c r="A5" s="1656"/>
      <c r="B5" s="1657" t="str">
        <f>IF(mes0=1,"",CONCATENATE("(",12-mes0+1," meses)"))</f>
        <v/>
      </c>
    </row>
    <row r="6" spans="1:194" s="495" customFormat="1" ht="21" customHeight="1" thickBot="1" x14ac:dyDescent="0.3">
      <c r="A6" s="1628" t="s">
        <v>889</v>
      </c>
      <c r="B6" s="1629">
        <f>'Datos Básicos'!$B$17</f>
        <v>2026</v>
      </c>
      <c r="C6" s="1629">
        <f>'Datos Básicos'!$C$17</f>
        <v>2027</v>
      </c>
      <c r="D6" s="1629">
        <f>'Datos Básicos'!$D$17</f>
        <v>2028</v>
      </c>
      <c r="E6" s="1629">
        <f>D6+1</f>
        <v>2029</v>
      </c>
      <c r="F6" s="1629">
        <f>E6+1</f>
        <v>2030</v>
      </c>
      <c r="G6" s="1660"/>
      <c r="H6" s="1661"/>
      <c r="I6" s="1661"/>
      <c r="J6" s="1661"/>
      <c r="K6" s="1661"/>
      <c r="L6" s="1661"/>
      <c r="M6" s="1661"/>
      <c r="N6" s="1661"/>
      <c r="O6" s="1661"/>
      <c r="P6" s="1661"/>
      <c r="Q6" s="1661"/>
      <c r="R6" s="1661"/>
      <c r="S6" s="1661"/>
      <c r="T6" s="1661"/>
      <c r="U6" s="1661"/>
      <c r="V6" s="1661"/>
      <c r="W6" s="1661"/>
      <c r="X6" s="1661"/>
      <c r="Y6" s="1661"/>
      <c r="Z6" s="1661"/>
      <c r="AA6" s="1661"/>
      <c r="AB6" s="1661"/>
      <c r="AC6" s="1661"/>
      <c r="AD6" s="1661"/>
      <c r="AE6" s="1661"/>
      <c r="AF6" s="1661"/>
      <c r="AG6" s="1661"/>
      <c r="AH6" s="1661"/>
      <c r="AI6" s="1661"/>
      <c r="AJ6" s="1661"/>
      <c r="AK6" s="1661"/>
      <c r="AL6" s="1661"/>
      <c r="AM6" s="1661"/>
      <c r="AN6" s="1661"/>
      <c r="AO6" s="1661"/>
      <c r="AP6" s="1661"/>
      <c r="AQ6" s="1661"/>
      <c r="AR6" s="1661"/>
      <c r="AS6" s="1661"/>
      <c r="AT6" s="1661"/>
      <c r="AU6" s="1661"/>
      <c r="AV6" s="1661"/>
      <c r="AW6" s="1661"/>
      <c r="AX6" s="1661"/>
      <c r="AY6" s="1661"/>
      <c r="AZ6" s="1661"/>
      <c r="BA6" s="1661"/>
      <c r="BB6" s="1661"/>
      <c r="BC6" s="1661"/>
      <c r="BD6" s="1661"/>
      <c r="BE6" s="1661"/>
      <c r="BF6" s="1661"/>
      <c r="BG6" s="1661"/>
      <c r="BH6" s="1661"/>
      <c r="BI6" s="1661"/>
      <c r="BJ6" s="1661"/>
      <c r="BK6" s="1661"/>
      <c r="BL6" s="1661"/>
      <c r="BM6" s="1661"/>
      <c r="BN6" s="1661"/>
      <c r="BO6" s="1661"/>
      <c r="BP6" s="1661"/>
      <c r="BQ6" s="1661"/>
      <c r="BR6" s="1661"/>
      <c r="BS6" s="1661"/>
      <c r="BT6" s="1661"/>
      <c r="BU6" s="1661"/>
      <c r="BV6" s="1661"/>
      <c r="BW6" s="1661"/>
      <c r="BX6" s="1661"/>
      <c r="BY6" s="1661"/>
      <c r="BZ6" s="1661"/>
      <c r="CA6" s="1661"/>
      <c r="CB6" s="1661"/>
      <c r="CC6" s="1661"/>
      <c r="CD6" s="1661"/>
      <c r="CE6" s="1661"/>
      <c r="CF6" s="1661"/>
      <c r="CG6" s="1661"/>
      <c r="CH6" s="1661"/>
      <c r="CI6" s="1661"/>
      <c r="CJ6" s="1661"/>
      <c r="CK6" s="1661"/>
      <c r="CL6" s="1661"/>
      <c r="CM6" s="1661"/>
      <c r="CN6" s="1661"/>
      <c r="CO6" s="1661"/>
      <c r="CP6" s="1661"/>
      <c r="CQ6" s="1661"/>
      <c r="CR6" s="1661"/>
      <c r="CS6" s="1661"/>
      <c r="CT6" s="1661"/>
      <c r="CU6" s="1661"/>
      <c r="CV6" s="1661"/>
      <c r="CW6" s="1661"/>
      <c r="CX6" s="1661"/>
      <c r="CY6" s="1661"/>
      <c r="CZ6" s="1661"/>
      <c r="DA6" s="1661"/>
      <c r="DB6" s="1661"/>
      <c r="DC6" s="1661"/>
      <c r="DD6" s="1661"/>
      <c r="DE6" s="1661"/>
      <c r="DF6" s="1661"/>
      <c r="DG6" s="1661"/>
      <c r="DH6" s="1661"/>
      <c r="DI6" s="1661"/>
      <c r="DJ6" s="1661"/>
      <c r="DK6" s="1661"/>
      <c r="DL6" s="1661"/>
      <c r="DM6" s="1661"/>
      <c r="DN6" s="1661"/>
      <c r="DO6" s="1661"/>
      <c r="DP6" s="1661"/>
      <c r="DQ6" s="1661"/>
      <c r="DR6" s="1661"/>
      <c r="DS6" s="1661"/>
      <c r="DT6" s="1661"/>
      <c r="DU6" s="1661"/>
      <c r="DV6" s="1661"/>
      <c r="DW6" s="1661"/>
      <c r="DX6" s="1661"/>
      <c r="DY6" s="1661"/>
      <c r="DZ6" s="1661"/>
      <c r="EA6" s="1661"/>
      <c r="EB6" s="1661"/>
      <c r="EC6" s="1661"/>
      <c r="ED6" s="1661"/>
      <c r="EE6" s="1661"/>
      <c r="EF6" s="1661"/>
      <c r="EG6" s="1661"/>
      <c r="EH6" s="1661"/>
      <c r="EI6" s="1661"/>
      <c r="EJ6" s="1661"/>
      <c r="EK6" s="1661"/>
      <c r="EL6" s="1661"/>
      <c r="EM6" s="1661"/>
      <c r="EN6" s="1661"/>
      <c r="EO6" s="1661"/>
      <c r="EP6" s="1661"/>
      <c r="EQ6" s="1661"/>
      <c r="ER6" s="1661"/>
      <c r="ES6" s="1661"/>
      <c r="ET6" s="1661"/>
      <c r="EU6" s="1661"/>
      <c r="EV6" s="1661"/>
      <c r="EW6" s="1661"/>
      <c r="EX6" s="1661"/>
      <c r="EY6" s="1661"/>
      <c r="EZ6" s="1661"/>
      <c r="FA6" s="1661"/>
      <c r="FB6" s="1661"/>
      <c r="FC6" s="1661"/>
      <c r="FD6" s="1661"/>
      <c r="FE6" s="1661"/>
      <c r="FF6" s="1661"/>
      <c r="FG6" s="1661"/>
      <c r="FH6" s="1661"/>
      <c r="FI6" s="1661"/>
      <c r="FJ6" s="1661"/>
      <c r="FK6" s="1661"/>
      <c r="FL6" s="1661"/>
      <c r="FM6" s="1661"/>
      <c r="FN6" s="1661"/>
      <c r="FO6" s="1661"/>
      <c r="FP6" s="1661"/>
      <c r="FQ6" s="1661"/>
      <c r="FR6" s="1661"/>
      <c r="FS6" s="1661"/>
      <c r="FT6" s="1661"/>
      <c r="FU6" s="1661"/>
      <c r="FV6" s="1661"/>
      <c r="FW6" s="1661"/>
      <c r="FX6" s="1661"/>
      <c r="FY6" s="1661"/>
      <c r="FZ6" s="1661"/>
      <c r="GA6" s="1661"/>
      <c r="GB6" s="1661"/>
      <c r="GC6" s="1661"/>
      <c r="GD6" s="1661"/>
      <c r="GE6" s="1661"/>
      <c r="GF6" s="1661"/>
      <c r="GG6" s="1661"/>
      <c r="GH6" s="1661"/>
      <c r="GI6" s="1661"/>
      <c r="GJ6" s="1661"/>
      <c r="GK6" s="1661"/>
      <c r="GL6" s="1661"/>
    </row>
    <row r="7" spans="1:194" s="303" customFormat="1" ht="17.25" customHeight="1" x14ac:dyDescent="0.3">
      <c r="A7" s="1631" t="s">
        <v>741</v>
      </c>
      <c r="B7" s="1632">
        <f>'PyG anuales'!B7-'PyG Reales'!B7</f>
        <v>0</v>
      </c>
      <c r="C7" s="1632">
        <f>'PyG anuales'!D7-'PyG Reales'!D7</f>
        <v>0</v>
      </c>
      <c r="D7" s="1632">
        <f>'PyG anuales'!G7-'PyG Reales'!G7</f>
        <v>0</v>
      </c>
      <c r="E7" s="1632">
        <f>'PyG anuales'!J7-'PyG Reales'!J7</f>
        <v>0</v>
      </c>
      <c r="F7" s="2122">
        <f>'PyG anuales'!M7-'PyG Reales'!M7</f>
        <v>0</v>
      </c>
      <c r="G7" s="1652"/>
      <c r="H7" s="1561"/>
      <c r="I7" s="1561"/>
      <c r="J7" s="1561"/>
      <c r="K7" s="1561"/>
      <c r="L7" s="1561"/>
      <c r="M7" s="1561"/>
      <c r="N7" s="1561"/>
      <c r="O7" s="1561"/>
      <c r="P7" s="1561"/>
      <c r="Q7" s="1561"/>
      <c r="R7" s="1561"/>
      <c r="S7" s="1561"/>
      <c r="T7" s="1561"/>
      <c r="U7" s="1561"/>
      <c r="V7" s="1561"/>
      <c r="W7" s="1561"/>
      <c r="X7" s="1561"/>
      <c r="Y7" s="1561"/>
      <c r="Z7" s="1561"/>
      <c r="AA7" s="1561"/>
      <c r="AB7" s="1561"/>
      <c r="AC7" s="1561"/>
      <c r="AD7" s="1561"/>
      <c r="AE7" s="1561"/>
      <c r="AF7" s="1561"/>
      <c r="AG7" s="1561"/>
      <c r="AH7" s="1561"/>
      <c r="AI7" s="1561"/>
      <c r="AJ7" s="1561"/>
      <c r="AK7" s="1561"/>
      <c r="AL7" s="1561"/>
      <c r="AM7" s="1561"/>
      <c r="AN7" s="1561"/>
      <c r="AO7" s="1561"/>
      <c r="AP7" s="1561"/>
      <c r="AQ7" s="1561"/>
      <c r="AR7" s="1561"/>
      <c r="AS7" s="1561"/>
      <c r="AT7" s="1561"/>
      <c r="AU7" s="1561"/>
      <c r="AV7" s="1561"/>
      <c r="AW7" s="1561"/>
      <c r="AX7" s="1561"/>
      <c r="AY7" s="1561"/>
      <c r="AZ7" s="1561"/>
      <c r="BA7" s="1561"/>
      <c r="BB7" s="1561"/>
      <c r="BC7" s="1561"/>
      <c r="BD7" s="1561"/>
      <c r="BE7" s="1561"/>
      <c r="BF7" s="1561"/>
      <c r="BG7" s="1561"/>
      <c r="BH7" s="1561"/>
      <c r="BI7" s="1561"/>
      <c r="BJ7" s="1561"/>
      <c r="BK7" s="1561"/>
      <c r="BL7" s="1561"/>
      <c r="BM7" s="1561"/>
      <c r="BN7" s="1561"/>
      <c r="BO7" s="1561"/>
      <c r="BP7" s="1561"/>
      <c r="BQ7" s="1561"/>
      <c r="BR7" s="1561"/>
      <c r="BS7" s="1561"/>
      <c r="BT7" s="1561"/>
      <c r="BU7" s="1561"/>
      <c r="BV7" s="1561"/>
      <c r="BW7" s="1561"/>
      <c r="BX7" s="1561"/>
      <c r="BY7" s="1561"/>
      <c r="BZ7" s="1561"/>
      <c r="CA7" s="1561"/>
      <c r="CB7" s="1561"/>
      <c r="CC7" s="1561"/>
      <c r="CD7" s="1561"/>
      <c r="CE7" s="1561"/>
      <c r="CF7" s="1561"/>
      <c r="CG7" s="1561"/>
      <c r="CH7" s="1561"/>
      <c r="CI7" s="1561"/>
      <c r="CJ7" s="1561"/>
      <c r="CK7" s="1561"/>
      <c r="CL7" s="1561"/>
      <c r="CM7" s="1561"/>
      <c r="CN7" s="1561"/>
      <c r="CO7" s="1561"/>
      <c r="CP7" s="1561"/>
      <c r="CQ7" s="1561"/>
      <c r="CR7" s="1561"/>
      <c r="CS7" s="1561"/>
      <c r="CT7" s="1561"/>
      <c r="CU7" s="1561"/>
      <c r="CV7" s="1561"/>
      <c r="CW7" s="1561"/>
      <c r="CX7" s="1561"/>
      <c r="CY7" s="1561"/>
      <c r="CZ7" s="1561"/>
      <c r="DA7" s="1561"/>
      <c r="DB7" s="1561"/>
      <c r="DC7" s="1561"/>
      <c r="DD7" s="1561"/>
      <c r="DE7" s="1561"/>
      <c r="DF7" s="1561"/>
      <c r="DG7" s="1561"/>
      <c r="DH7" s="1561"/>
      <c r="DI7" s="1561"/>
      <c r="DJ7" s="1561"/>
      <c r="DK7" s="1561"/>
      <c r="DL7" s="1561"/>
      <c r="DM7" s="1561"/>
      <c r="DN7" s="1561"/>
      <c r="DO7" s="1561"/>
      <c r="DP7" s="1561"/>
      <c r="DQ7" s="1561"/>
      <c r="DR7" s="1561"/>
      <c r="DS7" s="1561"/>
      <c r="DT7" s="1561"/>
      <c r="DU7" s="1561"/>
      <c r="DV7" s="1561"/>
      <c r="DW7" s="1561"/>
      <c r="DX7" s="1561"/>
      <c r="DY7" s="1561"/>
      <c r="DZ7" s="1561"/>
      <c r="EA7" s="1561"/>
      <c r="EB7" s="1561"/>
      <c r="EC7" s="1561"/>
      <c r="ED7" s="1561"/>
      <c r="EE7" s="1561"/>
      <c r="EF7" s="1561"/>
      <c r="EG7" s="1561"/>
      <c r="EH7" s="1561"/>
      <c r="EI7" s="1561"/>
      <c r="EJ7" s="1561"/>
      <c r="EK7" s="1561"/>
      <c r="EL7" s="1561"/>
      <c r="EM7" s="1561"/>
      <c r="EN7" s="1561"/>
      <c r="EO7" s="1561"/>
      <c r="EP7" s="1561"/>
      <c r="EQ7" s="1561"/>
      <c r="ER7" s="1561"/>
      <c r="ES7" s="1561"/>
      <c r="ET7" s="1561"/>
      <c r="EU7" s="1561"/>
      <c r="EV7" s="1561"/>
      <c r="EW7" s="1561"/>
      <c r="EX7" s="1561"/>
      <c r="EY7" s="1561"/>
      <c r="EZ7" s="1561"/>
      <c r="FA7" s="1561"/>
      <c r="FB7" s="1561"/>
      <c r="FC7" s="1561"/>
      <c r="FD7" s="1561"/>
      <c r="FE7" s="1561"/>
      <c r="FF7" s="1561"/>
      <c r="FG7" s="1561"/>
      <c r="FH7" s="1561"/>
      <c r="FI7" s="1561"/>
      <c r="FJ7" s="1561"/>
      <c r="FK7" s="1561"/>
      <c r="FL7" s="1561"/>
      <c r="FM7" s="1561"/>
      <c r="FN7" s="1561"/>
      <c r="FO7" s="1561"/>
      <c r="FP7" s="1561"/>
      <c r="FQ7" s="1561"/>
      <c r="FR7" s="1561"/>
      <c r="FS7" s="1561"/>
      <c r="FT7" s="1561"/>
      <c r="FU7" s="1561"/>
      <c r="FV7" s="1561"/>
      <c r="FW7" s="1561"/>
      <c r="FX7" s="1561"/>
      <c r="FY7" s="1561"/>
      <c r="FZ7" s="1561"/>
      <c r="GA7" s="1561"/>
      <c r="GB7" s="1561"/>
      <c r="GC7" s="1561"/>
      <c r="GD7" s="1561"/>
      <c r="GE7" s="1561"/>
      <c r="GF7" s="1561"/>
      <c r="GG7" s="1561"/>
      <c r="GH7" s="1561"/>
      <c r="GI7" s="1561"/>
      <c r="GJ7" s="1561"/>
      <c r="GK7" s="1561"/>
      <c r="GL7" s="1561"/>
    </row>
    <row r="8" spans="1:194" s="303" customFormat="1" ht="17.25" customHeight="1" x14ac:dyDescent="0.3">
      <c r="A8" s="1636" t="s">
        <v>742</v>
      </c>
      <c r="B8" s="1637">
        <f>'PyG anuales'!B8-'PyG Reales'!B8</f>
        <v>0</v>
      </c>
      <c r="C8" s="1637">
        <f>'PyG anuales'!D8-'PyG Reales'!D8</f>
        <v>0</v>
      </c>
      <c r="D8" s="1637">
        <f>'PyG anuales'!G8-'PyG Reales'!G8</f>
        <v>0</v>
      </c>
      <c r="E8" s="1637">
        <f>'PyG anuales'!J8-'PyG Reales'!J8</f>
        <v>0</v>
      </c>
      <c r="F8" s="2123">
        <f>'PyG anuales'!M8-'PyG Reales'!M8</f>
        <v>0</v>
      </c>
      <c r="G8" s="1652"/>
      <c r="H8" s="1561"/>
      <c r="I8" s="1561"/>
      <c r="J8" s="1561"/>
      <c r="K8" s="1561"/>
      <c r="L8" s="1561"/>
      <c r="M8" s="1561"/>
      <c r="N8" s="1561"/>
      <c r="O8" s="1561"/>
      <c r="P8" s="1561"/>
      <c r="Q8" s="1561"/>
      <c r="R8" s="1561"/>
      <c r="S8" s="1561"/>
      <c r="T8" s="1561"/>
      <c r="U8" s="1561"/>
      <c r="V8" s="1561"/>
      <c r="W8" s="1561"/>
      <c r="X8" s="1561"/>
      <c r="Y8" s="1561"/>
      <c r="Z8" s="1561"/>
      <c r="AA8" s="1561"/>
      <c r="AB8" s="1561"/>
      <c r="AC8" s="1561"/>
      <c r="AD8" s="1561"/>
      <c r="AE8" s="1561"/>
      <c r="AF8" s="1561"/>
      <c r="AG8" s="1561"/>
      <c r="AH8" s="1561"/>
      <c r="AI8" s="1561"/>
      <c r="AJ8" s="1561"/>
      <c r="AK8" s="1561"/>
      <c r="AL8" s="1561"/>
      <c r="AM8" s="1561"/>
      <c r="AN8" s="1561"/>
      <c r="AO8" s="1561"/>
      <c r="AP8" s="1561"/>
      <c r="AQ8" s="1561"/>
      <c r="AR8" s="1561"/>
      <c r="AS8" s="1561"/>
      <c r="AT8" s="1561"/>
      <c r="AU8" s="1561"/>
      <c r="AV8" s="1561"/>
      <c r="AW8" s="1561"/>
      <c r="AX8" s="1561"/>
      <c r="AY8" s="1561"/>
      <c r="AZ8" s="1561"/>
      <c r="BA8" s="1561"/>
      <c r="BB8" s="1561"/>
      <c r="BC8" s="1561"/>
      <c r="BD8" s="1561"/>
      <c r="BE8" s="1561"/>
      <c r="BF8" s="1561"/>
      <c r="BG8" s="1561"/>
      <c r="BH8" s="1561"/>
      <c r="BI8" s="1561"/>
      <c r="BJ8" s="1561"/>
      <c r="BK8" s="1561"/>
      <c r="BL8" s="1561"/>
      <c r="BM8" s="1561"/>
      <c r="BN8" s="1561"/>
      <c r="BO8" s="1561"/>
      <c r="BP8" s="1561"/>
      <c r="BQ8" s="1561"/>
      <c r="BR8" s="1561"/>
      <c r="BS8" s="1561"/>
      <c r="BT8" s="1561"/>
      <c r="BU8" s="1561"/>
      <c r="BV8" s="1561"/>
      <c r="BW8" s="1561"/>
      <c r="BX8" s="1561"/>
      <c r="BY8" s="1561"/>
      <c r="BZ8" s="1561"/>
      <c r="CA8" s="1561"/>
      <c r="CB8" s="1561"/>
      <c r="CC8" s="1561"/>
      <c r="CD8" s="1561"/>
      <c r="CE8" s="1561"/>
      <c r="CF8" s="1561"/>
      <c r="CG8" s="1561"/>
      <c r="CH8" s="1561"/>
      <c r="CI8" s="1561"/>
      <c r="CJ8" s="1561"/>
      <c r="CK8" s="1561"/>
      <c r="CL8" s="1561"/>
      <c r="CM8" s="1561"/>
      <c r="CN8" s="1561"/>
      <c r="CO8" s="1561"/>
      <c r="CP8" s="1561"/>
      <c r="CQ8" s="1561"/>
      <c r="CR8" s="1561"/>
      <c r="CS8" s="1561"/>
      <c r="CT8" s="1561"/>
      <c r="CU8" s="1561"/>
      <c r="CV8" s="1561"/>
      <c r="CW8" s="1561"/>
      <c r="CX8" s="1561"/>
      <c r="CY8" s="1561"/>
      <c r="CZ8" s="1561"/>
      <c r="DA8" s="1561"/>
      <c r="DB8" s="1561"/>
      <c r="DC8" s="1561"/>
      <c r="DD8" s="1561"/>
      <c r="DE8" s="1561"/>
      <c r="DF8" s="1561"/>
      <c r="DG8" s="1561"/>
      <c r="DH8" s="1561"/>
      <c r="DI8" s="1561"/>
      <c r="DJ8" s="1561"/>
      <c r="DK8" s="1561"/>
      <c r="DL8" s="1561"/>
      <c r="DM8" s="1561"/>
      <c r="DN8" s="1561"/>
      <c r="DO8" s="1561"/>
      <c r="DP8" s="1561"/>
      <c r="DQ8" s="1561"/>
      <c r="DR8" s="1561"/>
      <c r="DS8" s="1561"/>
      <c r="DT8" s="1561"/>
      <c r="DU8" s="1561"/>
      <c r="DV8" s="1561"/>
      <c r="DW8" s="1561"/>
      <c r="DX8" s="1561"/>
      <c r="DY8" s="1561"/>
      <c r="DZ8" s="1561"/>
      <c r="EA8" s="1561"/>
      <c r="EB8" s="1561"/>
      <c r="EC8" s="1561"/>
      <c r="ED8" s="1561"/>
      <c r="EE8" s="1561"/>
      <c r="EF8" s="1561"/>
      <c r="EG8" s="1561"/>
      <c r="EH8" s="1561"/>
      <c r="EI8" s="1561"/>
      <c r="EJ8" s="1561"/>
      <c r="EK8" s="1561"/>
      <c r="EL8" s="1561"/>
      <c r="EM8" s="1561"/>
      <c r="EN8" s="1561"/>
      <c r="EO8" s="1561"/>
      <c r="EP8" s="1561"/>
      <c r="EQ8" s="1561"/>
      <c r="ER8" s="1561"/>
      <c r="ES8" s="1561"/>
      <c r="ET8" s="1561"/>
      <c r="EU8" s="1561"/>
      <c r="EV8" s="1561"/>
      <c r="EW8" s="1561"/>
      <c r="EX8" s="1561"/>
      <c r="EY8" s="1561"/>
      <c r="EZ8" s="1561"/>
      <c r="FA8" s="1561"/>
      <c r="FB8" s="1561"/>
      <c r="FC8" s="1561"/>
      <c r="FD8" s="1561"/>
      <c r="FE8" s="1561"/>
      <c r="FF8" s="1561"/>
      <c r="FG8" s="1561"/>
      <c r="FH8" s="1561"/>
      <c r="FI8" s="1561"/>
      <c r="FJ8" s="1561"/>
      <c r="FK8" s="1561"/>
      <c r="FL8" s="1561"/>
      <c r="FM8" s="1561"/>
      <c r="FN8" s="1561"/>
      <c r="FO8" s="1561"/>
      <c r="FP8" s="1561"/>
      <c r="FQ8" s="1561"/>
      <c r="FR8" s="1561"/>
      <c r="FS8" s="1561"/>
      <c r="FT8" s="1561"/>
      <c r="FU8" s="1561"/>
      <c r="FV8" s="1561"/>
      <c r="FW8" s="1561"/>
      <c r="FX8" s="1561"/>
      <c r="FY8" s="1561"/>
      <c r="FZ8" s="1561"/>
      <c r="GA8" s="1561"/>
      <c r="GB8" s="1561"/>
      <c r="GC8" s="1561"/>
      <c r="GD8" s="1561"/>
      <c r="GE8" s="1561"/>
      <c r="GF8" s="1561"/>
      <c r="GG8" s="1561"/>
      <c r="GH8" s="1561"/>
      <c r="GI8" s="1561"/>
      <c r="GJ8" s="1561"/>
      <c r="GK8" s="1561"/>
      <c r="GL8" s="1561"/>
    </row>
    <row r="9" spans="1:194" s="303" customFormat="1" ht="17.25" customHeight="1" x14ac:dyDescent="0.3">
      <c r="A9" s="1641" t="s">
        <v>743</v>
      </c>
      <c r="B9" s="1642">
        <f>+B8+B7</f>
        <v>0</v>
      </c>
      <c r="C9" s="1642">
        <f>+C8+C7</f>
        <v>0</v>
      </c>
      <c r="D9" s="1642">
        <f>+D8+D7</f>
        <v>0</v>
      </c>
      <c r="E9" s="1642">
        <f>+E8+E7</f>
        <v>0</v>
      </c>
      <c r="F9" s="1644">
        <f>+F8+F7</f>
        <v>0</v>
      </c>
      <c r="G9" s="1662"/>
      <c r="H9" s="1561"/>
      <c r="I9" s="1561"/>
      <c r="J9" s="1561"/>
      <c r="K9" s="1561"/>
      <c r="L9" s="1561"/>
      <c r="M9" s="1561"/>
      <c r="N9" s="1561"/>
      <c r="O9" s="1561"/>
      <c r="P9" s="1561"/>
      <c r="Q9" s="1561"/>
      <c r="R9" s="1561"/>
      <c r="S9" s="1561"/>
      <c r="T9" s="1561"/>
      <c r="U9" s="1561"/>
      <c r="V9" s="1561"/>
      <c r="W9" s="1561"/>
      <c r="X9" s="1561"/>
      <c r="Y9" s="1561"/>
      <c r="Z9" s="1561"/>
      <c r="AA9" s="1561"/>
      <c r="AB9" s="1561"/>
      <c r="AC9" s="1561"/>
      <c r="AD9" s="1561"/>
      <c r="AE9" s="1561"/>
      <c r="AF9" s="1561"/>
      <c r="AG9" s="1561"/>
      <c r="AH9" s="1561"/>
      <c r="AI9" s="1561"/>
      <c r="AJ9" s="1561"/>
      <c r="AK9" s="1561"/>
      <c r="AL9" s="1561"/>
      <c r="AM9" s="1561"/>
      <c r="AN9" s="1561"/>
      <c r="AO9" s="1561"/>
      <c r="AP9" s="1561"/>
      <c r="AQ9" s="1561"/>
      <c r="AR9" s="1561"/>
      <c r="AS9" s="1561"/>
      <c r="AT9" s="1561"/>
      <c r="AU9" s="1561"/>
      <c r="AV9" s="1561"/>
      <c r="AW9" s="1561"/>
      <c r="AX9" s="1561"/>
      <c r="AY9" s="1561"/>
      <c r="AZ9" s="1561"/>
      <c r="BA9" s="1561"/>
      <c r="BB9" s="1561"/>
      <c r="BC9" s="1561"/>
      <c r="BD9" s="1561"/>
      <c r="BE9" s="1561"/>
      <c r="BF9" s="1561"/>
      <c r="BG9" s="1561"/>
      <c r="BH9" s="1561"/>
      <c r="BI9" s="1561"/>
      <c r="BJ9" s="1561"/>
      <c r="BK9" s="1561"/>
      <c r="BL9" s="1561"/>
      <c r="BM9" s="1561"/>
      <c r="BN9" s="1561"/>
      <c r="BO9" s="1561"/>
      <c r="BP9" s="1561"/>
      <c r="BQ9" s="1561"/>
      <c r="BR9" s="1561"/>
      <c r="BS9" s="1561"/>
      <c r="BT9" s="1561"/>
      <c r="BU9" s="1561"/>
      <c r="BV9" s="1561"/>
      <c r="BW9" s="1561"/>
      <c r="BX9" s="1561"/>
      <c r="BY9" s="1561"/>
      <c r="BZ9" s="1561"/>
      <c r="CA9" s="1561"/>
      <c r="CB9" s="1561"/>
      <c r="CC9" s="1561"/>
      <c r="CD9" s="1561"/>
      <c r="CE9" s="1561"/>
      <c r="CF9" s="1561"/>
      <c r="CG9" s="1561"/>
      <c r="CH9" s="1561"/>
      <c r="CI9" s="1561"/>
      <c r="CJ9" s="1561"/>
      <c r="CK9" s="1561"/>
      <c r="CL9" s="1561"/>
      <c r="CM9" s="1561"/>
      <c r="CN9" s="1561"/>
      <c r="CO9" s="1561"/>
      <c r="CP9" s="1561"/>
      <c r="CQ9" s="1561"/>
      <c r="CR9" s="1561"/>
      <c r="CS9" s="1561"/>
      <c r="CT9" s="1561"/>
      <c r="CU9" s="1561"/>
      <c r="CV9" s="1561"/>
      <c r="CW9" s="1561"/>
      <c r="CX9" s="1561"/>
      <c r="CY9" s="1561"/>
      <c r="CZ9" s="1561"/>
      <c r="DA9" s="1561"/>
      <c r="DB9" s="1561"/>
      <c r="DC9" s="1561"/>
      <c r="DD9" s="1561"/>
      <c r="DE9" s="1561"/>
      <c r="DF9" s="1561"/>
      <c r="DG9" s="1561"/>
      <c r="DH9" s="1561"/>
      <c r="DI9" s="1561"/>
      <c r="DJ9" s="1561"/>
      <c r="DK9" s="1561"/>
      <c r="DL9" s="1561"/>
      <c r="DM9" s="1561"/>
      <c r="DN9" s="1561"/>
      <c r="DO9" s="1561"/>
      <c r="DP9" s="1561"/>
      <c r="DQ9" s="1561"/>
      <c r="DR9" s="1561"/>
      <c r="DS9" s="1561"/>
      <c r="DT9" s="1561"/>
      <c r="DU9" s="1561"/>
      <c r="DV9" s="1561"/>
      <c r="DW9" s="1561"/>
      <c r="DX9" s="1561"/>
      <c r="DY9" s="1561"/>
      <c r="DZ9" s="1561"/>
      <c r="EA9" s="1561"/>
      <c r="EB9" s="1561"/>
      <c r="EC9" s="1561"/>
      <c r="ED9" s="1561"/>
      <c r="EE9" s="1561"/>
      <c r="EF9" s="1561"/>
      <c r="EG9" s="1561"/>
      <c r="EH9" s="1561"/>
      <c r="EI9" s="1561"/>
      <c r="EJ9" s="1561"/>
      <c r="EK9" s="1561"/>
      <c r="EL9" s="1561"/>
      <c r="EM9" s="1561"/>
      <c r="EN9" s="1561"/>
      <c r="EO9" s="1561"/>
      <c r="EP9" s="1561"/>
      <c r="EQ9" s="1561"/>
      <c r="ER9" s="1561"/>
      <c r="ES9" s="1561"/>
      <c r="ET9" s="1561"/>
      <c r="EU9" s="1561"/>
      <c r="EV9" s="1561"/>
      <c r="EW9" s="1561"/>
      <c r="EX9" s="1561"/>
      <c r="EY9" s="1561"/>
      <c r="EZ9" s="1561"/>
      <c r="FA9" s="1561"/>
      <c r="FB9" s="1561"/>
      <c r="FC9" s="1561"/>
      <c r="FD9" s="1561"/>
      <c r="FE9" s="1561"/>
      <c r="FF9" s="1561"/>
      <c r="FG9" s="1561"/>
      <c r="FH9" s="1561"/>
      <c r="FI9" s="1561"/>
      <c r="FJ9" s="1561"/>
      <c r="FK9" s="1561"/>
      <c r="FL9" s="1561"/>
      <c r="FM9" s="1561"/>
      <c r="FN9" s="1561"/>
      <c r="FO9" s="1561"/>
      <c r="FP9" s="1561"/>
      <c r="FQ9" s="1561"/>
      <c r="FR9" s="1561"/>
      <c r="FS9" s="1561"/>
      <c r="FT9" s="1561"/>
      <c r="FU9" s="1561"/>
      <c r="FV9" s="1561"/>
      <c r="FW9" s="1561"/>
      <c r="FX9" s="1561"/>
      <c r="FY9" s="1561"/>
      <c r="FZ9" s="1561"/>
      <c r="GA9" s="1561"/>
      <c r="GB9" s="1561"/>
      <c r="GC9" s="1561"/>
      <c r="GD9" s="1561"/>
      <c r="GE9" s="1561"/>
      <c r="GF9" s="1561"/>
      <c r="GG9" s="1561"/>
      <c r="GH9" s="1561"/>
      <c r="GI9" s="1561"/>
      <c r="GJ9" s="1561"/>
      <c r="GK9" s="1561"/>
      <c r="GL9" s="1561"/>
    </row>
    <row r="10" spans="1:194" s="303" customFormat="1" ht="17.25" customHeight="1" x14ac:dyDescent="0.3">
      <c r="A10" s="1645"/>
      <c r="B10" s="1646"/>
      <c r="C10" s="1646"/>
      <c r="D10" s="1646"/>
      <c r="E10" s="1646"/>
      <c r="F10" s="2124"/>
      <c r="G10" s="1663"/>
      <c r="H10" s="1561"/>
      <c r="I10" s="1561"/>
      <c r="J10" s="1561"/>
      <c r="K10" s="1561"/>
      <c r="L10" s="1561"/>
      <c r="M10" s="1561"/>
      <c r="N10" s="1561"/>
      <c r="O10" s="1561"/>
      <c r="P10" s="1561"/>
      <c r="Q10" s="1561"/>
      <c r="R10" s="1561"/>
      <c r="S10" s="1561"/>
      <c r="T10" s="1561"/>
      <c r="U10" s="1561"/>
      <c r="V10" s="1561"/>
      <c r="W10" s="1561"/>
      <c r="X10" s="1561"/>
      <c r="Y10" s="1561"/>
      <c r="Z10" s="1561"/>
      <c r="AA10" s="1561"/>
      <c r="AB10" s="1561"/>
      <c r="AC10" s="1561"/>
      <c r="AD10" s="1561"/>
      <c r="AE10" s="1561"/>
      <c r="AF10" s="1561"/>
      <c r="AG10" s="1561"/>
      <c r="AH10" s="1561"/>
      <c r="AI10" s="1561"/>
      <c r="AJ10" s="1561"/>
      <c r="AK10" s="1561"/>
      <c r="AL10" s="1561"/>
      <c r="AM10" s="1561"/>
      <c r="AN10" s="1561"/>
      <c r="AO10" s="1561"/>
      <c r="AP10" s="1561"/>
      <c r="AQ10" s="1561"/>
      <c r="AR10" s="1561"/>
      <c r="AS10" s="1561"/>
      <c r="AT10" s="1561"/>
      <c r="AU10" s="1561"/>
      <c r="AV10" s="1561"/>
      <c r="AW10" s="1561"/>
      <c r="AX10" s="1561"/>
      <c r="AY10" s="1561"/>
      <c r="AZ10" s="1561"/>
      <c r="BA10" s="1561"/>
      <c r="BB10" s="1561"/>
      <c r="BC10" s="1561"/>
      <c r="BD10" s="1561"/>
      <c r="BE10" s="1561"/>
      <c r="BF10" s="1561"/>
      <c r="BG10" s="1561"/>
      <c r="BH10" s="1561"/>
      <c r="BI10" s="1561"/>
      <c r="BJ10" s="1561"/>
      <c r="BK10" s="1561"/>
      <c r="BL10" s="1561"/>
      <c r="BM10" s="1561"/>
      <c r="BN10" s="1561"/>
      <c r="BO10" s="1561"/>
      <c r="BP10" s="1561"/>
      <c r="BQ10" s="1561"/>
      <c r="BR10" s="1561"/>
      <c r="BS10" s="1561"/>
      <c r="BT10" s="1561"/>
      <c r="BU10" s="1561"/>
      <c r="BV10" s="1561"/>
      <c r="BW10" s="1561"/>
      <c r="BX10" s="1561"/>
      <c r="BY10" s="1561"/>
      <c r="BZ10" s="1561"/>
      <c r="CA10" s="1561"/>
      <c r="CB10" s="1561"/>
      <c r="CC10" s="1561"/>
      <c r="CD10" s="1561"/>
      <c r="CE10" s="1561"/>
      <c r="CF10" s="1561"/>
      <c r="CG10" s="1561"/>
      <c r="CH10" s="1561"/>
      <c r="CI10" s="1561"/>
      <c r="CJ10" s="1561"/>
      <c r="CK10" s="1561"/>
      <c r="CL10" s="1561"/>
      <c r="CM10" s="1561"/>
      <c r="CN10" s="1561"/>
      <c r="CO10" s="1561"/>
      <c r="CP10" s="1561"/>
      <c r="CQ10" s="1561"/>
      <c r="CR10" s="1561"/>
      <c r="CS10" s="1561"/>
      <c r="CT10" s="1561"/>
      <c r="CU10" s="1561"/>
      <c r="CV10" s="1561"/>
      <c r="CW10" s="1561"/>
      <c r="CX10" s="1561"/>
      <c r="CY10" s="1561"/>
      <c r="CZ10" s="1561"/>
      <c r="DA10" s="1561"/>
      <c r="DB10" s="1561"/>
      <c r="DC10" s="1561"/>
      <c r="DD10" s="1561"/>
      <c r="DE10" s="1561"/>
      <c r="DF10" s="1561"/>
      <c r="DG10" s="1561"/>
      <c r="DH10" s="1561"/>
      <c r="DI10" s="1561"/>
      <c r="DJ10" s="1561"/>
      <c r="DK10" s="1561"/>
      <c r="DL10" s="1561"/>
      <c r="DM10" s="1561"/>
      <c r="DN10" s="1561"/>
      <c r="DO10" s="1561"/>
      <c r="DP10" s="1561"/>
      <c r="DQ10" s="1561"/>
      <c r="DR10" s="1561"/>
      <c r="DS10" s="1561"/>
      <c r="DT10" s="1561"/>
      <c r="DU10" s="1561"/>
      <c r="DV10" s="1561"/>
      <c r="DW10" s="1561"/>
      <c r="DX10" s="1561"/>
      <c r="DY10" s="1561"/>
      <c r="DZ10" s="1561"/>
      <c r="EA10" s="1561"/>
      <c r="EB10" s="1561"/>
      <c r="EC10" s="1561"/>
      <c r="ED10" s="1561"/>
      <c r="EE10" s="1561"/>
      <c r="EF10" s="1561"/>
      <c r="EG10" s="1561"/>
      <c r="EH10" s="1561"/>
      <c r="EI10" s="1561"/>
      <c r="EJ10" s="1561"/>
      <c r="EK10" s="1561"/>
      <c r="EL10" s="1561"/>
      <c r="EM10" s="1561"/>
      <c r="EN10" s="1561"/>
      <c r="EO10" s="1561"/>
      <c r="EP10" s="1561"/>
      <c r="EQ10" s="1561"/>
      <c r="ER10" s="1561"/>
      <c r="ES10" s="1561"/>
      <c r="ET10" s="1561"/>
      <c r="EU10" s="1561"/>
      <c r="EV10" s="1561"/>
      <c r="EW10" s="1561"/>
      <c r="EX10" s="1561"/>
      <c r="EY10" s="1561"/>
      <c r="EZ10" s="1561"/>
      <c r="FA10" s="1561"/>
      <c r="FB10" s="1561"/>
      <c r="FC10" s="1561"/>
      <c r="FD10" s="1561"/>
      <c r="FE10" s="1561"/>
      <c r="FF10" s="1561"/>
      <c r="FG10" s="1561"/>
      <c r="FH10" s="1561"/>
      <c r="FI10" s="1561"/>
      <c r="FJ10" s="1561"/>
      <c r="FK10" s="1561"/>
      <c r="FL10" s="1561"/>
      <c r="FM10" s="1561"/>
      <c r="FN10" s="1561"/>
      <c r="FO10" s="1561"/>
      <c r="FP10" s="1561"/>
      <c r="FQ10" s="1561"/>
      <c r="FR10" s="1561"/>
      <c r="FS10" s="1561"/>
      <c r="FT10" s="1561"/>
      <c r="FU10" s="1561"/>
      <c r="FV10" s="1561"/>
      <c r="FW10" s="1561"/>
      <c r="FX10" s="1561"/>
      <c r="FY10" s="1561"/>
      <c r="FZ10" s="1561"/>
      <c r="GA10" s="1561"/>
      <c r="GB10" s="1561"/>
      <c r="GC10" s="1561"/>
      <c r="GD10" s="1561"/>
      <c r="GE10" s="1561"/>
      <c r="GF10" s="1561"/>
      <c r="GG10" s="1561"/>
      <c r="GH10" s="1561"/>
      <c r="GI10" s="1561"/>
      <c r="GJ10" s="1561"/>
      <c r="GK10" s="1561"/>
      <c r="GL10" s="1561"/>
    </row>
    <row r="11" spans="1:194" ht="17.25" customHeight="1" x14ac:dyDescent="0.3">
      <c r="A11" s="1636" t="str">
        <f>'PyG 0'!A9</f>
        <v>Costes variables (directos)</v>
      </c>
      <c r="B11" s="1637">
        <f>'PyG anuales'!B11-'PyG Reales'!B11</f>
        <v>0</v>
      </c>
      <c r="C11" s="1637">
        <f>'PyG anuales'!D11-'PyG Reales'!D11</f>
        <v>0</v>
      </c>
      <c r="D11" s="1637">
        <f>'PyG anuales'!G11-'PyG Reales'!G11</f>
        <v>0</v>
      </c>
      <c r="E11" s="1637">
        <f>'PyG anuales'!J11-'PyG Reales'!J11</f>
        <v>0</v>
      </c>
      <c r="F11" s="2123">
        <f>'PyG anuales'!M11-'PyG Reales'!M11</f>
        <v>0</v>
      </c>
      <c r="G11" s="1652"/>
    </row>
    <row r="12" spans="1:194" s="303" customFormat="1" ht="17.25" customHeight="1" x14ac:dyDescent="0.3">
      <c r="A12" s="1641" t="s">
        <v>866</v>
      </c>
      <c r="B12" s="1642">
        <f>B9-B11</f>
        <v>0</v>
      </c>
      <c r="C12" s="1642">
        <f>C9-C11</f>
        <v>0</v>
      </c>
      <c r="D12" s="1642">
        <f>D9-D11</f>
        <v>0</v>
      </c>
      <c r="E12" s="1642">
        <f>E9-E11</f>
        <v>0</v>
      </c>
      <c r="F12" s="1644">
        <f>F9-F11</f>
        <v>0</v>
      </c>
      <c r="G12" s="1662"/>
      <c r="H12" s="1561"/>
      <c r="I12" s="1561"/>
      <c r="J12" s="1561"/>
      <c r="K12" s="1561"/>
      <c r="L12" s="1561"/>
      <c r="M12" s="1561"/>
      <c r="N12" s="1561"/>
      <c r="O12" s="1561"/>
      <c r="P12" s="1561"/>
      <c r="Q12" s="1561"/>
      <c r="R12" s="1561"/>
      <c r="S12" s="1561"/>
      <c r="T12" s="1561"/>
      <c r="U12" s="1561"/>
      <c r="V12" s="1561"/>
      <c r="W12" s="1561"/>
      <c r="X12" s="1561"/>
      <c r="Y12" s="1561"/>
      <c r="Z12" s="1561"/>
      <c r="AA12" s="1561"/>
      <c r="AB12" s="1561"/>
      <c r="AC12" s="1561"/>
      <c r="AD12" s="1561"/>
      <c r="AE12" s="1561"/>
      <c r="AF12" s="1561"/>
      <c r="AG12" s="1561"/>
      <c r="AH12" s="1561"/>
      <c r="AI12" s="1561"/>
      <c r="AJ12" s="1561"/>
      <c r="AK12" s="1561"/>
      <c r="AL12" s="1561"/>
      <c r="AM12" s="1561"/>
      <c r="AN12" s="1561"/>
      <c r="AO12" s="1561"/>
      <c r="AP12" s="1561"/>
      <c r="AQ12" s="1561"/>
      <c r="AR12" s="1561"/>
      <c r="AS12" s="1561"/>
      <c r="AT12" s="1561"/>
      <c r="AU12" s="1561"/>
      <c r="AV12" s="1561"/>
      <c r="AW12" s="1561"/>
      <c r="AX12" s="1561"/>
      <c r="AY12" s="1561"/>
      <c r="AZ12" s="1561"/>
      <c r="BA12" s="1561"/>
      <c r="BB12" s="1561"/>
      <c r="BC12" s="1561"/>
      <c r="BD12" s="1561"/>
      <c r="BE12" s="1561"/>
      <c r="BF12" s="1561"/>
      <c r="BG12" s="1561"/>
      <c r="BH12" s="1561"/>
      <c r="BI12" s="1561"/>
      <c r="BJ12" s="1561"/>
      <c r="BK12" s="1561"/>
      <c r="BL12" s="1561"/>
      <c r="BM12" s="1561"/>
      <c r="BN12" s="1561"/>
      <c r="BO12" s="1561"/>
      <c r="BP12" s="1561"/>
      <c r="BQ12" s="1561"/>
      <c r="BR12" s="1561"/>
      <c r="BS12" s="1561"/>
      <c r="BT12" s="1561"/>
      <c r="BU12" s="1561"/>
      <c r="BV12" s="1561"/>
      <c r="BW12" s="1561"/>
      <c r="BX12" s="1561"/>
      <c r="BY12" s="1561"/>
      <c r="BZ12" s="1561"/>
      <c r="CA12" s="1561"/>
      <c r="CB12" s="1561"/>
      <c r="CC12" s="1561"/>
      <c r="CD12" s="1561"/>
      <c r="CE12" s="1561"/>
      <c r="CF12" s="1561"/>
      <c r="CG12" s="1561"/>
      <c r="CH12" s="1561"/>
      <c r="CI12" s="1561"/>
      <c r="CJ12" s="1561"/>
      <c r="CK12" s="1561"/>
      <c r="CL12" s="1561"/>
      <c r="CM12" s="1561"/>
      <c r="CN12" s="1561"/>
      <c r="CO12" s="1561"/>
      <c r="CP12" s="1561"/>
      <c r="CQ12" s="1561"/>
      <c r="CR12" s="1561"/>
      <c r="CS12" s="1561"/>
      <c r="CT12" s="1561"/>
      <c r="CU12" s="1561"/>
      <c r="CV12" s="1561"/>
      <c r="CW12" s="1561"/>
      <c r="CX12" s="1561"/>
      <c r="CY12" s="1561"/>
      <c r="CZ12" s="1561"/>
      <c r="DA12" s="1561"/>
      <c r="DB12" s="1561"/>
      <c r="DC12" s="1561"/>
      <c r="DD12" s="1561"/>
      <c r="DE12" s="1561"/>
      <c r="DF12" s="1561"/>
      <c r="DG12" s="1561"/>
      <c r="DH12" s="1561"/>
      <c r="DI12" s="1561"/>
      <c r="DJ12" s="1561"/>
      <c r="DK12" s="1561"/>
      <c r="DL12" s="1561"/>
      <c r="DM12" s="1561"/>
      <c r="DN12" s="1561"/>
      <c r="DO12" s="1561"/>
      <c r="DP12" s="1561"/>
      <c r="DQ12" s="1561"/>
      <c r="DR12" s="1561"/>
      <c r="DS12" s="1561"/>
      <c r="DT12" s="1561"/>
      <c r="DU12" s="1561"/>
      <c r="DV12" s="1561"/>
      <c r="DW12" s="1561"/>
      <c r="DX12" s="1561"/>
      <c r="DY12" s="1561"/>
      <c r="DZ12" s="1561"/>
      <c r="EA12" s="1561"/>
      <c r="EB12" s="1561"/>
      <c r="EC12" s="1561"/>
      <c r="ED12" s="1561"/>
      <c r="EE12" s="1561"/>
      <c r="EF12" s="1561"/>
      <c r="EG12" s="1561"/>
      <c r="EH12" s="1561"/>
      <c r="EI12" s="1561"/>
      <c r="EJ12" s="1561"/>
      <c r="EK12" s="1561"/>
      <c r="EL12" s="1561"/>
      <c r="EM12" s="1561"/>
      <c r="EN12" s="1561"/>
      <c r="EO12" s="1561"/>
      <c r="EP12" s="1561"/>
      <c r="EQ12" s="1561"/>
      <c r="ER12" s="1561"/>
      <c r="ES12" s="1561"/>
      <c r="ET12" s="1561"/>
      <c r="EU12" s="1561"/>
      <c r="EV12" s="1561"/>
      <c r="EW12" s="1561"/>
      <c r="EX12" s="1561"/>
      <c r="EY12" s="1561"/>
      <c r="EZ12" s="1561"/>
      <c r="FA12" s="1561"/>
      <c r="FB12" s="1561"/>
      <c r="FC12" s="1561"/>
      <c r="FD12" s="1561"/>
      <c r="FE12" s="1561"/>
      <c r="FF12" s="1561"/>
      <c r="FG12" s="1561"/>
      <c r="FH12" s="1561"/>
      <c r="FI12" s="1561"/>
      <c r="FJ12" s="1561"/>
      <c r="FK12" s="1561"/>
      <c r="FL12" s="1561"/>
      <c r="FM12" s="1561"/>
      <c r="FN12" s="1561"/>
      <c r="FO12" s="1561"/>
      <c r="FP12" s="1561"/>
      <c r="FQ12" s="1561"/>
      <c r="FR12" s="1561"/>
      <c r="FS12" s="1561"/>
      <c r="FT12" s="1561"/>
      <c r="FU12" s="1561"/>
      <c r="FV12" s="1561"/>
      <c r="FW12" s="1561"/>
      <c r="FX12" s="1561"/>
      <c r="FY12" s="1561"/>
      <c r="FZ12" s="1561"/>
      <c r="GA12" s="1561"/>
      <c r="GB12" s="1561"/>
      <c r="GC12" s="1561"/>
      <c r="GD12" s="1561"/>
      <c r="GE12" s="1561"/>
      <c r="GF12" s="1561"/>
      <c r="GG12" s="1561"/>
      <c r="GH12" s="1561"/>
      <c r="GI12" s="1561"/>
      <c r="GJ12" s="1561"/>
      <c r="GK12" s="1561"/>
      <c r="GL12" s="1561"/>
    </row>
    <row r="13" spans="1:194" s="303" customFormat="1" ht="17.25" customHeight="1" x14ac:dyDescent="0.3">
      <c r="A13" s="1650"/>
      <c r="B13" s="1557"/>
      <c r="C13" s="1557"/>
      <c r="D13" s="1557"/>
      <c r="E13" s="1557"/>
      <c r="F13" s="2108"/>
      <c r="G13" s="1663"/>
      <c r="H13" s="1561"/>
      <c r="I13" s="1561"/>
      <c r="J13" s="1561"/>
      <c r="K13" s="1561"/>
      <c r="L13" s="1561"/>
      <c r="M13" s="1561"/>
      <c r="N13" s="1561"/>
      <c r="O13" s="1561"/>
      <c r="P13" s="1561"/>
      <c r="Q13" s="1561"/>
      <c r="R13" s="1561"/>
      <c r="S13" s="1561"/>
      <c r="T13" s="1561"/>
      <c r="U13" s="1561"/>
      <c r="V13" s="1561"/>
      <c r="W13" s="1561"/>
      <c r="X13" s="1561"/>
      <c r="Y13" s="1561"/>
      <c r="Z13" s="1561"/>
      <c r="AA13" s="1561"/>
      <c r="AB13" s="1561"/>
      <c r="AC13" s="1561"/>
      <c r="AD13" s="1561"/>
      <c r="AE13" s="1561"/>
      <c r="AF13" s="1561"/>
      <c r="AG13" s="1561"/>
      <c r="AH13" s="1561"/>
      <c r="AI13" s="1561"/>
      <c r="AJ13" s="1561"/>
      <c r="AK13" s="1561"/>
      <c r="AL13" s="1561"/>
      <c r="AM13" s="1561"/>
      <c r="AN13" s="1561"/>
      <c r="AO13" s="1561"/>
      <c r="AP13" s="1561"/>
      <c r="AQ13" s="1561"/>
      <c r="AR13" s="1561"/>
      <c r="AS13" s="1561"/>
      <c r="AT13" s="1561"/>
      <c r="AU13" s="1561"/>
      <c r="AV13" s="1561"/>
      <c r="AW13" s="1561"/>
      <c r="AX13" s="1561"/>
      <c r="AY13" s="1561"/>
      <c r="AZ13" s="1561"/>
      <c r="BA13" s="1561"/>
      <c r="BB13" s="1561"/>
      <c r="BC13" s="1561"/>
      <c r="BD13" s="1561"/>
      <c r="BE13" s="1561"/>
      <c r="BF13" s="1561"/>
      <c r="BG13" s="1561"/>
      <c r="BH13" s="1561"/>
      <c r="BI13" s="1561"/>
      <c r="BJ13" s="1561"/>
      <c r="BK13" s="1561"/>
      <c r="BL13" s="1561"/>
      <c r="BM13" s="1561"/>
      <c r="BN13" s="1561"/>
      <c r="BO13" s="1561"/>
      <c r="BP13" s="1561"/>
      <c r="BQ13" s="1561"/>
      <c r="BR13" s="1561"/>
      <c r="BS13" s="1561"/>
      <c r="BT13" s="1561"/>
      <c r="BU13" s="1561"/>
      <c r="BV13" s="1561"/>
      <c r="BW13" s="1561"/>
      <c r="BX13" s="1561"/>
      <c r="BY13" s="1561"/>
      <c r="BZ13" s="1561"/>
      <c r="CA13" s="1561"/>
      <c r="CB13" s="1561"/>
      <c r="CC13" s="1561"/>
      <c r="CD13" s="1561"/>
      <c r="CE13" s="1561"/>
      <c r="CF13" s="1561"/>
      <c r="CG13" s="1561"/>
      <c r="CH13" s="1561"/>
      <c r="CI13" s="1561"/>
      <c r="CJ13" s="1561"/>
      <c r="CK13" s="1561"/>
      <c r="CL13" s="1561"/>
      <c r="CM13" s="1561"/>
      <c r="CN13" s="1561"/>
      <c r="CO13" s="1561"/>
      <c r="CP13" s="1561"/>
      <c r="CQ13" s="1561"/>
      <c r="CR13" s="1561"/>
      <c r="CS13" s="1561"/>
      <c r="CT13" s="1561"/>
      <c r="CU13" s="1561"/>
      <c r="CV13" s="1561"/>
      <c r="CW13" s="1561"/>
      <c r="CX13" s="1561"/>
      <c r="CY13" s="1561"/>
      <c r="CZ13" s="1561"/>
      <c r="DA13" s="1561"/>
      <c r="DB13" s="1561"/>
      <c r="DC13" s="1561"/>
      <c r="DD13" s="1561"/>
      <c r="DE13" s="1561"/>
      <c r="DF13" s="1561"/>
      <c r="DG13" s="1561"/>
      <c r="DH13" s="1561"/>
      <c r="DI13" s="1561"/>
      <c r="DJ13" s="1561"/>
      <c r="DK13" s="1561"/>
      <c r="DL13" s="1561"/>
      <c r="DM13" s="1561"/>
      <c r="DN13" s="1561"/>
      <c r="DO13" s="1561"/>
      <c r="DP13" s="1561"/>
      <c r="DQ13" s="1561"/>
      <c r="DR13" s="1561"/>
      <c r="DS13" s="1561"/>
      <c r="DT13" s="1561"/>
      <c r="DU13" s="1561"/>
      <c r="DV13" s="1561"/>
      <c r="DW13" s="1561"/>
      <c r="DX13" s="1561"/>
      <c r="DY13" s="1561"/>
      <c r="DZ13" s="1561"/>
      <c r="EA13" s="1561"/>
      <c r="EB13" s="1561"/>
      <c r="EC13" s="1561"/>
      <c r="ED13" s="1561"/>
      <c r="EE13" s="1561"/>
      <c r="EF13" s="1561"/>
      <c r="EG13" s="1561"/>
      <c r="EH13" s="1561"/>
      <c r="EI13" s="1561"/>
      <c r="EJ13" s="1561"/>
      <c r="EK13" s="1561"/>
      <c r="EL13" s="1561"/>
      <c r="EM13" s="1561"/>
      <c r="EN13" s="1561"/>
      <c r="EO13" s="1561"/>
      <c r="EP13" s="1561"/>
      <c r="EQ13" s="1561"/>
      <c r="ER13" s="1561"/>
      <c r="ES13" s="1561"/>
      <c r="ET13" s="1561"/>
      <c r="EU13" s="1561"/>
      <c r="EV13" s="1561"/>
      <c r="EW13" s="1561"/>
      <c r="EX13" s="1561"/>
      <c r="EY13" s="1561"/>
      <c r="EZ13" s="1561"/>
      <c r="FA13" s="1561"/>
      <c r="FB13" s="1561"/>
      <c r="FC13" s="1561"/>
      <c r="FD13" s="1561"/>
      <c r="FE13" s="1561"/>
      <c r="FF13" s="1561"/>
      <c r="FG13" s="1561"/>
      <c r="FH13" s="1561"/>
      <c r="FI13" s="1561"/>
      <c r="FJ13" s="1561"/>
      <c r="FK13" s="1561"/>
      <c r="FL13" s="1561"/>
      <c r="FM13" s="1561"/>
      <c r="FN13" s="1561"/>
      <c r="FO13" s="1561"/>
      <c r="FP13" s="1561"/>
      <c r="FQ13" s="1561"/>
      <c r="FR13" s="1561"/>
      <c r="FS13" s="1561"/>
      <c r="FT13" s="1561"/>
      <c r="FU13" s="1561"/>
      <c r="FV13" s="1561"/>
      <c r="FW13" s="1561"/>
      <c r="FX13" s="1561"/>
      <c r="FY13" s="1561"/>
      <c r="FZ13" s="1561"/>
      <c r="GA13" s="1561"/>
      <c r="GB13" s="1561"/>
      <c r="GC13" s="1561"/>
      <c r="GD13" s="1561"/>
      <c r="GE13" s="1561"/>
      <c r="GF13" s="1561"/>
      <c r="GG13" s="1561"/>
      <c r="GH13" s="1561"/>
      <c r="GI13" s="1561"/>
      <c r="GJ13" s="1561"/>
      <c r="GK13" s="1561"/>
      <c r="GL13" s="1561"/>
    </row>
    <row r="14" spans="1:194" ht="17.25" customHeight="1" x14ac:dyDescent="0.3">
      <c r="A14" s="1636" t="s">
        <v>91</v>
      </c>
      <c r="B14" s="1637">
        <f>'PyG anuales'!B14-'PyG Reales'!B14</f>
        <v>14652</v>
      </c>
      <c r="C14" s="1637">
        <f>'PyG anuales'!D14-'PyG Reales'!D14</f>
        <v>15238.080000000002</v>
      </c>
      <c r="D14" s="1637">
        <f>'PyG anuales'!G14-'PyG Reales'!G14</f>
        <v>15847.603200000005</v>
      </c>
      <c r="E14" s="1637">
        <f>'PyG anuales'!J14-'PyG Reales'!J14</f>
        <v>16481.507328</v>
      </c>
      <c r="F14" s="2123">
        <f>'PyG anuales'!M14-'PyG Reales'!M14</f>
        <v>17140.767621120001</v>
      </c>
      <c r="G14" s="1652"/>
    </row>
    <row r="15" spans="1:194" ht="17.25" customHeight="1" x14ac:dyDescent="0.3">
      <c r="A15" s="1636" t="s">
        <v>119</v>
      </c>
      <c r="B15" s="1637">
        <f>'PyG anuales'!B15-'PyG Reales'!B15</f>
        <v>1064.6400000000001</v>
      </c>
      <c r="C15" s="1637">
        <f>'PyG anuales'!D15-'PyG Reales'!D15</f>
        <v>1064.6400000000001</v>
      </c>
      <c r="D15" s="1637">
        <f>'PyG anuales'!G15-'PyG Reales'!G15</f>
        <v>2470.5600000000009</v>
      </c>
      <c r="E15" s="1637">
        <f>'PyG anuales'!J15-'PyG Reales'!J15</f>
        <v>2470.5600000000009</v>
      </c>
      <c r="F15" s="2123">
        <f>'PyG anuales'!M15-'PyG Reales'!M15</f>
        <v>2470.5600000000009</v>
      </c>
      <c r="G15" s="1652"/>
    </row>
    <row r="16" spans="1:194" ht="17.25" customHeight="1" x14ac:dyDescent="0.3">
      <c r="A16" s="1636" t="s">
        <v>90</v>
      </c>
      <c r="B16" s="1637">
        <f>'PyG anuales'!B16-'PyG Reales'!B16</f>
        <v>0</v>
      </c>
      <c r="C16" s="1637">
        <f>'PyG anuales'!D16-'PyG Reales'!D16</f>
        <v>0</v>
      </c>
      <c r="D16" s="1637">
        <f>'PyG anuales'!G16-'PyG Reales'!G16</f>
        <v>0</v>
      </c>
      <c r="E16" s="1637">
        <f>'PyG anuales'!J16-'PyG Reales'!J16</f>
        <v>0</v>
      </c>
      <c r="F16" s="2123">
        <f>'PyG anuales'!M16-'PyG Reales'!M16</f>
        <v>0</v>
      </c>
      <c r="G16" s="1652"/>
    </row>
    <row r="17" spans="1:194" ht="17.25" customHeight="1" x14ac:dyDescent="0.3">
      <c r="A17" s="1636" t="str">
        <f>'PyG 0'!A15</f>
        <v>Dotación Amortizaciones</v>
      </c>
      <c r="B17" s="1637">
        <f>'PyG anuales'!B17-'PyG Reales'!B17</f>
        <v>0</v>
      </c>
      <c r="C17" s="1637">
        <f>'PyG anuales'!D17-'PyG Reales'!D17</f>
        <v>0</v>
      </c>
      <c r="D17" s="1637">
        <f>'PyG anuales'!G17-'PyG Reales'!G17</f>
        <v>0</v>
      </c>
      <c r="E17" s="1637">
        <f>'PyG anuales'!J17-'PyG Reales'!J17</f>
        <v>0</v>
      </c>
      <c r="F17" s="2123">
        <f>'PyG anuales'!M17-'PyG Reales'!M17</f>
        <v>0</v>
      </c>
      <c r="G17" s="1652"/>
    </row>
    <row r="18" spans="1:194" s="1089" customFormat="1" ht="17.25" customHeight="1" x14ac:dyDescent="0.3">
      <c r="A18" s="1641" t="s">
        <v>871</v>
      </c>
      <c r="B18" s="1642">
        <f>SUM(B14:B17)</f>
        <v>15716.64</v>
      </c>
      <c r="C18" s="1642">
        <f>SUM(C14:C17)</f>
        <v>16302.720000000001</v>
      </c>
      <c r="D18" s="1642">
        <f>SUM(D14:D17)</f>
        <v>18318.163200000006</v>
      </c>
      <c r="E18" s="1642">
        <f>SUM(E14:E17)</f>
        <v>18952.067328000001</v>
      </c>
      <c r="F18" s="1644">
        <f>SUM(F14:F17)</f>
        <v>19611.327621120003</v>
      </c>
      <c r="G18" s="1664"/>
      <c r="H18" s="1665"/>
      <c r="I18" s="1665"/>
      <c r="J18" s="1665"/>
      <c r="K18" s="1665"/>
      <c r="L18" s="1665"/>
      <c r="M18" s="1665"/>
      <c r="N18" s="1665"/>
      <c r="O18" s="1665"/>
      <c r="P18" s="1665"/>
      <c r="Q18" s="1665"/>
      <c r="R18" s="1665"/>
      <c r="S18" s="1665"/>
      <c r="T18" s="1665"/>
      <c r="U18" s="1665"/>
      <c r="V18" s="1665"/>
      <c r="W18" s="1665"/>
      <c r="X18" s="1665"/>
      <c r="Y18" s="1665"/>
      <c r="Z18" s="1665"/>
      <c r="AA18" s="1665"/>
      <c r="AB18" s="1665"/>
      <c r="AC18" s="1665"/>
      <c r="AD18" s="1665"/>
      <c r="AE18" s="1665"/>
      <c r="AF18" s="1665"/>
      <c r="AG18" s="1665"/>
      <c r="AH18" s="1665"/>
      <c r="AI18" s="1665"/>
      <c r="AJ18" s="1665"/>
      <c r="AK18" s="1665"/>
      <c r="AL18" s="1665"/>
      <c r="AM18" s="1665"/>
      <c r="AN18" s="1665"/>
      <c r="AO18" s="1665"/>
      <c r="AP18" s="1665"/>
      <c r="AQ18" s="1665"/>
      <c r="AR18" s="1665"/>
      <c r="AS18" s="1665"/>
      <c r="AT18" s="1665"/>
      <c r="AU18" s="1665"/>
      <c r="AV18" s="1665"/>
      <c r="AW18" s="1665"/>
      <c r="AX18" s="1665"/>
      <c r="AY18" s="1665"/>
      <c r="AZ18" s="1665"/>
      <c r="BA18" s="1665"/>
      <c r="BB18" s="1665"/>
      <c r="BC18" s="1665"/>
      <c r="BD18" s="1665"/>
      <c r="BE18" s="1665"/>
      <c r="BF18" s="1665"/>
      <c r="BG18" s="1665"/>
      <c r="BH18" s="1665"/>
      <c r="BI18" s="1665"/>
      <c r="BJ18" s="1665"/>
      <c r="BK18" s="1665"/>
      <c r="BL18" s="1665"/>
      <c r="BM18" s="1665"/>
      <c r="BN18" s="1665"/>
      <c r="BO18" s="1665"/>
      <c r="BP18" s="1665"/>
      <c r="BQ18" s="1665"/>
      <c r="BR18" s="1665"/>
      <c r="BS18" s="1665"/>
      <c r="BT18" s="1665"/>
      <c r="BU18" s="1665"/>
      <c r="BV18" s="1665"/>
      <c r="BW18" s="1665"/>
      <c r="BX18" s="1665"/>
      <c r="BY18" s="1665"/>
      <c r="BZ18" s="1665"/>
      <c r="CA18" s="1665"/>
      <c r="CB18" s="1665"/>
      <c r="CC18" s="1665"/>
      <c r="CD18" s="1665"/>
      <c r="CE18" s="1665"/>
      <c r="CF18" s="1665"/>
      <c r="CG18" s="1665"/>
      <c r="CH18" s="1665"/>
      <c r="CI18" s="1665"/>
      <c r="CJ18" s="1665"/>
      <c r="CK18" s="1665"/>
      <c r="CL18" s="1665"/>
      <c r="CM18" s="1665"/>
      <c r="CN18" s="1665"/>
      <c r="CO18" s="1665"/>
      <c r="CP18" s="1665"/>
      <c r="CQ18" s="1665"/>
      <c r="CR18" s="1665"/>
      <c r="CS18" s="1665"/>
      <c r="CT18" s="1665"/>
      <c r="CU18" s="1665"/>
      <c r="CV18" s="1665"/>
      <c r="CW18" s="1665"/>
      <c r="CX18" s="1665"/>
      <c r="CY18" s="1665"/>
      <c r="CZ18" s="1665"/>
      <c r="DA18" s="1665"/>
      <c r="DB18" s="1665"/>
      <c r="DC18" s="1665"/>
      <c r="DD18" s="1665"/>
      <c r="DE18" s="1665"/>
      <c r="DF18" s="1665"/>
      <c r="DG18" s="1665"/>
      <c r="DH18" s="1665"/>
      <c r="DI18" s="1665"/>
      <c r="DJ18" s="1665"/>
      <c r="DK18" s="1665"/>
      <c r="DL18" s="1665"/>
      <c r="DM18" s="1665"/>
      <c r="DN18" s="1665"/>
      <c r="DO18" s="1665"/>
      <c r="DP18" s="1665"/>
      <c r="DQ18" s="1665"/>
      <c r="DR18" s="1665"/>
      <c r="DS18" s="1665"/>
      <c r="DT18" s="1665"/>
      <c r="DU18" s="1665"/>
      <c r="DV18" s="1665"/>
      <c r="DW18" s="1665"/>
      <c r="DX18" s="1665"/>
      <c r="DY18" s="1665"/>
      <c r="DZ18" s="1665"/>
      <c r="EA18" s="1665"/>
      <c r="EB18" s="1665"/>
      <c r="EC18" s="1665"/>
      <c r="ED18" s="1665"/>
      <c r="EE18" s="1665"/>
      <c r="EF18" s="1665"/>
      <c r="EG18" s="1665"/>
      <c r="EH18" s="1665"/>
      <c r="EI18" s="1665"/>
      <c r="EJ18" s="1665"/>
      <c r="EK18" s="1665"/>
      <c r="EL18" s="1665"/>
      <c r="EM18" s="1665"/>
      <c r="EN18" s="1665"/>
      <c r="EO18" s="1665"/>
      <c r="EP18" s="1665"/>
      <c r="EQ18" s="1665"/>
      <c r="ER18" s="1665"/>
      <c r="ES18" s="1665"/>
      <c r="ET18" s="1665"/>
      <c r="EU18" s="1665"/>
      <c r="EV18" s="1665"/>
      <c r="EW18" s="1665"/>
      <c r="EX18" s="1665"/>
      <c r="EY18" s="1665"/>
      <c r="EZ18" s="1665"/>
      <c r="FA18" s="1665"/>
      <c r="FB18" s="1665"/>
      <c r="FC18" s="1665"/>
      <c r="FD18" s="1665"/>
      <c r="FE18" s="1665"/>
      <c r="FF18" s="1665"/>
      <c r="FG18" s="1665"/>
      <c r="FH18" s="1665"/>
      <c r="FI18" s="1665"/>
      <c r="FJ18" s="1665"/>
      <c r="FK18" s="1665"/>
      <c r="FL18" s="1665"/>
      <c r="FM18" s="1665"/>
      <c r="FN18" s="1665"/>
      <c r="FO18" s="1665"/>
      <c r="FP18" s="1665"/>
      <c r="FQ18" s="1665"/>
      <c r="FR18" s="1665"/>
      <c r="FS18" s="1665"/>
      <c r="FT18" s="1665"/>
      <c r="FU18" s="1665"/>
      <c r="FV18" s="1665"/>
      <c r="FW18" s="1665"/>
      <c r="FX18" s="1665"/>
      <c r="FY18" s="1665"/>
      <c r="FZ18" s="1665"/>
      <c r="GA18" s="1665"/>
      <c r="GB18" s="1665"/>
      <c r="GC18" s="1665"/>
      <c r="GD18" s="1665"/>
      <c r="GE18" s="1665"/>
      <c r="GF18" s="1665"/>
      <c r="GG18" s="1665"/>
      <c r="GH18" s="1665"/>
      <c r="GI18" s="1665"/>
      <c r="GJ18" s="1665"/>
      <c r="GK18" s="1665"/>
      <c r="GL18" s="1665"/>
    </row>
    <row r="19" spans="1:194" s="303" customFormat="1" ht="17.25" customHeight="1" x14ac:dyDescent="0.3">
      <c r="A19" s="1650"/>
      <c r="B19" s="1557"/>
      <c r="C19" s="1557"/>
      <c r="D19" s="1557"/>
      <c r="E19" s="1557"/>
      <c r="F19" s="2108"/>
      <c r="G19" s="1663"/>
      <c r="H19" s="1561"/>
      <c r="I19" s="1561"/>
      <c r="J19" s="1561"/>
      <c r="K19" s="1561"/>
      <c r="L19" s="1561"/>
      <c r="M19" s="1561"/>
      <c r="N19" s="1561"/>
      <c r="O19" s="1561"/>
      <c r="P19" s="1561"/>
      <c r="Q19" s="1561"/>
      <c r="R19" s="1561"/>
      <c r="S19" s="1561"/>
      <c r="T19" s="1561"/>
      <c r="U19" s="1561"/>
      <c r="V19" s="1561"/>
      <c r="W19" s="1561"/>
      <c r="X19" s="1561"/>
      <c r="Y19" s="1561"/>
      <c r="Z19" s="1561"/>
      <c r="AA19" s="1561"/>
      <c r="AB19" s="1561"/>
      <c r="AC19" s="1561"/>
      <c r="AD19" s="1561"/>
      <c r="AE19" s="1561"/>
      <c r="AF19" s="1561"/>
      <c r="AG19" s="1561"/>
      <c r="AH19" s="1561"/>
      <c r="AI19" s="1561"/>
      <c r="AJ19" s="1561"/>
      <c r="AK19" s="1561"/>
      <c r="AL19" s="1561"/>
      <c r="AM19" s="1561"/>
      <c r="AN19" s="1561"/>
      <c r="AO19" s="1561"/>
      <c r="AP19" s="1561"/>
      <c r="AQ19" s="1561"/>
      <c r="AR19" s="1561"/>
      <c r="AS19" s="1561"/>
      <c r="AT19" s="1561"/>
      <c r="AU19" s="1561"/>
      <c r="AV19" s="1561"/>
      <c r="AW19" s="1561"/>
      <c r="AX19" s="1561"/>
      <c r="AY19" s="1561"/>
      <c r="AZ19" s="1561"/>
      <c r="BA19" s="1561"/>
      <c r="BB19" s="1561"/>
      <c r="BC19" s="1561"/>
      <c r="BD19" s="1561"/>
      <c r="BE19" s="1561"/>
      <c r="BF19" s="1561"/>
      <c r="BG19" s="1561"/>
      <c r="BH19" s="1561"/>
      <c r="BI19" s="1561"/>
      <c r="BJ19" s="1561"/>
      <c r="BK19" s="1561"/>
      <c r="BL19" s="1561"/>
      <c r="BM19" s="1561"/>
      <c r="BN19" s="1561"/>
      <c r="BO19" s="1561"/>
      <c r="BP19" s="1561"/>
      <c r="BQ19" s="1561"/>
      <c r="BR19" s="1561"/>
      <c r="BS19" s="1561"/>
      <c r="BT19" s="1561"/>
      <c r="BU19" s="1561"/>
      <c r="BV19" s="1561"/>
      <c r="BW19" s="1561"/>
      <c r="BX19" s="1561"/>
      <c r="BY19" s="1561"/>
      <c r="BZ19" s="1561"/>
      <c r="CA19" s="1561"/>
      <c r="CB19" s="1561"/>
      <c r="CC19" s="1561"/>
      <c r="CD19" s="1561"/>
      <c r="CE19" s="1561"/>
      <c r="CF19" s="1561"/>
      <c r="CG19" s="1561"/>
      <c r="CH19" s="1561"/>
      <c r="CI19" s="1561"/>
      <c r="CJ19" s="1561"/>
      <c r="CK19" s="1561"/>
      <c r="CL19" s="1561"/>
      <c r="CM19" s="1561"/>
      <c r="CN19" s="1561"/>
      <c r="CO19" s="1561"/>
      <c r="CP19" s="1561"/>
      <c r="CQ19" s="1561"/>
      <c r="CR19" s="1561"/>
      <c r="CS19" s="1561"/>
      <c r="CT19" s="1561"/>
      <c r="CU19" s="1561"/>
      <c r="CV19" s="1561"/>
      <c r="CW19" s="1561"/>
      <c r="CX19" s="1561"/>
      <c r="CY19" s="1561"/>
      <c r="CZ19" s="1561"/>
      <c r="DA19" s="1561"/>
      <c r="DB19" s="1561"/>
      <c r="DC19" s="1561"/>
      <c r="DD19" s="1561"/>
      <c r="DE19" s="1561"/>
      <c r="DF19" s="1561"/>
      <c r="DG19" s="1561"/>
      <c r="DH19" s="1561"/>
      <c r="DI19" s="1561"/>
      <c r="DJ19" s="1561"/>
      <c r="DK19" s="1561"/>
      <c r="DL19" s="1561"/>
      <c r="DM19" s="1561"/>
      <c r="DN19" s="1561"/>
      <c r="DO19" s="1561"/>
      <c r="DP19" s="1561"/>
      <c r="DQ19" s="1561"/>
      <c r="DR19" s="1561"/>
      <c r="DS19" s="1561"/>
      <c r="DT19" s="1561"/>
      <c r="DU19" s="1561"/>
      <c r="DV19" s="1561"/>
      <c r="DW19" s="1561"/>
      <c r="DX19" s="1561"/>
      <c r="DY19" s="1561"/>
      <c r="DZ19" s="1561"/>
      <c r="EA19" s="1561"/>
      <c r="EB19" s="1561"/>
      <c r="EC19" s="1561"/>
      <c r="ED19" s="1561"/>
      <c r="EE19" s="1561"/>
      <c r="EF19" s="1561"/>
      <c r="EG19" s="1561"/>
      <c r="EH19" s="1561"/>
      <c r="EI19" s="1561"/>
      <c r="EJ19" s="1561"/>
      <c r="EK19" s="1561"/>
      <c r="EL19" s="1561"/>
      <c r="EM19" s="1561"/>
      <c r="EN19" s="1561"/>
      <c r="EO19" s="1561"/>
      <c r="EP19" s="1561"/>
      <c r="EQ19" s="1561"/>
      <c r="ER19" s="1561"/>
      <c r="ES19" s="1561"/>
      <c r="ET19" s="1561"/>
      <c r="EU19" s="1561"/>
      <c r="EV19" s="1561"/>
      <c r="EW19" s="1561"/>
      <c r="EX19" s="1561"/>
      <c r="EY19" s="1561"/>
      <c r="EZ19" s="1561"/>
      <c r="FA19" s="1561"/>
      <c r="FB19" s="1561"/>
      <c r="FC19" s="1561"/>
      <c r="FD19" s="1561"/>
      <c r="FE19" s="1561"/>
      <c r="FF19" s="1561"/>
      <c r="FG19" s="1561"/>
      <c r="FH19" s="1561"/>
      <c r="FI19" s="1561"/>
      <c r="FJ19" s="1561"/>
      <c r="FK19" s="1561"/>
      <c r="FL19" s="1561"/>
      <c r="FM19" s="1561"/>
      <c r="FN19" s="1561"/>
      <c r="FO19" s="1561"/>
      <c r="FP19" s="1561"/>
      <c r="FQ19" s="1561"/>
      <c r="FR19" s="1561"/>
      <c r="FS19" s="1561"/>
      <c r="FT19" s="1561"/>
      <c r="FU19" s="1561"/>
      <c r="FV19" s="1561"/>
      <c r="FW19" s="1561"/>
      <c r="FX19" s="1561"/>
      <c r="FY19" s="1561"/>
      <c r="FZ19" s="1561"/>
      <c r="GA19" s="1561"/>
      <c r="GB19" s="1561"/>
      <c r="GC19" s="1561"/>
      <c r="GD19" s="1561"/>
      <c r="GE19" s="1561"/>
      <c r="GF19" s="1561"/>
      <c r="GG19" s="1561"/>
      <c r="GH19" s="1561"/>
      <c r="GI19" s="1561"/>
      <c r="GJ19" s="1561"/>
      <c r="GK19" s="1561"/>
      <c r="GL19" s="1561"/>
    </row>
    <row r="20" spans="1:194" s="303" customFormat="1" ht="17.25" customHeight="1" x14ac:dyDescent="0.3">
      <c r="A20" s="1641" t="s">
        <v>766</v>
      </c>
      <c r="B20" s="1642">
        <f>B12-B18</f>
        <v>-15716.64</v>
      </c>
      <c r="C20" s="1642">
        <f>C12-C18</f>
        <v>-16302.720000000001</v>
      </c>
      <c r="D20" s="1642">
        <f>D12-D18</f>
        <v>-18318.163200000006</v>
      </c>
      <c r="E20" s="1642">
        <f>E12-E18</f>
        <v>-18952.067328000001</v>
      </c>
      <c r="F20" s="1644">
        <f>F12-F18</f>
        <v>-19611.327621120003</v>
      </c>
      <c r="G20" s="1664"/>
      <c r="H20" s="1561"/>
      <c r="I20" s="1561"/>
      <c r="J20" s="1561"/>
      <c r="K20" s="1561"/>
      <c r="L20" s="1561"/>
      <c r="M20" s="1561"/>
      <c r="N20" s="1561"/>
      <c r="O20" s="1561"/>
      <c r="P20" s="1561"/>
      <c r="Q20" s="1561"/>
      <c r="R20" s="1561"/>
      <c r="S20" s="1561"/>
      <c r="T20" s="1561"/>
      <c r="U20" s="1561"/>
      <c r="V20" s="1561"/>
      <c r="W20" s="1561"/>
      <c r="X20" s="1561"/>
      <c r="Y20" s="1561"/>
      <c r="Z20" s="1561"/>
      <c r="AA20" s="1561"/>
      <c r="AB20" s="1561"/>
      <c r="AC20" s="1561"/>
      <c r="AD20" s="1561"/>
      <c r="AE20" s="1561"/>
      <c r="AF20" s="1561"/>
      <c r="AG20" s="1561"/>
      <c r="AH20" s="1561"/>
      <c r="AI20" s="1561"/>
      <c r="AJ20" s="1561"/>
      <c r="AK20" s="1561"/>
      <c r="AL20" s="1561"/>
      <c r="AM20" s="1561"/>
      <c r="AN20" s="1561"/>
      <c r="AO20" s="1561"/>
      <c r="AP20" s="1561"/>
      <c r="AQ20" s="1561"/>
      <c r="AR20" s="1561"/>
      <c r="AS20" s="1561"/>
      <c r="AT20" s="1561"/>
      <c r="AU20" s="1561"/>
      <c r="AV20" s="1561"/>
      <c r="AW20" s="1561"/>
      <c r="AX20" s="1561"/>
      <c r="AY20" s="1561"/>
      <c r="AZ20" s="1561"/>
      <c r="BA20" s="1561"/>
      <c r="BB20" s="1561"/>
      <c r="BC20" s="1561"/>
      <c r="BD20" s="1561"/>
      <c r="BE20" s="1561"/>
      <c r="BF20" s="1561"/>
      <c r="BG20" s="1561"/>
      <c r="BH20" s="1561"/>
      <c r="BI20" s="1561"/>
      <c r="BJ20" s="1561"/>
      <c r="BK20" s="1561"/>
      <c r="BL20" s="1561"/>
      <c r="BM20" s="1561"/>
      <c r="BN20" s="1561"/>
      <c r="BO20" s="1561"/>
      <c r="BP20" s="1561"/>
      <c r="BQ20" s="1561"/>
      <c r="BR20" s="1561"/>
      <c r="BS20" s="1561"/>
      <c r="BT20" s="1561"/>
      <c r="BU20" s="1561"/>
      <c r="BV20" s="1561"/>
      <c r="BW20" s="1561"/>
      <c r="BX20" s="1561"/>
      <c r="BY20" s="1561"/>
      <c r="BZ20" s="1561"/>
      <c r="CA20" s="1561"/>
      <c r="CB20" s="1561"/>
      <c r="CC20" s="1561"/>
      <c r="CD20" s="1561"/>
      <c r="CE20" s="1561"/>
      <c r="CF20" s="1561"/>
      <c r="CG20" s="1561"/>
      <c r="CH20" s="1561"/>
      <c r="CI20" s="1561"/>
      <c r="CJ20" s="1561"/>
      <c r="CK20" s="1561"/>
      <c r="CL20" s="1561"/>
      <c r="CM20" s="1561"/>
      <c r="CN20" s="1561"/>
      <c r="CO20" s="1561"/>
      <c r="CP20" s="1561"/>
      <c r="CQ20" s="1561"/>
      <c r="CR20" s="1561"/>
      <c r="CS20" s="1561"/>
      <c r="CT20" s="1561"/>
      <c r="CU20" s="1561"/>
      <c r="CV20" s="1561"/>
      <c r="CW20" s="1561"/>
      <c r="CX20" s="1561"/>
      <c r="CY20" s="1561"/>
      <c r="CZ20" s="1561"/>
      <c r="DA20" s="1561"/>
      <c r="DB20" s="1561"/>
      <c r="DC20" s="1561"/>
      <c r="DD20" s="1561"/>
      <c r="DE20" s="1561"/>
      <c r="DF20" s="1561"/>
      <c r="DG20" s="1561"/>
      <c r="DH20" s="1561"/>
      <c r="DI20" s="1561"/>
      <c r="DJ20" s="1561"/>
      <c r="DK20" s="1561"/>
      <c r="DL20" s="1561"/>
      <c r="DM20" s="1561"/>
      <c r="DN20" s="1561"/>
      <c r="DO20" s="1561"/>
      <c r="DP20" s="1561"/>
      <c r="DQ20" s="1561"/>
      <c r="DR20" s="1561"/>
      <c r="DS20" s="1561"/>
      <c r="DT20" s="1561"/>
      <c r="DU20" s="1561"/>
      <c r="DV20" s="1561"/>
      <c r="DW20" s="1561"/>
      <c r="DX20" s="1561"/>
      <c r="DY20" s="1561"/>
      <c r="DZ20" s="1561"/>
      <c r="EA20" s="1561"/>
      <c r="EB20" s="1561"/>
      <c r="EC20" s="1561"/>
      <c r="ED20" s="1561"/>
      <c r="EE20" s="1561"/>
      <c r="EF20" s="1561"/>
      <c r="EG20" s="1561"/>
      <c r="EH20" s="1561"/>
      <c r="EI20" s="1561"/>
      <c r="EJ20" s="1561"/>
      <c r="EK20" s="1561"/>
      <c r="EL20" s="1561"/>
      <c r="EM20" s="1561"/>
      <c r="EN20" s="1561"/>
      <c r="EO20" s="1561"/>
      <c r="EP20" s="1561"/>
      <c r="EQ20" s="1561"/>
      <c r="ER20" s="1561"/>
      <c r="ES20" s="1561"/>
      <c r="ET20" s="1561"/>
      <c r="EU20" s="1561"/>
      <c r="EV20" s="1561"/>
      <c r="EW20" s="1561"/>
      <c r="EX20" s="1561"/>
      <c r="EY20" s="1561"/>
      <c r="EZ20" s="1561"/>
      <c r="FA20" s="1561"/>
      <c r="FB20" s="1561"/>
      <c r="FC20" s="1561"/>
      <c r="FD20" s="1561"/>
      <c r="FE20" s="1561"/>
      <c r="FF20" s="1561"/>
      <c r="FG20" s="1561"/>
      <c r="FH20" s="1561"/>
      <c r="FI20" s="1561"/>
      <c r="FJ20" s="1561"/>
      <c r="FK20" s="1561"/>
      <c r="FL20" s="1561"/>
      <c r="FM20" s="1561"/>
      <c r="FN20" s="1561"/>
      <c r="FO20" s="1561"/>
      <c r="FP20" s="1561"/>
      <c r="FQ20" s="1561"/>
      <c r="FR20" s="1561"/>
      <c r="FS20" s="1561"/>
      <c r="FT20" s="1561"/>
      <c r="FU20" s="1561"/>
      <c r="FV20" s="1561"/>
      <c r="FW20" s="1561"/>
      <c r="FX20" s="1561"/>
      <c r="FY20" s="1561"/>
      <c r="FZ20" s="1561"/>
      <c r="GA20" s="1561"/>
      <c r="GB20" s="1561"/>
      <c r="GC20" s="1561"/>
      <c r="GD20" s="1561"/>
      <c r="GE20" s="1561"/>
      <c r="GF20" s="1561"/>
      <c r="GG20" s="1561"/>
      <c r="GH20" s="1561"/>
      <c r="GI20" s="1561"/>
      <c r="GJ20" s="1561"/>
      <c r="GK20" s="1561"/>
      <c r="GL20" s="1561"/>
    </row>
    <row r="21" spans="1:194" s="303" customFormat="1" ht="17.25" customHeight="1" x14ac:dyDescent="0.3">
      <c r="A21" s="1650"/>
      <c r="B21" s="1557"/>
      <c r="C21" s="1557"/>
      <c r="D21" s="1557"/>
      <c r="E21" s="1557"/>
      <c r="F21" s="2108"/>
      <c r="G21" s="1663"/>
      <c r="H21" s="1561"/>
      <c r="I21" s="1561"/>
      <c r="J21" s="1561"/>
      <c r="K21" s="1561"/>
      <c r="L21" s="1561"/>
      <c r="M21" s="1561"/>
      <c r="N21" s="1561"/>
      <c r="O21" s="1561"/>
      <c r="P21" s="1561"/>
      <c r="Q21" s="1561"/>
      <c r="R21" s="1561"/>
      <c r="S21" s="1561"/>
      <c r="T21" s="1561"/>
      <c r="U21" s="1561"/>
      <c r="V21" s="1561"/>
      <c r="W21" s="1561"/>
      <c r="X21" s="1561"/>
      <c r="Y21" s="1561"/>
      <c r="Z21" s="1561"/>
      <c r="AA21" s="1561"/>
      <c r="AB21" s="1561"/>
      <c r="AC21" s="1561"/>
      <c r="AD21" s="1561"/>
      <c r="AE21" s="1561"/>
      <c r="AF21" s="1561"/>
      <c r="AG21" s="1561"/>
      <c r="AH21" s="1561"/>
      <c r="AI21" s="1561"/>
      <c r="AJ21" s="1561"/>
      <c r="AK21" s="1561"/>
      <c r="AL21" s="1561"/>
      <c r="AM21" s="1561"/>
      <c r="AN21" s="1561"/>
      <c r="AO21" s="1561"/>
      <c r="AP21" s="1561"/>
      <c r="AQ21" s="1561"/>
      <c r="AR21" s="1561"/>
      <c r="AS21" s="1561"/>
      <c r="AT21" s="1561"/>
      <c r="AU21" s="1561"/>
      <c r="AV21" s="1561"/>
      <c r="AW21" s="1561"/>
      <c r="AX21" s="1561"/>
      <c r="AY21" s="1561"/>
      <c r="AZ21" s="1561"/>
      <c r="BA21" s="1561"/>
      <c r="BB21" s="1561"/>
      <c r="BC21" s="1561"/>
      <c r="BD21" s="1561"/>
      <c r="BE21" s="1561"/>
      <c r="BF21" s="1561"/>
      <c r="BG21" s="1561"/>
      <c r="BH21" s="1561"/>
      <c r="BI21" s="1561"/>
      <c r="BJ21" s="1561"/>
      <c r="BK21" s="1561"/>
      <c r="BL21" s="1561"/>
      <c r="BM21" s="1561"/>
      <c r="BN21" s="1561"/>
      <c r="BO21" s="1561"/>
      <c r="BP21" s="1561"/>
      <c r="BQ21" s="1561"/>
      <c r="BR21" s="1561"/>
      <c r="BS21" s="1561"/>
      <c r="BT21" s="1561"/>
      <c r="BU21" s="1561"/>
      <c r="BV21" s="1561"/>
      <c r="BW21" s="1561"/>
      <c r="BX21" s="1561"/>
      <c r="BY21" s="1561"/>
      <c r="BZ21" s="1561"/>
      <c r="CA21" s="1561"/>
      <c r="CB21" s="1561"/>
      <c r="CC21" s="1561"/>
      <c r="CD21" s="1561"/>
      <c r="CE21" s="1561"/>
      <c r="CF21" s="1561"/>
      <c r="CG21" s="1561"/>
      <c r="CH21" s="1561"/>
      <c r="CI21" s="1561"/>
      <c r="CJ21" s="1561"/>
      <c r="CK21" s="1561"/>
      <c r="CL21" s="1561"/>
      <c r="CM21" s="1561"/>
      <c r="CN21" s="1561"/>
      <c r="CO21" s="1561"/>
      <c r="CP21" s="1561"/>
      <c r="CQ21" s="1561"/>
      <c r="CR21" s="1561"/>
      <c r="CS21" s="1561"/>
      <c r="CT21" s="1561"/>
      <c r="CU21" s="1561"/>
      <c r="CV21" s="1561"/>
      <c r="CW21" s="1561"/>
      <c r="CX21" s="1561"/>
      <c r="CY21" s="1561"/>
      <c r="CZ21" s="1561"/>
      <c r="DA21" s="1561"/>
      <c r="DB21" s="1561"/>
      <c r="DC21" s="1561"/>
      <c r="DD21" s="1561"/>
      <c r="DE21" s="1561"/>
      <c r="DF21" s="1561"/>
      <c r="DG21" s="1561"/>
      <c r="DH21" s="1561"/>
      <c r="DI21" s="1561"/>
      <c r="DJ21" s="1561"/>
      <c r="DK21" s="1561"/>
      <c r="DL21" s="1561"/>
      <c r="DM21" s="1561"/>
      <c r="DN21" s="1561"/>
      <c r="DO21" s="1561"/>
      <c r="DP21" s="1561"/>
      <c r="DQ21" s="1561"/>
      <c r="DR21" s="1561"/>
      <c r="DS21" s="1561"/>
      <c r="DT21" s="1561"/>
      <c r="DU21" s="1561"/>
      <c r="DV21" s="1561"/>
      <c r="DW21" s="1561"/>
      <c r="DX21" s="1561"/>
      <c r="DY21" s="1561"/>
      <c r="DZ21" s="1561"/>
      <c r="EA21" s="1561"/>
      <c r="EB21" s="1561"/>
      <c r="EC21" s="1561"/>
      <c r="ED21" s="1561"/>
      <c r="EE21" s="1561"/>
      <c r="EF21" s="1561"/>
      <c r="EG21" s="1561"/>
      <c r="EH21" s="1561"/>
      <c r="EI21" s="1561"/>
      <c r="EJ21" s="1561"/>
      <c r="EK21" s="1561"/>
      <c r="EL21" s="1561"/>
      <c r="EM21" s="1561"/>
      <c r="EN21" s="1561"/>
      <c r="EO21" s="1561"/>
      <c r="EP21" s="1561"/>
      <c r="EQ21" s="1561"/>
      <c r="ER21" s="1561"/>
      <c r="ES21" s="1561"/>
      <c r="ET21" s="1561"/>
      <c r="EU21" s="1561"/>
      <c r="EV21" s="1561"/>
      <c r="EW21" s="1561"/>
      <c r="EX21" s="1561"/>
      <c r="EY21" s="1561"/>
      <c r="EZ21" s="1561"/>
      <c r="FA21" s="1561"/>
      <c r="FB21" s="1561"/>
      <c r="FC21" s="1561"/>
      <c r="FD21" s="1561"/>
      <c r="FE21" s="1561"/>
      <c r="FF21" s="1561"/>
      <c r="FG21" s="1561"/>
      <c r="FH21" s="1561"/>
      <c r="FI21" s="1561"/>
      <c r="FJ21" s="1561"/>
      <c r="FK21" s="1561"/>
      <c r="FL21" s="1561"/>
      <c r="FM21" s="1561"/>
      <c r="FN21" s="1561"/>
      <c r="FO21" s="1561"/>
      <c r="FP21" s="1561"/>
      <c r="FQ21" s="1561"/>
      <c r="FR21" s="1561"/>
      <c r="FS21" s="1561"/>
      <c r="FT21" s="1561"/>
      <c r="FU21" s="1561"/>
      <c r="FV21" s="1561"/>
      <c r="FW21" s="1561"/>
      <c r="FX21" s="1561"/>
      <c r="FY21" s="1561"/>
      <c r="FZ21" s="1561"/>
      <c r="GA21" s="1561"/>
      <c r="GB21" s="1561"/>
      <c r="GC21" s="1561"/>
      <c r="GD21" s="1561"/>
      <c r="GE21" s="1561"/>
      <c r="GF21" s="1561"/>
      <c r="GG21" s="1561"/>
      <c r="GH21" s="1561"/>
      <c r="GI21" s="1561"/>
      <c r="GJ21" s="1561"/>
      <c r="GK21" s="1561"/>
      <c r="GL21" s="1561"/>
    </row>
    <row r="22" spans="1:194" ht="17.25" customHeight="1" x14ac:dyDescent="0.3">
      <c r="A22" s="1636" t="s">
        <v>872</v>
      </c>
      <c r="B22" s="1637">
        <f>'PyG anuales'!B22-'PyG Reales'!B22</f>
        <v>0</v>
      </c>
      <c r="C22" s="1637">
        <f>'PyG anuales'!D22-'PyG Reales'!D22</f>
        <v>0</v>
      </c>
      <c r="D22" s="1637">
        <f>'PyG anuales'!G22-'PyG Reales'!G22</f>
        <v>0</v>
      </c>
      <c r="E22" s="1637">
        <f>'PyG anuales'!J22-'PyG Reales'!J22</f>
        <v>0</v>
      </c>
      <c r="F22" s="2123">
        <f>'PyG anuales'!M22-'PyG Reales'!M22</f>
        <v>0</v>
      </c>
      <c r="G22" s="1652"/>
    </row>
    <row r="23" spans="1:194" ht="17.25" customHeight="1" x14ac:dyDescent="0.3">
      <c r="A23" s="1636" t="s">
        <v>873</v>
      </c>
      <c r="B23" s="1637">
        <f>'PyG anuales'!B23-'PyG Reales'!B23</f>
        <v>646.31946839369516</v>
      </c>
      <c r="C23" s="1637">
        <f>'PyG anuales'!D23-'PyG Reales'!D23</f>
        <v>1860.8104958238205</v>
      </c>
      <c r="D23" s="1637">
        <f>'PyG anuales'!G23-'PyG Reales'!G23</f>
        <v>3239.7896967037746</v>
      </c>
      <c r="E23" s="1637">
        <f>'PyG anuales'!J23-'PyG Reales'!J23</f>
        <v>4818.9543076760046</v>
      </c>
      <c r="F23" s="2123">
        <f>'PyG anuales'!M23-'PyG Reales'!M23</f>
        <v>6558.9313748479281</v>
      </c>
      <c r="G23" s="1652"/>
    </row>
    <row r="24" spans="1:194" s="303" customFormat="1" ht="17.25" customHeight="1" x14ac:dyDescent="0.3">
      <c r="A24" s="1641" t="s">
        <v>874</v>
      </c>
      <c r="B24" s="1642">
        <f>'PyG 0'!N22</f>
        <v>-646.31946839369516</v>
      </c>
      <c r="C24" s="1642">
        <f>C22-C23</f>
        <v>-1860.8104958238205</v>
      </c>
      <c r="D24" s="1642">
        <f>D22-D23</f>
        <v>-3239.7896967037746</v>
      </c>
      <c r="E24" s="1642">
        <f>E22-E23</f>
        <v>-4818.9543076760046</v>
      </c>
      <c r="F24" s="1644">
        <f>F22-F23</f>
        <v>-6558.9313748479281</v>
      </c>
      <c r="G24" s="1664"/>
      <c r="H24" s="1561"/>
      <c r="I24" s="1561"/>
      <c r="J24" s="1561"/>
      <c r="K24" s="1561"/>
      <c r="L24" s="1561"/>
      <c r="M24" s="1561"/>
      <c r="N24" s="1561"/>
      <c r="O24" s="1561"/>
      <c r="P24" s="1561"/>
      <c r="Q24" s="1561"/>
      <c r="R24" s="1561"/>
      <c r="S24" s="1561"/>
      <c r="T24" s="1561"/>
      <c r="U24" s="1561"/>
      <c r="V24" s="1561"/>
      <c r="W24" s="1561"/>
      <c r="X24" s="1561"/>
      <c r="Y24" s="1561"/>
      <c r="Z24" s="1561"/>
      <c r="AA24" s="1561"/>
      <c r="AB24" s="1561"/>
      <c r="AC24" s="1561"/>
      <c r="AD24" s="1561"/>
      <c r="AE24" s="1561"/>
      <c r="AF24" s="1561"/>
      <c r="AG24" s="1561"/>
      <c r="AH24" s="1561"/>
      <c r="AI24" s="1561"/>
      <c r="AJ24" s="1561"/>
      <c r="AK24" s="1561"/>
      <c r="AL24" s="1561"/>
      <c r="AM24" s="1561"/>
      <c r="AN24" s="1561"/>
      <c r="AO24" s="1561"/>
      <c r="AP24" s="1561"/>
      <c r="AQ24" s="1561"/>
      <c r="AR24" s="1561"/>
      <c r="AS24" s="1561"/>
      <c r="AT24" s="1561"/>
      <c r="AU24" s="1561"/>
      <c r="AV24" s="1561"/>
      <c r="AW24" s="1561"/>
      <c r="AX24" s="1561"/>
      <c r="AY24" s="1561"/>
      <c r="AZ24" s="1561"/>
      <c r="BA24" s="1561"/>
      <c r="BB24" s="1561"/>
      <c r="BC24" s="1561"/>
      <c r="BD24" s="1561"/>
      <c r="BE24" s="1561"/>
      <c r="BF24" s="1561"/>
      <c r="BG24" s="1561"/>
      <c r="BH24" s="1561"/>
      <c r="BI24" s="1561"/>
      <c r="BJ24" s="1561"/>
      <c r="BK24" s="1561"/>
      <c r="BL24" s="1561"/>
      <c r="BM24" s="1561"/>
      <c r="BN24" s="1561"/>
      <c r="BO24" s="1561"/>
      <c r="BP24" s="1561"/>
      <c r="BQ24" s="1561"/>
      <c r="BR24" s="1561"/>
      <c r="BS24" s="1561"/>
      <c r="BT24" s="1561"/>
      <c r="BU24" s="1561"/>
      <c r="BV24" s="1561"/>
      <c r="BW24" s="1561"/>
      <c r="BX24" s="1561"/>
      <c r="BY24" s="1561"/>
      <c r="BZ24" s="1561"/>
      <c r="CA24" s="1561"/>
      <c r="CB24" s="1561"/>
      <c r="CC24" s="1561"/>
      <c r="CD24" s="1561"/>
      <c r="CE24" s="1561"/>
      <c r="CF24" s="1561"/>
      <c r="CG24" s="1561"/>
      <c r="CH24" s="1561"/>
      <c r="CI24" s="1561"/>
      <c r="CJ24" s="1561"/>
      <c r="CK24" s="1561"/>
      <c r="CL24" s="1561"/>
      <c r="CM24" s="1561"/>
      <c r="CN24" s="1561"/>
      <c r="CO24" s="1561"/>
      <c r="CP24" s="1561"/>
      <c r="CQ24" s="1561"/>
      <c r="CR24" s="1561"/>
      <c r="CS24" s="1561"/>
      <c r="CT24" s="1561"/>
      <c r="CU24" s="1561"/>
      <c r="CV24" s="1561"/>
      <c r="CW24" s="1561"/>
      <c r="CX24" s="1561"/>
      <c r="CY24" s="1561"/>
      <c r="CZ24" s="1561"/>
      <c r="DA24" s="1561"/>
      <c r="DB24" s="1561"/>
      <c r="DC24" s="1561"/>
      <c r="DD24" s="1561"/>
      <c r="DE24" s="1561"/>
      <c r="DF24" s="1561"/>
      <c r="DG24" s="1561"/>
      <c r="DH24" s="1561"/>
      <c r="DI24" s="1561"/>
      <c r="DJ24" s="1561"/>
      <c r="DK24" s="1561"/>
      <c r="DL24" s="1561"/>
      <c r="DM24" s="1561"/>
      <c r="DN24" s="1561"/>
      <c r="DO24" s="1561"/>
      <c r="DP24" s="1561"/>
      <c r="DQ24" s="1561"/>
      <c r="DR24" s="1561"/>
      <c r="DS24" s="1561"/>
      <c r="DT24" s="1561"/>
      <c r="DU24" s="1561"/>
      <c r="DV24" s="1561"/>
      <c r="DW24" s="1561"/>
      <c r="DX24" s="1561"/>
      <c r="DY24" s="1561"/>
      <c r="DZ24" s="1561"/>
      <c r="EA24" s="1561"/>
      <c r="EB24" s="1561"/>
      <c r="EC24" s="1561"/>
      <c r="ED24" s="1561"/>
      <c r="EE24" s="1561"/>
      <c r="EF24" s="1561"/>
      <c r="EG24" s="1561"/>
      <c r="EH24" s="1561"/>
      <c r="EI24" s="1561"/>
      <c r="EJ24" s="1561"/>
      <c r="EK24" s="1561"/>
      <c r="EL24" s="1561"/>
      <c r="EM24" s="1561"/>
      <c r="EN24" s="1561"/>
      <c r="EO24" s="1561"/>
      <c r="EP24" s="1561"/>
      <c r="EQ24" s="1561"/>
      <c r="ER24" s="1561"/>
      <c r="ES24" s="1561"/>
      <c r="ET24" s="1561"/>
      <c r="EU24" s="1561"/>
      <c r="EV24" s="1561"/>
      <c r="EW24" s="1561"/>
      <c r="EX24" s="1561"/>
      <c r="EY24" s="1561"/>
      <c r="EZ24" s="1561"/>
      <c r="FA24" s="1561"/>
      <c r="FB24" s="1561"/>
      <c r="FC24" s="1561"/>
      <c r="FD24" s="1561"/>
      <c r="FE24" s="1561"/>
      <c r="FF24" s="1561"/>
      <c r="FG24" s="1561"/>
      <c r="FH24" s="1561"/>
      <c r="FI24" s="1561"/>
      <c r="FJ24" s="1561"/>
      <c r="FK24" s="1561"/>
      <c r="FL24" s="1561"/>
      <c r="FM24" s="1561"/>
      <c r="FN24" s="1561"/>
      <c r="FO24" s="1561"/>
      <c r="FP24" s="1561"/>
      <c r="FQ24" s="1561"/>
      <c r="FR24" s="1561"/>
      <c r="FS24" s="1561"/>
      <c r="FT24" s="1561"/>
      <c r="FU24" s="1561"/>
      <c r="FV24" s="1561"/>
      <c r="FW24" s="1561"/>
      <c r="FX24" s="1561"/>
      <c r="FY24" s="1561"/>
      <c r="FZ24" s="1561"/>
      <c r="GA24" s="1561"/>
      <c r="GB24" s="1561"/>
      <c r="GC24" s="1561"/>
      <c r="GD24" s="1561"/>
      <c r="GE24" s="1561"/>
      <c r="GF24" s="1561"/>
      <c r="GG24" s="1561"/>
      <c r="GH24" s="1561"/>
      <c r="GI24" s="1561"/>
      <c r="GJ24" s="1561"/>
      <c r="GK24" s="1561"/>
      <c r="GL24" s="1561"/>
    </row>
    <row r="25" spans="1:194" s="303" customFormat="1" ht="17.25" customHeight="1" x14ac:dyDescent="0.3">
      <c r="A25" s="1650"/>
      <c r="B25" s="1557"/>
      <c r="C25" s="1557"/>
      <c r="D25" s="1557"/>
      <c r="E25" s="1557"/>
      <c r="F25" s="2108"/>
      <c r="G25" s="1663"/>
      <c r="H25" s="1561"/>
      <c r="I25" s="1561"/>
      <c r="J25" s="1561"/>
      <c r="K25" s="1561"/>
      <c r="L25" s="1561"/>
      <c r="M25" s="1561"/>
      <c r="N25" s="1561"/>
      <c r="O25" s="1561"/>
      <c r="P25" s="1561"/>
      <c r="Q25" s="1561"/>
      <c r="R25" s="1561"/>
      <c r="S25" s="1561"/>
      <c r="T25" s="1561"/>
      <c r="U25" s="1561"/>
      <c r="V25" s="1561"/>
      <c r="W25" s="1561"/>
      <c r="X25" s="1561"/>
      <c r="Y25" s="1561"/>
      <c r="Z25" s="1561"/>
      <c r="AA25" s="1561"/>
      <c r="AB25" s="1561"/>
      <c r="AC25" s="1561"/>
      <c r="AD25" s="1561"/>
      <c r="AE25" s="1561"/>
      <c r="AF25" s="1561"/>
      <c r="AG25" s="1561"/>
      <c r="AH25" s="1561"/>
      <c r="AI25" s="1561"/>
      <c r="AJ25" s="1561"/>
      <c r="AK25" s="1561"/>
      <c r="AL25" s="1561"/>
      <c r="AM25" s="1561"/>
      <c r="AN25" s="1561"/>
      <c r="AO25" s="1561"/>
      <c r="AP25" s="1561"/>
      <c r="AQ25" s="1561"/>
      <c r="AR25" s="1561"/>
      <c r="AS25" s="1561"/>
      <c r="AT25" s="1561"/>
      <c r="AU25" s="1561"/>
      <c r="AV25" s="1561"/>
      <c r="AW25" s="1561"/>
      <c r="AX25" s="1561"/>
      <c r="AY25" s="1561"/>
      <c r="AZ25" s="1561"/>
      <c r="BA25" s="1561"/>
      <c r="BB25" s="1561"/>
      <c r="BC25" s="1561"/>
      <c r="BD25" s="1561"/>
      <c r="BE25" s="1561"/>
      <c r="BF25" s="1561"/>
      <c r="BG25" s="1561"/>
      <c r="BH25" s="1561"/>
      <c r="BI25" s="1561"/>
      <c r="BJ25" s="1561"/>
      <c r="BK25" s="1561"/>
      <c r="BL25" s="1561"/>
      <c r="BM25" s="1561"/>
      <c r="BN25" s="1561"/>
      <c r="BO25" s="1561"/>
      <c r="BP25" s="1561"/>
      <c r="BQ25" s="1561"/>
      <c r="BR25" s="1561"/>
      <c r="BS25" s="1561"/>
      <c r="BT25" s="1561"/>
      <c r="BU25" s="1561"/>
      <c r="BV25" s="1561"/>
      <c r="BW25" s="1561"/>
      <c r="BX25" s="1561"/>
      <c r="BY25" s="1561"/>
      <c r="BZ25" s="1561"/>
      <c r="CA25" s="1561"/>
      <c r="CB25" s="1561"/>
      <c r="CC25" s="1561"/>
      <c r="CD25" s="1561"/>
      <c r="CE25" s="1561"/>
      <c r="CF25" s="1561"/>
      <c r="CG25" s="1561"/>
      <c r="CH25" s="1561"/>
      <c r="CI25" s="1561"/>
      <c r="CJ25" s="1561"/>
      <c r="CK25" s="1561"/>
      <c r="CL25" s="1561"/>
      <c r="CM25" s="1561"/>
      <c r="CN25" s="1561"/>
      <c r="CO25" s="1561"/>
      <c r="CP25" s="1561"/>
      <c r="CQ25" s="1561"/>
      <c r="CR25" s="1561"/>
      <c r="CS25" s="1561"/>
      <c r="CT25" s="1561"/>
      <c r="CU25" s="1561"/>
      <c r="CV25" s="1561"/>
      <c r="CW25" s="1561"/>
      <c r="CX25" s="1561"/>
      <c r="CY25" s="1561"/>
      <c r="CZ25" s="1561"/>
      <c r="DA25" s="1561"/>
      <c r="DB25" s="1561"/>
      <c r="DC25" s="1561"/>
      <c r="DD25" s="1561"/>
      <c r="DE25" s="1561"/>
      <c r="DF25" s="1561"/>
      <c r="DG25" s="1561"/>
      <c r="DH25" s="1561"/>
      <c r="DI25" s="1561"/>
      <c r="DJ25" s="1561"/>
      <c r="DK25" s="1561"/>
      <c r="DL25" s="1561"/>
      <c r="DM25" s="1561"/>
      <c r="DN25" s="1561"/>
      <c r="DO25" s="1561"/>
      <c r="DP25" s="1561"/>
      <c r="DQ25" s="1561"/>
      <c r="DR25" s="1561"/>
      <c r="DS25" s="1561"/>
      <c r="DT25" s="1561"/>
      <c r="DU25" s="1561"/>
      <c r="DV25" s="1561"/>
      <c r="DW25" s="1561"/>
      <c r="DX25" s="1561"/>
      <c r="DY25" s="1561"/>
      <c r="DZ25" s="1561"/>
      <c r="EA25" s="1561"/>
      <c r="EB25" s="1561"/>
      <c r="EC25" s="1561"/>
      <c r="ED25" s="1561"/>
      <c r="EE25" s="1561"/>
      <c r="EF25" s="1561"/>
      <c r="EG25" s="1561"/>
      <c r="EH25" s="1561"/>
      <c r="EI25" s="1561"/>
      <c r="EJ25" s="1561"/>
      <c r="EK25" s="1561"/>
      <c r="EL25" s="1561"/>
      <c r="EM25" s="1561"/>
      <c r="EN25" s="1561"/>
      <c r="EO25" s="1561"/>
      <c r="EP25" s="1561"/>
      <c r="EQ25" s="1561"/>
      <c r="ER25" s="1561"/>
      <c r="ES25" s="1561"/>
      <c r="ET25" s="1561"/>
      <c r="EU25" s="1561"/>
      <c r="EV25" s="1561"/>
      <c r="EW25" s="1561"/>
      <c r="EX25" s="1561"/>
      <c r="EY25" s="1561"/>
      <c r="EZ25" s="1561"/>
      <c r="FA25" s="1561"/>
      <c r="FB25" s="1561"/>
      <c r="FC25" s="1561"/>
      <c r="FD25" s="1561"/>
      <c r="FE25" s="1561"/>
      <c r="FF25" s="1561"/>
      <c r="FG25" s="1561"/>
      <c r="FH25" s="1561"/>
      <c r="FI25" s="1561"/>
      <c r="FJ25" s="1561"/>
      <c r="FK25" s="1561"/>
      <c r="FL25" s="1561"/>
      <c r="FM25" s="1561"/>
      <c r="FN25" s="1561"/>
      <c r="FO25" s="1561"/>
      <c r="FP25" s="1561"/>
      <c r="FQ25" s="1561"/>
      <c r="FR25" s="1561"/>
      <c r="FS25" s="1561"/>
      <c r="FT25" s="1561"/>
      <c r="FU25" s="1561"/>
      <c r="FV25" s="1561"/>
      <c r="FW25" s="1561"/>
      <c r="FX25" s="1561"/>
      <c r="FY25" s="1561"/>
      <c r="FZ25" s="1561"/>
      <c r="GA25" s="1561"/>
      <c r="GB25" s="1561"/>
      <c r="GC25" s="1561"/>
      <c r="GD25" s="1561"/>
      <c r="GE25" s="1561"/>
      <c r="GF25" s="1561"/>
      <c r="GG25" s="1561"/>
      <c r="GH25" s="1561"/>
      <c r="GI25" s="1561"/>
      <c r="GJ25" s="1561"/>
      <c r="GK25" s="1561"/>
      <c r="GL25" s="1561"/>
    </row>
    <row r="26" spans="1:194" s="303" customFormat="1" ht="17.25" customHeight="1" x14ac:dyDescent="0.3">
      <c r="A26" s="1641" t="s">
        <v>767</v>
      </c>
      <c r="B26" s="1642">
        <f>B20+B24</f>
        <v>-16362.959468393694</v>
      </c>
      <c r="C26" s="1642">
        <f>C20+C24</f>
        <v>-18163.530495823823</v>
      </c>
      <c r="D26" s="1642">
        <f>D20+D24</f>
        <v>-21557.95289670378</v>
      </c>
      <c r="E26" s="1642">
        <f>E20+E24</f>
        <v>-23771.021635676007</v>
      </c>
      <c r="F26" s="1644">
        <f>F20+F24</f>
        <v>-26170.258995967932</v>
      </c>
      <c r="G26" s="1664"/>
      <c r="H26" s="1561"/>
      <c r="I26" s="1561"/>
      <c r="J26" s="1561"/>
      <c r="K26" s="1561"/>
      <c r="L26" s="1561"/>
      <c r="M26" s="1561"/>
      <c r="N26" s="1561"/>
      <c r="O26" s="1561"/>
      <c r="P26" s="1561"/>
      <c r="Q26" s="1561"/>
      <c r="R26" s="1561"/>
      <c r="S26" s="1561"/>
      <c r="T26" s="1561"/>
      <c r="U26" s="1561"/>
      <c r="V26" s="1561"/>
      <c r="W26" s="1561"/>
      <c r="X26" s="1561"/>
      <c r="Y26" s="1561"/>
      <c r="Z26" s="1561"/>
      <c r="AA26" s="1561"/>
      <c r="AB26" s="1561"/>
      <c r="AC26" s="1561"/>
      <c r="AD26" s="1561"/>
      <c r="AE26" s="1561"/>
      <c r="AF26" s="1561"/>
      <c r="AG26" s="1561"/>
      <c r="AH26" s="1561"/>
      <c r="AI26" s="1561"/>
      <c r="AJ26" s="1561"/>
      <c r="AK26" s="1561"/>
      <c r="AL26" s="1561"/>
      <c r="AM26" s="1561"/>
      <c r="AN26" s="1561"/>
      <c r="AO26" s="1561"/>
      <c r="AP26" s="1561"/>
      <c r="AQ26" s="1561"/>
      <c r="AR26" s="1561"/>
      <c r="AS26" s="1561"/>
      <c r="AT26" s="1561"/>
      <c r="AU26" s="1561"/>
      <c r="AV26" s="1561"/>
      <c r="AW26" s="1561"/>
      <c r="AX26" s="1561"/>
      <c r="AY26" s="1561"/>
      <c r="AZ26" s="1561"/>
      <c r="BA26" s="1561"/>
      <c r="BB26" s="1561"/>
      <c r="BC26" s="1561"/>
      <c r="BD26" s="1561"/>
      <c r="BE26" s="1561"/>
      <c r="BF26" s="1561"/>
      <c r="BG26" s="1561"/>
      <c r="BH26" s="1561"/>
      <c r="BI26" s="1561"/>
      <c r="BJ26" s="1561"/>
      <c r="BK26" s="1561"/>
      <c r="BL26" s="1561"/>
      <c r="BM26" s="1561"/>
      <c r="BN26" s="1561"/>
      <c r="BO26" s="1561"/>
      <c r="BP26" s="1561"/>
      <c r="BQ26" s="1561"/>
      <c r="BR26" s="1561"/>
      <c r="BS26" s="1561"/>
      <c r="BT26" s="1561"/>
      <c r="BU26" s="1561"/>
      <c r="BV26" s="1561"/>
      <c r="BW26" s="1561"/>
      <c r="BX26" s="1561"/>
      <c r="BY26" s="1561"/>
      <c r="BZ26" s="1561"/>
      <c r="CA26" s="1561"/>
      <c r="CB26" s="1561"/>
      <c r="CC26" s="1561"/>
      <c r="CD26" s="1561"/>
      <c r="CE26" s="1561"/>
      <c r="CF26" s="1561"/>
      <c r="CG26" s="1561"/>
      <c r="CH26" s="1561"/>
      <c r="CI26" s="1561"/>
      <c r="CJ26" s="1561"/>
      <c r="CK26" s="1561"/>
      <c r="CL26" s="1561"/>
      <c r="CM26" s="1561"/>
      <c r="CN26" s="1561"/>
      <c r="CO26" s="1561"/>
      <c r="CP26" s="1561"/>
      <c r="CQ26" s="1561"/>
      <c r="CR26" s="1561"/>
      <c r="CS26" s="1561"/>
      <c r="CT26" s="1561"/>
      <c r="CU26" s="1561"/>
      <c r="CV26" s="1561"/>
      <c r="CW26" s="1561"/>
      <c r="CX26" s="1561"/>
      <c r="CY26" s="1561"/>
      <c r="CZ26" s="1561"/>
      <c r="DA26" s="1561"/>
      <c r="DB26" s="1561"/>
      <c r="DC26" s="1561"/>
      <c r="DD26" s="1561"/>
      <c r="DE26" s="1561"/>
      <c r="DF26" s="1561"/>
      <c r="DG26" s="1561"/>
      <c r="DH26" s="1561"/>
      <c r="DI26" s="1561"/>
      <c r="DJ26" s="1561"/>
      <c r="DK26" s="1561"/>
      <c r="DL26" s="1561"/>
      <c r="DM26" s="1561"/>
      <c r="DN26" s="1561"/>
      <c r="DO26" s="1561"/>
      <c r="DP26" s="1561"/>
      <c r="DQ26" s="1561"/>
      <c r="DR26" s="1561"/>
      <c r="DS26" s="1561"/>
      <c r="DT26" s="1561"/>
      <c r="DU26" s="1561"/>
      <c r="DV26" s="1561"/>
      <c r="DW26" s="1561"/>
      <c r="DX26" s="1561"/>
      <c r="DY26" s="1561"/>
      <c r="DZ26" s="1561"/>
      <c r="EA26" s="1561"/>
      <c r="EB26" s="1561"/>
      <c r="EC26" s="1561"/>
      <c r="ED26" s="1561"/>
      <c r="EE26" s="1561"/>
      <c r="EF26" s="1561"/>
      <c r="EG26" s="1561"/>
      <c r="EH26" s="1561"/>
      <c r="EI26" s="1561"/>
      <c r="EJ26" s="1561"/>
      <c r="EK26" s="1561"/>
      <c r="EL26" s="1561"/>
      <c r="EM26" s="1561"/>
      <c r="EN26" s="1561"/>
      <c r="EO26" s="1561"/>
      <c r="EP26" s="1561"/>
      <c r="EQ26" s="1561"/>
      <c r="ER26" s="1561"/>
      <c r="ES26" s="1561"/>
      <c r="ET26" s="1561"/>
      <c r="EU26" s="1561"/>
      <c r="EV26" s="1561"/>
      <c r="EW26" s="1561"/>
      <c r="EX26" s="1561"/>
      <c r="EY26" s="1561"/>
      <c r="EZ26" s="1561"/>
      <c r="FA26" s="1561"/>
      <c r="FB26" s="1561"/>
      <c r="FC26" s="1561"/>
      <c r="FD26" s="1561"/>
      <c r="FE26" s="1561"/>
      <c r="FF26" s="1561"/>
      <c r="FG26" s="1561"/>
      <c r="FH26" s="1561"/>
      <c r="FI26" s="1561"/>
      <c r="FJ26" s="1561"/>
      <c r="FK26" s="1561"/>
      <c r="FL26" s="1561"/>
      <c r="FM26" s="1561"/>
      <c r="FN26" s="1561"/>
      <c r="FO26" s="1561"/>
      <c r="FP26" s="1561"/>
      <c r="FQ26" s="1561"/>
      <c r="FR26" s="1561"/>
      <c r="FS26" s="1561"/>
      <c r="FT26" s="1561"/>
      <c r="FU26" s="1561"/>
      <c r="FV26" s="1561"/>
      <c r="FW26" s="1561"/>
      <c r="FX26" s="1561"/>
      <c r="FY26" s="1561"/>
      <c r="FZ26" s="1561"/>
      <c r="GA26" s="1561"/>
      <c r="GB26" s="1561"/>
      <c r="GC26" s="1561"/>
      <c r="GD26" s="1561"/>
      <c r="GE26" s="1561"/>
      <c r="GF26" s="1561"/>
      <c r="GG26" s="1561"/>
      <c r="GH26" s="1561"/>
      <c r="GI26" s="1561"/>
      <c r="GJ26" s="1561"/>
      <c r="GK26" s="1561"/>
      <c r="GL26" s="1561"/>
    </row>
    <row r="27" spans="1:194" s="303" customFormat="1" ht="17.25" customHeight="1" x14ac:dyDescent="0.3">
      <c r="A27" s="1650"/>
      <c r="B27" s="1557"/>
      <c r="C27" s="1557"/>
      <c r="D27" s="1557"/>
      <c r="E27" s="1557"/>
      <c r="F27" s="2108"/>
      <c r="G27" s="1666"/>
      <c r="H27" s="1561"/>
      <c r="I27" s="1561"/>
      <c r="J27" s="1561"/>
      <c r="K27" s="1561"/>
      <c r="L27" s="1561"/>
      <c r="M27" s="1561"/>
      <c r="N27" s="1561"/>
      <c r="O27" s="1561"/>
      <c r="P27" s="1561"/>
      <c r="Q27" s="1561"/>
      <c r="R27" s="1561"/>
      <c r="S27" s="1561"/>
      <c r="T27" s="1561"/>
      <c r="U27" s="1561"/>
      <c r="V27" s="1561"/>
      <c r="W27" s="1561"/>
      <c r="X27" s="1561"/>
      <c r="Y27" s="1561"/>
      <c r="Z27" s="1561"/>
      <c r="AA27" s="1561"/>
      <c r="AB27" s="1561"/>
      <c r="AC27" s="1561"/>
      <c r="AD27" s="1561"/>
      <c r="AE27" s="1561"/>
      <c r="AF27" s="1561"/>
      <c r="AG27" s="1561"/>
      <c r="AH27" s="1561"/>
      <c r="AI27" s="1561"/>
      <c r="AJ27" s="1561"/>
      <c r="AK27" s="1561"/>
      <c r="AL27" s="1561"/>
      <c r="AM27" s="1561"/>
      <c r="AN27" s="1561"/>
      <c r="AO27" s="1561"/>
      <c r="AP27" s="1561"/>
      <c r="AQ27" s="1561"/>
      <c r="AR27" s="1561"/>
      <c r="AS27" s="1561"/>
      <c r="AT27" s="1561"/>
      <c r="AU27" s="1561"/>
      <c r="AV27" s="1561"/>
      <c r="AW27" s="1561"/>
      <c r="AX27" s="1561"/>
      <c r="AY27" s="1561"/>
      <c r="AZ27" s="1561"/>
      <c r="BA27" s="1561"/>
      <c r="BB27" s="1561"/>
      <c r="BC27" s="1561"/>
      <c r="BD27" s="1561"/>
      <c r="BE27" s="1561"/>
      <c r="BF27" s="1561"/>
      <c r="BG27" s="1561"/>
      <c r="BH27" s="1561"/>
      <c r="BI27" s="1561"/>
      <c r="BJ27" s="1561"/>
      <c r="BK27" s="1561"/>
      <c r="BL27" s="1561"/>
      <c r="BM27" s="1561"/>
      <c r="BN27" s="1561"/>
      <c r="BO27" s="1561"/>
      <c r="BP27" s="1561"/>
      <c r="BQ27" s="1561"/>
      <c r="BR27" s="1561"/>
      <c r="BS27" s="1561"/>
      <c r="BT27" s="1561"/>
      <c r="BU27" s="1561"/>
      <c r="BV27" s="1561"/>
      <c r="BW27" s="1561"/>
      <c r="BX27" s="1561"/>
      <c r="BY27" s="1561"/>
      <c r="BZ27" s="1561"/>
      <c r="CA27" s="1561"/>
      <c r="CB27" s="1561"/>
      <c r="CC27" s="1561"/>
      <c r="CD27" s="1561"/>
      <c r="CE27" s="1561"/>
      <c r="CF27" s="1561"/>
      <c r="CG27" s="1561"/>
      <c r="CH27" s="1561"/>
      <c r="CI27" s="1561"/>
      <c r="CJ27" s="1561"/>
      <c r="CK27" s="1561"/>
      <c r="CL27" s="1561"/>
      <c r="CM27" s="1561"/>
      <c r="CN27" s="1561"/>
      <c r="CO27" s="1561"/>
      <c r="CP27" s="1561"/>
      <c r="CQ27" s="1561"/>
      <c r="CR27" s="1561"/>
      <c r="CS27" s="1561"/>
      <c r="CT27" s="1561"/>
      <c r="CU27" s="1561"/>
      <c r="CV27" s="1561"/>
      <c r="CW27" s="1561"/>
      <c r="CX27" s="1561"/>
      <c r="CY27" s="1561"/>
      <c r="CZ27" s="1561"/>
      <c r="DA27" s="1561"/>
      <c r="DB27" s="1561"/>
      <c r="DC27" s="1561"/>
      <c r="DD27" s="1561"/>
      <c r="DE27" s="1561"/>
      <c r="DF27" s="1561"/>
      <c r="DG27" s="1561"/>
      <c r="DH27" s="1561"/>
      <c r="DI27" s="1561"/>
      <c r="DJ27" s="1561"/>
      <c r="DK27" s="1561"/>
      <c r="DL27" s="1561"/>
      <c r="DM27" s="1561"/>
      <c r="DN27" s="1561"/>
      <c r="DO27" s="1561"/>
      <c r="DP27" s="1561"/>
      <c r="DQ27" s="1561"/>
      <c r="DR27" s="1561"/>
      <c r="DS27" s="1561"/>
      <c r="DT27" s="1561"/>
      <c r="DU27" s="1561"/>
      <c r="DV27" s="1561"/>
      <c r="DW27" s="1561"/>
      <c r="DX27" s="1561"/>
      <c r="DY27" s="1561"/>
      <c r="DZ27" s="1561"/>
      <c r="EA27" s="1561"/>
      <c r="EB27" s="1561"/>
      <c r="EC27" s="1561"/>
      <c r="ED27" s="1561"/>
      <c r="EE27" s="1561"/>
      <c r="EF27" s="1561"/>
      <c r="EG27" s="1561"/>
      <c r="EH27" s="1561"/>
      <c r="EI27" s="1561"/>
      <c r="EJ27" s="1561"/>
      <c r="EK27" s="1561"/>
      <c r="EL27" s="1561"/>
      <c r="EM27" s="1561"/>
      <c r="EN27" s="1561"/>
      <c r="EO27" s="1561"/>
      <c r="EP27" s="1561"/>
      <c r="EQ27" s="1561"/>
      <c r="ER27" s="1561"/>
      <c r="ES27" s="1561"/>
      <c r="ET27" s="1561"/>
      <c r="EU27" s="1561"/>
      <c r="EV27" s="1561"/>
      <c r="EW27" s="1561"/>
      <c r="EX27" s="1561"/>
      <c r="EY27" s="1561"/>
      <c r="EZ27" s="1561"/>
      <c r="FA27" s="1561"/>
      <c r="FB27" s="1561"/>
      <c r="FC27" s="1561"/>
      <c r="FD27" s="1561"/>
      <c r="FE27" s="1561"/>
      <c r="FF27" s="1561"/>
      <c r="FG27" s="1561"/>
      <c r="FH27" s="1561"/>
      <c r="FI27" s="1561"/>
      <c r="FJ27" s="1561"/>
      <c r="FK27" s="1561"/>
      <c r="FL27" s="1561"/>
      <c r="FM27" s="1561"/>
      <c r="FN27" s="1561"/>
      <c r="FO27" s="1561"/>
      <c r="FP27" s="1561"/>
      <c r="FQ27" s="1561"/>
      <c r="FR27" s="1561"/>
      <c r="FS27" s="1561"/>
      <c r="FT27" s="1561"/>
      <c r="FU27" s="1561"/>
      <c r="FV27" s="1561"/>
      <c r="FW27" s="1561"/>
      <c r="FX27" s="1561"/>
      <c r="FY27" s="1561"/>
      <c r="FZ27" s="1561"/>
      <c r="GA27" s="1561"/>
      <c r="GB27" s="1561"/>
      <c r="GC27" s="1561"/>
      <c r="GD27" s="1561"/>
      <c r="GE27" s="1561"/>
      <c r="GF27" s="1561"/>
      <c r="GG27" s="1561"/>
      <c r="GH27" s="1561"/>
      <c r="GI27" s="1561"/>
      <c r="GJ27" s="1561"/>
      <c r="GK27" s="1561"/>
      <c r="GL27" s="1561"/>
    </row>
    <row r="28" spans="1:194" ht="17.25" customHeight="1" x14ac:dyDescent="0.3">
      <c r="A28" s="1636" t="str">
        <f>IF(isoc=0,"Impuestos:  I.R.P.F.","Impuesto de Sociedades")</f>
        <v>Impuestos:  I.R.P.F.</v>
      </c>
      <c r="B28" s="1637">
        <f>'PyG anuales'!B28-'PyG Reales'!B28</f>
        <v>0</v>
      </c>
      <c r="C28" s="1637">
        <f>'PyG anuales'!D28-'PyG Reales'!D28</f>
        <v>0</v>
      </c>
      <c r="D28" s="1637">
        <f>'PyG anuales'!G28-'PyG Reales'!G28</f>
        <v>0</v>
      </c>
      <c r="E28" s="1637">
        <f>'PyG anuales'!J28-'PyG Reales'!J28</f>
        <v>0</v>
      </c>
      <c r="F28" s="2123">
        <f>'PyG anuales'!M28-'PyG Reales'!M28</f>
        <v>0</v>
      </c>
      <c r="G28" s="1666"/>
    </row>
    <row r="29" spans="1:194" ht="18" thickBot="1" x14ac:dyDescent="0.35">
      <c r="A29" s="1650"/>
      <c r="B29" s="1557"/>
      <c r="C29" s="1557"/>
      <c r="D29" s="1557"/>
      <c r="E29" s="1557"/>
      <c r="F29" s="2108"/>
      <c r="G29" s="1667"/>
    </row>
    <row r="30" spans="1:194" ht="18" thickBot="1" x14ac:dyDescent="0.35">
      <c r="A30" s="2116" t="s">
        <v>237</v>
      </c>
      <c r="B30" s="2117">
        <f>B26-B28</f>
        <v>-16362.959468393694</v>
      </c>
      <c r="C30" s="2117">
        <f>C26-C28</f>
        <v>-18163.530495823823</v>
      </c>
      <c r="D30" s="2117">
        <f>D26-D28</f>
        <v>-21557.95289670378</v>
      </c>
      <c r="E30" s="2117">
        <f>E26-E28</f>
        <v>-23771.021635676007</v>
      </c>
      <c r="F30" s="2125">
        <f>F26-F28</f>
        <v>-26170.258995967932</v>
      </c>
      <c r="G30" s="1668"/>
    </row>
    <row r="31" spans="1:194" s="1559" customFormat="1" x14ac:dyDescent="0.3">
      <c r="C31" s="1556"/>
    </row>
    <row r="32" spans="1:194" s="1559" customFormat="1" x14ac:dyDescent="0.3">
      <c r="C32" s="1556"/>
    </row>
    <row r="33" spans="1:3" s="1559" customFormat="1" x14ac:dyDescent="0.3">
      <c r="A33" s="1658" t="str">
        <f>Imp.Sociedades!A34</f>
        <v>Todas las cantidades están expresadas en Euros</v>
      </c>
      <c r="C33" s="1556"/>
    </row>
    <row r="34" spans="1:3" s="1559" customFormat="1" x14ac:dyDescent="0.3">
      <c r="A34" s="1658" t="str">
        <f>IF(mes0=1,"",CONCATENATE("* Sólo ",12-mes0+1," meses de actividad en año 0: ",B6," (de ",'Datos Básicos'!G19," a diciembre de "&amp;'Datos Básicos'!B17&amp;")"))</f>
        <v/>
      </c>
      <c r="C34" s="1556"/>
    </row>
    <row r="35" spans="1:3" s="1559" customFormat="1" x14ac:dyDescent="0.3">
      <c r="A35" s="1658" t="str">
        <f>IF(irpf&lt;&gt;0,CONCATENATE("Forma jurídica: ",'Datos Básicos'!B22,"  No sujeto a Imp. de Sociedades sino a I.R.P.F."),"")</f>
        <v>Forma jurídica: Empr. Individual (Reg. General)  No sujeto a Imp. de Sociedades sino a I.R.P.F.</v>
      </c>
      <c r="C35" s="1556"/>
    </row>
    <row r="36" spans="1:3" s="1559" customFormat="1" x14ac:dyDescent="0.3">
      <c r="A36" s="1658" t="str">
        <f>IF(irpf&lt;&gt;0,"Las cuentas de resultados reflejan el resultado contable, NO el computable para el IRPF","")</f>
        <v>Las cuentas de resultados reflejan el resultado contable, NO el computable para el IRPF</v>
      </c>
      <c r="C36" s="1556"/>
    </row>
    <row r="37" spans="1:3" s="1559" customFormat="1" x14ac:dyDescent="0.3">
      <c r="C37" s="1556"/>
    </row>
    <row r="38" spans="1:3" s="1559" customFormat="1" x14ac:dyDescent="0.3">
      <c r="C38" s="1556"/>
    </row>
    <row r="39" spans="1:3" s="1559" customFormat="1" x14ac:dyDescent="0.3">
      <c r="C39" s="1556"/>
    </row>
    <row r="40" spans="1:3" s="1559" customFormat="1" x14ac:dyDescent="0.3">
      <c r="C40" s="1556"/>
    </row>
    <row r="41" spans="1:3" s="1559" customFormat="1" x14ac:dyDescent="0.3"/>
    <row r="42" spans="1:3" s="1559" customFormat="1" x14ac:dyDescent="0.3"/>
    <row r="43" spans="1:3" s="1559" customFormat="1" x14ac:dyDescent="0.3"/>
    <row r="44" spans="1:3" s="1559" customFormat="1" x14ac:dyDescent="0.3"/>
    <row r="45" spans="1:3" s="1559" customFormat="1" x14ac:dyDescent="0.3"/>
    <row r="46" spans="1:3" s="1559" customFormat="1" x14ac:dyDescent="0.3"/>
    <row r="47" spans="1:3" s="1559" customFormat="1" x14ac:dyDescent="0.3"/>
    <row r="48" spans="1:3" s="1559" customFormat="1" x14ac:dyDescent="0.3"/>
    <row r="49" s="1559" customFormat="1" x14ac:dyDescent="0.3"/>
    <row r="50" s="1559" customFormat="1" x14ac:dyDescent="0.3"/>
    <row r="51" s="1559" customFormat="1" x14ac:dyDescent="0.3"/>
    <row r="52" s="1559" customFormat="1" x14ac:dyDescent="0.3"/>
    <row r="53" s="1559" customFormat="1" x14ac:dyDescent="0.3"/>
    <row r="54" s="1559" customFormat="1" x14ac:dyDescent="0.3"/>
    <row r="55" s="1559" customFormat="1" x14ac:dyDescent="0.3"/>
    <row r="56" s="1559" customFormat="1" x14ac:dyDescent="0.3"/>
    <row r="57" s="1559" customFormat="1" x14ac:dyDescent="0.3"/>
    <row r="58" s="1559" customFormat="1" x14ac:dyDescent="0.3"/>
    <row r="59" s="1559" customFormat="1" x14ac:dyDescent="0.3"/>
    <row r="60" s="1559" customFormat="1" x14ac:dyDescent="0.3"/>
    <row r="61" s="1559" customFormat="1" x14ac:dyDescent="0.3"/>
    <row r="62" s="1559" customFormat="1" x14ac:dyDescent="0.3"/>
    <row r="63" s="1559" customFormat="1" x14ac:dyDescent="0.3"/>
    <row r="64" s="1559" customFormat="1" x14ac:dyDescent="0.3"/>
    <row r="65" s="1559" customFormat="1" x14ac:dyDescent="0.3"/>
    <row r="66" s="1559" customFormat="1" x14ac:dyDescent="0.3"/>
    <row r="67" s="1559" customFormat="1" x14ac:dyDescent="0.3"/>
    <row r="68" s="1559" customFormat="1" x14ac:dyDescent="0.3"/>
    <row r="69" s="1559" customFormat="1" x14ac:dyDescent="0.3"/>
    <row r="70" s="1559" customFormat="1" x14ac:dyDescent="0.3"/>
    <row r="71" s="1559" customFormat="1" x14ac:dyDescent="0.3"/>
    <row r="72" s="1559" customFormat="1" x14ac:dyDescent="0.3"/>
    <row r="73" s="1559" customFormat="1" x14ac:dyDescent="0.3"/>
    <row r="74" s="1559" customFormat="1" x14ac:dyDescent="0.3"/>
    <row r="75" s="1559" customFormat="1" x14ac:dyDescent="0.3"/>
    <row r="76" s="1559" customFormat="1" x14ac:dyDescent="0.3"/>
    <row r="77" s="1559" customFormat="1" x14ac:dyDescent="0.3"/>
    <row r="78" s="1559" customFormat="1" x14ac:dyDescent="0.3"/>
    <row r="79" s="1559" customFormat="1" x14ac:dyDescent="0.3"/>
    <row r="80" s="1559" customFormat="1" x14ac:dyDescent="0.3"/>
    <row r="81" s="1559" customFormat="1" x14ac:dyDescent="0.3"/>
    <row r="82" s="1559" customFormat="1" x14ac:dyDescent="0.3"/>
    <row r="83" s="1559" customFormat="1" x14ac:dyDescent="0.3"/>
    <row r="84" s="1559" customFormat="1" x14ac:dyDescent="0.3"/>
    <row r="85" s="1559" customFormat="1" x14ac:dyDescent="0.3"/>
    <row r="86" s="1559" customFormat="1" x14ac:dyDescent="0.3"/>
    <row r="87" s="1559" customFormat="1" x14ac:dyDescent="0.3"/>
    <row r="88" s="1559" customFormat="1" x14ac:dyDescent="0.3"/>
    <row r="89" s="1559" customFormat="1" x14ac:dyDescent="0.3"/>
    <row r="90" s="1559" customFormat="1" x14ac:dyDescent="0.3"/>
    <row r="91" s="1559" customFormat="1" x14ac:dyDescent="0.3"/>
    <row r="92" s="1559" customFormat="1" x14ac:dyDescent="0.3"/>
    <row r="93" s="1559" customFormat="1" x14ac:dyDescent="0.3"/>
    <row r="94" s="1559" customFormat="1" x14ac:dyDescent="0.3"/>
    <row r="95" s="1559" customFormat="1" x14ac:dyDescent="0.3"/>
    <row r="96" s="1559" customFormat="1" x14ac:dyDescent="0.3"/>
    <row r="97" s="1559" customFormat="1" x14ac:dyDescent="0.3"/>
    <row r="98" s="1559" customFormat="1" x14ac:dyDescent="0.3"/>
    <row r="99" s="1559" customFormat="1" x14ac:dyDescent="0.3"/>
    <row r="100" s="1559" customFormat="1" x14ac:dyDescent="0.3"/>
    <row r="101" s="1559" customFormat="1" x14ac:dyDescent="0.3"/>
    <row r="102" s="1559" customFormat="1" x14ac:dyDescent="0.3"/>
    <row r="103" s="1559" customFormat="1" x14ac:dyDescent="0.3"/>
    <row r="104" s="1559" customFormat="1" x14ac:dyDescent="0.3"/>
    <row r="105" s="1559" customFormat="1" x14ac:dyDescent="0.3"/>
    <row r="106" s="1559" customFormat="1" x14ac:dyDescent="0.3"/>
    <row r="107" s="1559" customFormat="1" x14ac:dyDescent="0.3"/>
    <row r="108" s="1559" customFormat="1" x14ac:dyDescent="0.3"/>
    <row r="109" s="1559" customFormat="1" x14ac:dyDescent="0.3"/>
    <row r="110" s="1559" customFormat="1" x14ac:dyDescent="0.3"/>
    <row r="111" s="1559" customFormat="1" x14ac:dyDescent="0.3"/>
    <row r="112" s="1559" customFormat="1" x14ac:dyDescent="0.3"/>
    <row r="113" s="1559" customFormat="1" x14ac:dyDescent="0.3"/>
    <row r="114" s="1559" customFormat="1" x14ac:dyDescent="0.3"/>
    <row r="115" s="1559" customFormat="1" x14ac:dyDescent="0.3"/>
    <row r="116" s="1559" customFormat="1" x14ac:dyDescent="0.3"/>
    <row r="117" s="1559" customFormat="1" x14ac:dyDescent="0.3"/>
    <row r="118" s="1559" customFormat="1" x14ac:dyDescent="0.3"/>
    <row r="119" s="1559" customFormat="1" x14ac:dyDescent="0.3"/>
    <row r="120" s="1559" customFormat="1" x14ac:dyDescent="0.3"/>
    <row r="121" s="1559" customFormat="1" x14ac:dyDescent="0.3"/>
    <row r="122" s="1559" customFormat="1" x14ac:dyDescent="0.3"/>
    <row r="123" s="1559" customFormat="1" x14ac:dyDescent="0.3"/>
    <row r="124" s="1559" customFormat="1" x14ac:dyDescent="0.3"/>
    <row r="125" s="1559" customFormat="1" x14ac:dyDescent="0.3"/>
    <row r="126" s="1559" customFormat="1" x14ac:dyDescent="0.3"/>
    <row r="127" s="1559" customFormat="1" x14ac:dyDescent="0.3"/>
    <row r="128" s="1559" customFormat="1" x14ac:dyDescent="0.3"/>
    <row r="129" s="1559" customFormat="1" x14ac:dyDescent="0.3"/>
    <row r="130" s="1559" customFormat="1" x14ac:dyDescent="0.3"/>
    <row r="131" s="1559" customFormat="1" x14ac:dyDescent="0.3"/>
    <row r="132" s="1559" customFormat="1" x14ac:dyDescent="0.3"/>
    <row r="133" s="1559" customFormat="1" x14ac:dyDescent="0.3"/>
    <row r="134" s="1559" customFormat="1" x14ac:dyDescent="0.3"/>
    <row r="135" s="1559" customFormat="1" x14ac:dyDescent="0.3"/>
    <row r="136" s="1559" customFormat="1" x14ac:dyDescent="0.3"/>
    <row r="137" s="1559" customFormat="1" x14ac:dyDescent="0.3"/>
    <row r="138" s="1559" customFormat="1" x14ac:dyDescent="0.3"/>
    <row r="139" s="1559" customFormat="1" x14ac:dyDescent="0.3"/>
    <row r="140" s="1559" customFormat="1" x14ac:dyDescent="0.3"/>
    <row r="141" s="1559" customFormat="1" x14ac:dyDescent="0.3"/>
    <row r="142" s="1559" customFormat="1" x14ac:dyDescent="0.3"/>
    <row r="143" s="1559" customFormat="1" x14ac:dyDescent="0.3"/>
    <row r="144" s="1559" customFormat="1" x14ac:dyDescent="0.3"/>
    <row r="145" s="1559" customFormat="1" x14ac:dyDescent="0.3"/>
    <row r="146" s="1559" customFormat="1" x14ac:dyDescent="0.3"/>
    <row r="147" s="1559" customFormat="1" x14ac:dyDescent="0.3"/>
    <row r="148" s="1559" customFormat="1" x14ac:dyDescent="0.3"/>
    <row r="149" s="1559" customFormat="1" x14ac:dyDescent="0.3"/>
    <row r="150" s="1559" customFormat="1" x14ac:dyDescent="0.3"/>
    <row r="151" s="1559" customFormat="1" x14ac:dyDescent="0.3"/>
    <row r="152" s="1559" customFormat="1" x14ac:dyDescent="0.3"/>
    <row r="153" s="1559" customFormat="1" x14ac:dyDescent="0.3"/>
    <row r="154" s="1559" customFormat="1" x14ac:dyDescent="0.3"/>
    <row r="155" s="1559" customFormat="1" x14ac:dyDescent="0.3"/>
    <row r="156" s="1559" customFormat="1" x14ac:dyDescent="0.3"/>
    <row r="157" s="1559" customFormat="1" x14ac:dyDescent="0.3"/>
    <row r="158" s="1559" customFormat="1" x14ac:dyDescent="0.3"/>
    <row r="159" s="1559" customFormat="1" x14ac:dyDescent="0.3"/>
    <row r="160" s="1559" customFormat="1" x14ac:dyDescent="0.3"/>
    <row r="161" s="1559" customFormat="1" x14ac:dyDescent="0.3"/>
    <row r="162" s="1559" customFormat="1" x14ac:dyDescent="0.3"/>
    <row r="163" s="1559" customFormat="1" x14ac:dyDescent="0.3"/>
    <row r="164" s="1559" customFormat="1" x14ac:dyDescent="0.3"/>
    <row r="165" s="1559" customFormat="1" x14ac:dyDescent="0.3"/>
    <row r="166" s="1559" customFormat="1" x14ac:dyDescent="0.3"/>
    <row r="167" s="1559" customFormat="1" x14ac:dyDescent="0.3"/>
    <row r="168" s="1559" customFormat="1" x14ac:dyDescent="0.3"/>
    <row r="169" s="1559" customFormat="1" x14ac:dyDescent="0.3"/>
    <row r="170" s="1559" customFormat="1" x14ac:dyDescent="0.3"/>
    <row r="171" s="1559" customFormat="1" x14ac:dyDescent="0.3"/>
    <row r="172" s="1559" customFormat="1" x14ac:dyDescent="0.3"/>
    <row r="173" s="1559" customFormat="1" x14ac:dyDescent="0.3"/>
    <row r="174" s="1559" customFormat="1" x14ac:dyDescent="0.3"/>
    <row r="175" s="1559" customFormat="1" x14ac:dyDescent="0.3"/>
    <row r="176" s="1559" customFormat="1" x14ac:dyDescent="0.3"/>
    <row r="177" s="1559" customFormat="1" x14ac:dyDescent="0.3"/>
    <row r="178" s="1559" customFormat="1" x14ac:dyDescent="0.3"/>
    <row r="179" s="1559" customFormat="1" x14ac:dyDescent="0.3"/>
    <row r="180" s="1559" customFormat="1" x14ac:dyDescent="0.3"/>
    <row r="181" s="1559" customFormat="1" x14ac:dyDescent="0.3"/>
    <row r="182" s="1559" customFormat="1" x14ac:dyDescent="0.3"/>
    <row r="183" s="1559" customFormat="1" x14ac:dyDescent="0.3"/>
    <row r="184" s="1559" customFormat="1" x14ac:dyDescent="0.3"/>
    <row r="185" s="1559" customFormat="1" x14ac:dyDescent="0.3"/>
    <row r="186" s="1559" customFormat="1" x14ac:dyDescent="0.3"/>
    <row r="187" s="1559" customFormat="1" x14ac:dyDescent="0.3"/>
    <row r="188" s="1559" customFormat="1" x14ac:dyDescent="0.3"/>
    <row r="189" s="1559" customFormat="1" x14ac:dyDescent="0.3"/>
    <row r="190" s="1559" customFormat="1" x14ac:dyDescent="0.3"/>
    <row r="191" s="1559" customFormat="1" x14ac:dyDescent="0.3"/>
    <row r="192" s="1559" customFormat="1" x14ac:dyDescent="0.3"/>
    <row r="193" s="1559" customFormat="1" x14ac:dyDescent="0.3"/>
    <row r="194" s="1559" customFormat="1" x14ac:dyDescent="0.3"/>
    <row r="195" s="1559" customFormat="1" x14ac:dyDescent="0.3"/>
    <row r="196" s="1559" customFormat="1" x14ac:dyDescent="0.3"/>
    <row r="197" s="1559" customFormat="1" x14ac:dyDescent="0.3"/>
    <row r="198" s="1559" customFormat="1" x14ac:dyDescent="0.3"/>
    <row r="199" s="1559" customFormat="1" x14ac:dyDescent="0.3"/>
    <row r="200" s="1559" customFormat="1" x14ac:dyDescent="0.3"/>
    <row r="201" s="1559" customFormat="1" x14ac:dyDescent="0.3"/>
    <row r="202" s="1559" customFormat="1" x14ac:dyDescent="0.3"/>
    <row r="203" s="1559" customFormat="1" x14ac:dyDescent="0.3"/>
    <row r="204" s="1559" customFormat="1" x14ac:dyDescent="0.3"/>
    <row r="205" s="1559" customFormat="1" x14ac:dyDescent="0.3"/>
    <row r="206" s="1559" customFormat="1" x14ac:dyDescent="0.3"/>
    <row r="207" s="1559" customFormat="1" x14ac:dyDescent="0.3"/>
    <row r="208" s="1559" customFormat="1" x14ac:dyDescent="0.3"/>
    <row r="209" s="1559" customFormat="1" x14ac:dyDescent="0.3"/>
    <row r="210" s="1559" customFormat="1" x14ac:dyDescent="0.3"/>
    <row r="211" s="1559" customFormat="1" x14ac:dyDescent="0.3"/>
    <row r="212" s="1559" customFormat="1" x14ac:dyDescent="0.3"/>
    <row r="213" s="1559" customFormat="1" x14ac:dyDescent="0.3"/>
    <row r="214" s="1559" customFormat="1" x14ac:dyDescent="0.3"/>
    <row r="215" s="1559" customFormat="1" x14ac:dyDescent="0.3"/>
    <row r="216" s="1559" customFormat="1" x14ac:dyDescent="0.3"/>
    <row r="217" s="1559" customFormat="1" x14ac:dyDescent="0.3"/>
    <row r="218" s="1559" customFormat="1" x14ac:dyDescent="0.3"/>
    <row r="219" s="1559" customFormat="1" x14ac:dyDescent="0.3"/>
    <row r="220" s="1559" customFormat="1" x14ac:dyDescent="0.3"/>
    <row r="221" s="1559" customFormat="1" x14ac:dyDescent="0.3"/>
    <row r="222" s="1559" customFormat="1" x14ac:dyDescent="0.3"/>
    <row r="223" s="1559" customFormat="1" x14ac:dyDescent="0.3"/>
    <row r="224" s="1559" customFormat="1" x14ac:dyDescent="0.3"/>
    <row r="225" s="1559" customFormat="1" x14ac:dyDescent="0.3"/>
    <row r="226" s="1559" customFormat="1" x14ac:dyDescent="0.3"/>
    <row r="227" s="1559" customFormat="1" x14ac:dyDescent="0.3"/>
    <row r="228" s="1559" customFormat="1" x14ac:dyDescent="0.3"/>
    <row r="229" s="1559" customFormat="1" x14ac:dyDescent="0.3"/>
    <row r="230" s="1559" customFormat="1" x14ac:dyDescent="0.3"/>
    <row r="231" s="1559" customFormat="1" x14ac:dyDescent="0.3"/>
    <row r="232" s="1559" customFormat="1" x14ac:dyDescent="0.3"/>
    <row r="233" s="1559" customFormat="1" x14ac:dyDescent="0.3"/>
    <row r="234" s="1559" customFormat="1" x14ac:dyDescent="0.3"/>
    <row r="235" s="1559" customFormat="1" x14ac:dyDescent="0.3"/>
    <row r="236" s="1559" customFormat="1" x14ac:dyDescent="0.3"/>
    <row r="237" s="1559" customFormat="1" x14ac:dyDescent="0.3"/>
    <row r="238" s="1559" customFormat="1" x14ac:dyDescent="0.3"/>
    <row r="239" s="1559" customFormat="1" x14ac:dyDescent="0.3"/>
    <row r="240" s="1559" customFormat="1" x14ac:dyDescent="0.3"/>
    <row r="241" s="1559" customFormat="1" x14ac:dyDescent="0.3"/>
    <row r="242" s="1559" customFormat="1" x14ac:dyDescent="0.3"/>
    <row r="243" s="1559" customFormat="1" x14ac:dyDescent="0.3"/>
    <row r="244" s="1559" customFormat="1" x14ac:dyDescent="0.3"/>
    <row r="245" s="1559" customFormat="1" x14ac:dyDescent="0.3"/>
    <row r="246" s="1559" customFormat="1" x14ac:dyDescent="0.3"/>
    <row r="247" s="1559" customFormat="1" x14ac:dyDescent="0.3"/>
    <row r="248" s="1559" customFormat="1" x14ac:dyDescent="0.3"/>
    <row r="249" s="1559" customFormat="1" x14ac:dyDescent="0.3"/>
    <row r="250" s="1559" customFormat="1" x14ac:dyDescent="0.3"/>
    <row r="251" s="1559" customFormat="1" x14ac:dyDescent="0.3"/>
    <row r="252" s="1559" customFormat="1" x14ac:dyDescent="0.3"/>
    <row r="253" s="1559" customFormat="1" x14ac:dyDescent="0.3"/>
    <row r="254" s="1559" customFormat="1" x14ac:dyDescent="0.3"/>
    <row r="255" s="1559" customFormat="1" x14ac:dyDescent="0.3"/>
    <row r="256" s="1559" customFormat="1" x14ac:dyDescent="0.3"/>
    <row r="257" s="1559" customFormat="1" x14ac:dyDescent="0.3"/>
    <row r="258" s="1559" customFormat="1" x14ac:dyDescent="0.3"/>
    <row r="259" s="1559" customFormat="1" x14ac:dyDescent="0.3"/>
    <row r="260" s="1559" customFormat="1" x14ac:dyDescent="0.3"/>
    <row r="261" s="1559" customFormat="1" x14ac:dyDescent="0.3"/>
    <row r="262" s="1559" customFormat="1" x14ac:dyDescent="0.3"/>
    <row r="263" s="1559" customFormat="1" x14ac:dyDescent="0.3"/>
    <row r="264" s="1559" customFormat="1" x14ac:dyDescent="0.3"/>
    <row r="265" s="1559" customFormat="1" x14ac:dyDescent="0.3"/>
    <row r="266" s="1559" customFormat="1" x14ac:dyDescent="0.3"/>
    <row r="267" s="1559" customFormat="1" x14ac:dyDescent="0.3"/>
    <row r="268" s="1559" customFormat="1" x14ac:dyDescent="0.3"/>
    <row r="269" s="1559" customFormat="1" x14ac:dyDescent="0.3"/>
    <row r="270" s="1559" customFormat="1" x14ac:dyDescent="0.3"/>
    <row r="271" s="1559" customFormat="1" x14ac:dyDescent="0.3"/>
    <row r="272" s="1559" customFormat="1" x14ac:dyDescent="0.3"/>
    <row r="273" s="1559" customFormat="1" x14ac:dyDescent="0.3"/>
    <row r="274" s="1559" customFormat="1" x14ac:dyDescent="0.3"/>
    <row r="275" s="1559" customFormat="1" x14ac:dyDescent="0.3"/>
    <row r="276" s="1559" customFormat="1" x14ac:dyDescent="0.3"/>
    <row r="277" s="1559" customFormat="1" x14ac:dyDescent="0.3"/>
    <row r="278" s="1559" customFormat="1" x14ac:dyDescent="0.3"/>
    <row r="279" s="1559" customFormat="1" x14ac:dyDescent="0.3"/>
    <row r="280" s="1559" customFormat="1" x14ac:dyDescent="0.3"/>
    <row r="281" s="1559" customFormat="1" x14ac:dyDescent="0.3"/>
    <row r="282" s="1559" customFormat="1" x14ac:dyDescent="0.3"/>
    <row r="283" s="1559" customFormat="1" x14ac:dyDescent="0.3"/>
    <row r="284" s="1559" customFormat="1" x14ac:dyDescent="0.3"/>
    <row r="285" s="1559" customFormat="1" x14ac:dyDescent="0.3"/>
    <row r="286" s="1559" customFormat="1" x14ac:dyDescent="0.3"/>
    <row r="287" s="1559" customFormat="1" x14ac:dyDescent="0.3"/>
    <row r="288" s="1559" customFormat="1" x14ac:dyDescent="0.3"/>
    <row r="289" s="1559" customFormat="1" x14ac:dyDescent="0.3"/>
    <row r="290" s="1559" customFormat="1" x14ac:dyDescent="0.3"/>
    <row r="291" s="1559" customFormat="1" x14ac:dyDescent="0.3"/>
    <row r="292" s="1559" customFormat="1" x14ac:dyDescent="0.3"/>
    <row r="293" s="1559" customFormat="1" x14ac:dyDescent="0.3"/>
    <row r="294" s="1559" customFormat="1" x14ac:dyDescent="0.3"/>
    <row r="295" s="1559" customFormat="1" x14ac:dyDescent="0.3"/>
    <row r="296" s="1559" customFormat="1" x14ac:dyDescent="0.3"/>
    <row r="297" s="1559" customFormat="1" x14ac:dyDescent="0.3"/>
    <row r="298" s="1559" customFormat="1" x14ac:dyDescent="0.3"/>
    <row r="299" s="1559" customFormat="1" x14ac:dyDescent="0.3"/>
    <row r="300" s="1559" customFormat="1" x14ac:dyDescent="0.3"/>
    <row r="301" s="1559" customFormat="1" x14ac:dyDescent="0.3"/>
    <row r="302" s="1559" customFormat="1" x14ac:dyDescent="0.3"/>
    <row r="303" s="1559" customFormat="1" x14ac:dyDescent="0.3"/>
    <row r="304" s="1559" customFormat="1" x14ac:dyDescent="0.3"/>
    <row r="305" s="1559" customFormat="1" x14ac:dyDescent="0.3"/>
    <row r="306" s="1559" customFormat="1" x14ac:dyDescent="0.3"/>
    <row r="307" s="1559" customFormat="1" x14ac:dyDescent="0.3"/>
    <row r="308" s="1559" customFormat="1" x14ac:dyDescent="0.3"/>
    <row r="309" s="1559" customFormat="1" x14ac:dyDescent="0.3"/>
    <row r="310" s="1559" customFormat="1" x14ac:dyDescent="0.3"/>
    <row r="311" s="1559" customFormat="1" x14ac:dyDescent="0.3"/>
    <row r="312" s="1559" customFormat="1" x14ac:dyDescent="0.3"/>
    <row r="313" s="1559" customFormat="1" x14ac:dyDescent="0.3"/>
    <row r="314" s="1559" customFormat="1" x14ac:dyDescent="0.3"/>
    <row r="315" s="1559" customFormat="1" x14ac:dyDescent="0.3"/>
    <row r="316" s="1559" customFormat="1" x14ac:dyDescent="0.3"/>
    <row r="317" s="1559" customFormat="1" x14ac:dyDescent="0.3"/>
    <row r="318" s="1559" customFormat="1" x14ac:dyDescent="0.3"/>
    <row r="319" s="1559" customFormat="1" x14ac:dyDescent="0.3"/>
    <row r="320" s="1559" customFormat="1" x14ac:dyDescent="0.3"/>
    <row r="321" s="1559" customFormat="1" x14ac:dyDescent="0.3"/>
    <row r="322" s="1559" customFormat="1" x14ac:dyDescent="0.3"/>
    <row r="323" s="1559" customFormat="1" x14ac:dyDescent="0.3"/>
    <row r="324" s="1559" customFormat="1" x14ac:dyDescent="0.3"/>
    <row r="325" s="1559" customFormat="1" x14ac:dyDescent="0.3"/>
    <row r="326" s="1559" customFormat="1" x14ac:dyDescent="0.3"/>
    <row r="327" s="1559" customFormat="1" x14ac:dyDescent="0.3"/>
    <row r="328" s="1559" customFormat="1" x14ac:dyDescent="0.3"/>
    <row r="329" s="1559" customFormat="1" x14ac:dyDescent="0.3"/>
    <row r="330" s="1559" customFormat="1" x14ac:dyDescent="0.3"/>
    <row r="331" s="1559" customFormat="1" x14ac:dyDescent="0.3"/>
    <row r="332" s="1559" customFormat="1" x14ac:dyDescent="0.3"/>
    <row r="333" s="1559" customFormat="1" x14ac:dyDescent="0.3"/>
    <row r="334" s="1559" customFormat="1" x14ac:dyDescent="0.3"/>
    <row r="335" s="1559" customFormat="1" x14ac:dyDescent="0.3"/>
    <row r="336" s="1559" customFormat="1" x14ac:dyDescent="0.3"/>
    <row r="337" s="1559" customFormat="1" x14ac:dyDescent="0.3"/>
    <row r="338" s="1559" customFormat="1" x14ac:dyDescent="0.3"/>
    <row r="339" s="1559" customFormat="1" x14ac:dyDescent="0.3"/>
    <row r="340" s="1559" customFormat="1" x14ac:dyDescent="0.3"/>
    <row r="341" s="1559" customFormat="1" x14ac:dyDescent="0.3"/>
    <row r="342" s="1559" customFormat="1" x14ac:dyDescent="0.3"/>
    <row r="343" s="1559" customFormat="1" x14ac:dyDescent="0.3"/>
    <row r="344" s="1559" customFormat="1" x14ac:dyDescent="0.3"/>
    <row r="345" s="1559" customFormat="1" x14ac:dyDescent="0.3"/>
    <row r="346" s="1559" customFormat="1" x14ac:dyDescent="0.3"/>
    <row r="347" s="1559" customFormat="1" x14ac:dyDescent="0.3"/>
    <row r="348" s="1559" customFormat="1" x14ac:dyDescent="0.3"/>
    <row r="349" s="1559" customFormat="1" x14ac:dyDescent="0.3"/>
    <row r="350" s="1559" customFormat="1" x14ac:dyDescent="0.3"/>
    <row r="351" s="1559" customFormat="1" x14ac:dyDescent="0.3"/>
    <row r="352" s="1559" customFormat="1" x14ac:dyDescent="0.3"/>
    <row r="353" s="1559" customFormat="1" x14ac:dyDescent="0.3"/>
    <row r="354" s="1559" customFormat="1" x14ac:dyDescent="0.3"/>
    <row r="355" s="1559" customFormat="1" x14ac:dyDescent="0.3"/>
    <row r="356" s="1559" customFormat="1" x14ac:dyDescent="0.3"/>
    <row r="357" s="1559" customFormat="1" x14ac:dyDescent="0.3"/>
    <row r="358" s="1559" customFormat="1" x14ac:dyDescent="0.3"/>
    <row r="359" s="1559" customFormat="1" x14ac:dyDescent="0.3"/>
    <row r="360" s="1559" customFormat="1" x14ac:dyDescent="0.3"/>
    <row r="361" s="1559" customFormat="1" x14ac:dyDescent="0.3"/>
    <row r="362" s="1559" customFormat="1" x14ac:dyDescent="0.3"/>
    <row r="363" s="1559" customFormat="1" x14ac:dyDescent="0.3"/>
    <row r="364" s="1559" customFormat="1" x14ac:dyDescent="0.3"/>
    <row r="365" s="1559" customFormat="1" x14ac:dyDescent="0.3"/>
    <row r="366" s="1559" customFormat="1" x14ac:dyDescent="0.3"/>
    <row r="367" s="1559" customFormat="1" x14ac:dyDescent="0.3"/>
    <row r="368" s="1559" customFormat="1" x14ac:dyDescent="0.3"/>
    <row r="369" s="1559" customFormat="1" x14ac:dyDescent="0.3"/>
    <row r="370" s="1559" customFormat="1" x14ac:dyDescent="0.3"/>
    <row r="371" s="1559" customFormat="1" x14ac:dyDescent="0.3"/>
    <row r="372" s="1559" customFormat="1" x14ac:dyDescent="0.3"/>
    <row r="373" s="1559" customFormat="1" x14ac:dyDescent="0.3"/>
    <row r="374" s="1559" customFormat="1" x14ac:dyDescent="0.3"/>
    <row r="375" s="1559" customFormat="1" x14ac:dyDescent="0.3"/>
    <row r="376" s="1559" customFormat="1" x14ac:dyDescent="0.3"/>
    <row r="377" s="1559" customFormat="1" x14ac:dyDescent="0.3"/>
    <row r="378" s="1559" customFormat="1" x14ac:dyDescent="0.3"/>
    <row r="379" s="1559" customFormat="1" x14ac:dyDescent="0.3"/>
    <row r="380" s="1559" customFormat="1" x14ac:dyDescent="0.3"/>
    <row r="381" s="1559" customFormat="1" x14ac:dyDescent="0.3"/>
    <row r="382" s="1559" customFormat="1" x14ac:dyDescent="0.3"/>
    <row r="383" s="1559" customFormat="1" x14ac:dyDescent="0.3"/>
    <row r="384" s="1559" customFormat="1" x14ac:dyDescent="0.3"/>
    <row r="385" s="1559" customFormat="1" x14ac:dyDescent="0.3"/>
    <row r="386" s="1559" customFormat="1" x14ac:dyDescent="0.3"/>
    <row r="387" s="1559" customFormat="1" x14ac:dyDescent="0.3"/>
    <row r="388" s="1559" customFormat="1" x14ac:dyDescent="0.3"/>
    <row r="389" s="1559" customFormat="1" x14ac:dyDescent="0.3"/>
    <row r="390" s="1559" customFormat="1" x14ac:dyDescent="0.3"/>
    <row r="391" s="1559" customFormat="1" x14ac:dyDescent="0.3"/>
    <row r="392" s="1559" customFormat="1" x14ac:dyDescent="0.3"/>
    <row r="393" s="1559" customFormat="1" x14ac:dyDescent="0.3"/>
    <row r="394" s="1559" customFormat="1" x14ac:dyDescent="0.3"/>
    <row r="395" s="1559" customFormat="1" x14ac:dyDescent="0.3"/>
    <row r="396" s="1559" customFormat="1" x14ac:dyDescent="0.3"/>
    <row r="397" s="1559" customFormat="1" x14ac:dyDescent="0.3"/>
    <row r="398" s="1559" customFormat="1" x14ac:dyDescent="0.3"/>
    <row r="399" s="1559" customFormat="1" x14ac:dyDescent="0.3"/>
    <row r="400" s="1559" customFormat="1" x14ac:dyDescent="0.3"/>
    <row r="401" s="1559" customFormat="1" x14ac:dyDescent="0.3"/>
    <row r="402" s="1559" customFormat="1" x14ac:dyDescent="0.3"/>
    <row r="403" s="1559" customFormat="1" x14ac:dyDescent="0.3"/>
    <row r="404" s="1559" customFormat="1" x14ac:dyDescent="0.3"/>
    <row r="405" s="1559" customFormat="1" x14ac:dyDescent="0.3"/>
    <row r="406" s="1559" customFormat="1" x14ac:dyDescent="0.3"/>
    <row r="407" s="1559" customFormat="1" x14ac:dyDescent="0.3"/>
    <row r="408" s="1559" customFormat="1" x14ac:dyDescent="0.3"/>
    <row r="409" s="1559" customFormat="1" x14ac:dyDescent="0.3"/>
    <row r="410" s="1559" customFormat="1" x14ac:dyDescent="0.3"/>
    <row r="411" s="1559" customFormat="1" x14ac:dyDescent="0.3"/>
    <row r="412" s="1559" customFormat="1" x14ac:dyDescent="0.3"/>
    <row r="413" s="1559" customFormat="1" x14ac:dyDescent="0.3"/>
    <row r="414" s="1559" customFormat="1" x14ac:dyDescent="0.3"/>
    <row r="415" s="1559" customFormat="1" x14ac:dyDescent="0.3"/>
    <row r="416" s="1559" customFormat="1" x14ac:dyDescent="0.3"/>
    <row r="417" s="1559" customFormat="1" x14ac:dyDescent="0.3"/>
    <row r="418" s="1559" customFormat="1" x14ac:dyDescent="0.3"/>
    <row r="419" s="1559" customFormat="1" x14ac:dyDescent="0.3"/>
    <row r="420" s="1559" customFormat="1" x14ac:dyDescent="0.3"/>
    <row r="421" s="1559" customFormat="1" x14ac:dyDescent="0.3"/>
    <row r="422" s="1559" customFormat="1" x14ac:dyDescent="0.3"/>
    <row r="423" s="1559" customFormat="1" x14ac:dyDescent="0.3"/>
    <row r="424" s="1559" customFormat="1" x14ac:dyDescent="0.3"/>
    <row r="425" s="1559" customFormat="1" x14ac:dyDescent="0.3"/>
    <row r="426" s="1559" customFormat="1" x14ac:dyDescent="0.3"/>
    <row r="427" s="1559" customFormat="1" x14ac:dyDescent="0.3"/>
    <row r="428" s="1559" customFormat="1" x14ac:dyDescent="0.3"/>
    <row r="429" s="1559" customFormat="1" x14ac:dyDescent="0.3"/>
    <row r="430" s="1559" customFormat="1" x14ac:dyDescent="0.3"/>
    <row r="431" s="1559" customFormat="1" x14ac:dyDescent="0.3"/>
    <row r="432" s="1559" customFormat="1" x14ac:dyDescent="0.3"/>
    <row r="433" s="1559" customFormat="1" x14ac:dyDescent="0.3"/>
    <row r="434" s="1559" customFormat="1" x14ac:dyDescent="0.3"/>
    <row r="435" s="1559" customFormat="1" x14ac:dyDescent="0.3"/>
    <row r="436" s="1559" customFormat="1" x14ac:dyDescent="0.3"/>
    <row r="437" s="1559" customFormat="1" x14ac:dyDescent="0.3"/>
    <row r="438" s="1559" customFormat="1" x14ac:dyDescent="0.3"/>
    <row r="439" s="1559" customFormat="1" x14ac:dyDescent="0.3"/>
    <row r="440" s="1559" customFormat="1" x14ac:dyDescent="0.3"/>
    <row r="441" s="1559" customFormat="1" x14ac:dyDescent="0.3"/>
    <row r="442" s="1559" customFormat="1" x14ac:dyDescent="0.3"/>
    <row r="443" s="1559" customFormat="1" x14ac:dyDescent="0.3"/>
    <row r="444" s="1559" customFormat="1" x14ac:dyDescent="0.3"/>
    <row r="445" s="1559" customFormat="1" x14ac:dyDescent="0.3"/>
    <row r="446" s="1559" customFormat="1" x14ac:dyDescent="0.3"/>
    <row r="447" s="1559" customFormat="1" x14ac:dyDescent="0.3"/>
    <row r="448" s="1559" customFormat="1" x14ac:dyDescent="0.3"/>
    <row r="449" s="1559" customFormat="1" x14ac:dyDescent="0.3"/>
    <row r="450" s="1559" customFormat="1" x14ac:dyDescent="0.3"/>
    <row r="451" s="1559" customFormat="1" x14ac:dyDescent="0.3"/>
    <row r="452" s="1559" customFormat="1" x14ac:dyDescent="0.3"/>
    <row r="453" s="1559" customFormat="1" x14ac:dyDescent="0.3"/>
    <row r="454" s="1559" customFormat="1" x14ac:dyDescent="0.3"/>
    <row r="455" s="1559" customFormat="1" x14ac:dyDescent="0.3"/>
    <row r="456" s="1559" customFormat="1" x14ac:dyDescent="0.3"/>
    <row r="457" s="1559" customFormat="1" x14ac:dyDescent="0.3"/>
    <row r="458" s="1559" customFormat="1" x14ac:dyDescent="0.3"/>
    <row r="459" s="1559" customFormat="1" x14ac:dyDescent="0.3"/>
    <row r="460" s="1559" customFormat="1" x14ac:dyDescent="0.3"/>
    <row r="461" s="1559" customFormat="1" x14ac:dyDescent="0.3"/>
    <row r="462" s="1559" customFormat="1" x14ac:dyDescent="0.3"/>
    <row r="463" s="1559" customFormat="1" x14ac:dyDescent="0.3"/>
    <row r="464" s="1559" customFormat="1" x14ac:dyDescent="0.3"/>
    <row r="465" s="1559" customFormat="1" x14ac:dyDescent="0.3"/>
    <row r="466" s="1559" customFormat="1" x14ac:dyDescent="0.3"/>
    <row r="467" s="1559" customFormat="1" x14ac:dyDescent="0.3"/>
    <row r="468" s="1559" customFormat="1" x14ac:dyDescent="0.3"/>
    <row r="469" s="1559" customFormat="1" x14ac:dyDescent="0.3"/>
    <row r="470" s="1559" customFormat="1" x14ac:dyDescent="0.3"/>
    <row r="471" s="1559" customFormat="1" x14ac:dyDescent="0.3"/>
    <row r="472" s="1559" customFormat="1" x14ac:dyDescent="0.3"/>
    <row r="473" s="1559" customFormat="1" x14ac:dyDescent="0.3"/>
    <row r="474" s="1559" customFormat="1" x14ac:dyDescent="0.3"/>
    <row r="475" s="1559" customFormat="1" x14ac:dyDescent="0.3"/>
    <row r="476" s="1559" customFormat="1" x14ac:dyDescent="0.3"/>
    <row r="477" s="1559" customFormat="1" x14ac:dyDescent="0.3"/>
    <row r="478" s="1559" customFormat="1" x14ac:dyDescent="0.3"/>
    <row r="479" s="1559" customFormat="1" x14ac:dyDescent="0.3"/>
    <row r="480" s="1559" customFormat="1" x14ac:dyDescent="0.3"/>
    <row r="481" s="1559" customFormat="1" x14ac:dyDescent="0.3"/>
    <row r="482" s="1559" customFormat="1" x14ac:dyDescent="0.3"/>
    <row r="483" s="1559" customFormat="1" x14ac:dyDescent="0.3"/>
    <row r="484" s="1559" customFormat="1" x14ac:dyDescent="0.3"/>
    <row r="485" s="1559" customFormat="1" x14ac:dyDescent="0.3"/>
    <row r="486" s="1559" customFormat="1" x14ac:dyDescent="0.3"/>
    <row r="487" s="1559" customFormat="1" x14ac:dyDescent="0.3"/>
    <row r="488" s="1559" customFormat="1" x14ac:dyDescent="0.3"/>
    <row r="489" s="1559" customFormat="1" x14ac:dyDescent="0.3"/>
    <row r="490" s="1559" customFormat="1" x14ac:dyDescent="0.3"/>
    <row r="491" s="1559" customFormat="1" x14ac:dyDescent="0.3"/>
    <row r="492" s="1559" customFormat="1" x14ac:dyDescent="0.3"/>
    <row r="493" s="1559" customFormat="1" x14ac:dyDescent="0.3"/>
    <row r="494" s="1559" customFormat="1" x14ac:dyDescent="0.3"/>
    <row r="495" s="1559" customFormat="1" x14ac:dyDescent="0.3"/>
    <row r="496" s="1559" customFormat="1" x14ac:dyDescent="0.3"/>
    <row r="497" s="1559" customFormat="1" x14ac:dyDescent="0.3"/>
    <row r="498" s="1559" customFormat="1" x14ac:dyDescent="0.3"/>
    <row r="499" s="1559" customFormat="1" x14ac:dyDescent="0.3"/>
    <row r="500" s="1559" customFormat="1" x14ac:dyDescent="0.3"/>
    <row r="501" s="1559" customFormat="1" x14ac:dyDescent="0.3"/>
    <row r="502" s="1559" customFormat="1" x14ac:dyDescent="0.3"/>
    <row r="503" s="1559" customFormat="1" x14ac:dyDescent="0.3"/>
    <row r="504" s="1559" customFormat="1" x14ac:dyDescent="0.3"/>
    <row r="505" s="1559" customFormat="1" x14ac:dyDescent="0.3"/>
    <row r="506" s="1559" customFormat="1" x14ac:dyDescent="0.3"/>
    <row r="507" s="1559" customFormat="1" x14ac:dyDescent="0.3"/>
    <row r="508" s="1559" customFormat="1" x14ac:dyDescent="0.3"/>
    <row r="509" s="1559" customFormat="1" x14ac:dyDescent="0.3"/>
    <row r="510" s="1559" customFormat="1" x14ac:dyDescent="0.3"/>
    <row r="511" s="1559" customFormat="1" x14ac:dyDescent="0.3"/>
    <row r="512" s="1559" customFormat="1" x14ac:dyDescent="0.3"/>
    <row r="513" s="1559" customFormat="1" x14ac:dyDescent="0.3"/>
    <row r="514" s="1559" customFormat="1" x14ac:dyDescent="0.3"/>
    <row r="515" s="1559" customFormat="1" x14ac:dyDescent="0.3"/>
    <row r="516" s="1559" customFormat="1" x14ac:dyDescent="0.3"/>
    <row r="517" s="1559" customFormat="1" x14ac:dyDescent="0.3"/>
    <row r="518" s="1559" customFormat="1" x14ac:dyDescent="0.3"/>
    <row r="519" s="1559" customFormat="1" x14ac:dyDescent="0.3"/>
    <row r="520" s="1559" customFormat="1" x14ac:dyDescent="0.3"/>
    <row r="521" s="1559" customFormat="1" x14ac:dyDescent="0.3"/>
    <row r="522" s="1559" customFormat="1" x14ac:dyDescent="0.3"/>
    <row r="523" s="1559" customFormat="1" x14ac:dyDescent="0.3"/>
    <row r="524" s="1559" customFormat="1" x14ac:dyDescent="0.3"/>
    <row r="525" s="1559" customFormat="1" x14ac:dyDescent="0.3"/>
    <row r="526" s="1559" customFormat="1" x14ac:dyDescent="0.3"/>
    <row r="527" s="1559" customFormat="1" x14ac:dyDescent="0.3"/>
    <row r="528" s="1559" customFormat="1" x14ac:dyDescent="0.3"/>
    <row r="529" s="1559" customFormat="1" x14ac:dyDescent="0.3"/>
    <row r="530" s="1559" customFormat="1" x14ac:dyDescent="0.3"/>
    <row r="531" s="1559" customFormat="1" x14ac:dyDescent="0.3"/>
    <row r="532" s="1559" customFormat="1" x14ac:dyDescent="0.3"/>
    <row r="533" s="1559" customFormat="1" x14ac:dyDescent="0.3"/>
    <row r="534" s="1559" customFormat="1" x14ac:dyDescent="0.3"/>
    <row r="535" s="1559" customFormat="1" x14ac:dyDescent="0.3"/>
    <row r="536" s="1559" customFormat="1" x14ac:dyDescent="0.3"/>
    <row r="537" s="1559" customFormat="1" x14ac:dyDescent="0.3"/>
    <row r="538" s="1559" customFormat="1" x14ac:dyDescent="0.3"/>
    <row r="539" s="1559" customFormat="1" x14ac:dyDescent="0.3"/>
    <row r="540" s="1559" customFormat="1" x14ac:dyDescent="0.3"/>
    <row r="541" s="1559" customFormat="1" x14ac:dyDescent="0.3"/>
    <row r="542" s="1559" customFormat="1" x14ac:dyDescent="0.3"/>
    <row r="543" s="1559" customFormat="1" x14ac:dyDescent="0.3"/>
    <row r="544" s="1559" customFormat="1" x14ac:dyDescent="0.3"/>
    <row r="545" s="1559" customFormat="1" x14ac:dyDescent="0.3"/>
    <row r="546" s="1559" customFormat="1" x14ac:dyDescent="0.3"/>
    <row r="547" s="1559" customFormat="1" x14ac:dyDescent="0.3"/>
    <row r="548" s="1559" customFormat="1" x14ac:dyDescent="0.3"/>
    <row r="549" s="1559" customFormat="1" x14ac:dyDescent="0.3"/>
    <row r="550" s="1559" customFormat="1" x14ac:dyDescent="0.3"/>
    <row r="551" s="1559" customFormat="1" x14ac:dyDescent="0.3"/>
    <row r="552" s="1559" customFormat="1" x14ac:dyDescent="0.3"/>
    <row r="553" s="1559" customFormat="1" x14ac:dyDescent="0.3"/>
    <row r="554" s="1559" customFormat="1" x14ac:dyDescent="0.3"/>
    <row r="555" s="1559" customFormat="1" x14ac:dyDescent="0.3"/>
    <row r="556" s="1559" customFormat="1" x14ac:dyDescent="0.3"/>
    <row r="557" s="1559" customFormat="1" x14ac:dyDescent="0.3"/>
    <row r="558" s="1559" customFormat="1" x14ac:dyDescent="0.3"/>
    <row r="559" s="1559" customFormat="1" x14ac:dyDescent="0.3"/>
    <row r="560" s="1559" customFormat="1" x14ac:dyDescent="0.3"/>
    <row r="561" s="1559" customFormat="1" x14ac:dyDescent="0.3"/>
    <row r="562" s="1559" customFormat="1" x14ac:dyDescent="0.3"/>
    <row r="563" s="1559" customFormat="1" x14ac:dyDescent="0.3"/>
    <row r="564" s="1559" customFormat="1" x14ac:dyDescent="0.3"/>
    <row r="565" s="1559" customFormat="1" x14ac:dyDescent="0.3"/>
    <row r="566" s="1559" customFormat="1" x14ac:dyDescent="0.3"/>
    <row r="567" s="1559" customFormat="1" x14ac:dyDescent="0.3"/>
    <row r="568" s="1559" customFormat="1" x14ac:dyDescent="0.3"/>
    <row r="569" s="1559" customFormat="1" x14ac:dyDescent="0.3"/>
    <row r="570" s="1559" customFormat="1" x14ac:dyDescent="0.3"/>
    <row r="571" s="1559" customFormat="1" x14ac:dyDescent="0.3"/>
    <row r="572" s="1559" customFormat="1" x14ac:dyDescent="0.3"/>
    <row r="573" s="1559" customFormat="1" x14ac:dyDescent="0.3"/>
    <row r="574" s="1559" customFormat="1" x14ac:dyDescent="0.3"/>
    <row r="575" s="1559" customFormat="1" x14ac:dyDescent="0.3"/>
    <row r="576" s="1559" customFormat="1" x14ac:dyDescent="0.3"/>
    <row r="577" s="1559" customFormat="1" x14ac:dyDescent="0.3"/>
    <row r="578" s="1559" customFormat="1" x14ac:dyDescent="0.3"/>
    <row r="579" s="1559" customFormat="1" x14ac:dyDescent="0.3"/>
    <row r="580" s="1559" customFormat="1" x14ac:dyDescent="0.3"/>
    <row r="581" s="1559" customFormat="1" x14ac:dyDescent="0.3"/>
    <row r="582" s="1559" customFormat="1" x14ac:dyDescent="0.3"/>
    <row r="583" s="1559" customFormat="1" x14ac:dyDescent="0.3"/>
    <row r="584" s="1559" customFormat="1" x14ac:dyDescent="0.3"/>
    <row r="585" s="1559" customFormat="1" x14ac:dyDescent="0.3"/>
    <row r="586" s="1559" customFormat="1" x14ac:dyDescent="0.3"/>
    <row r="587" s="1559" customFormat="1" x14ac:dyDescent="0.3"/>
    <row r="588" s="1559" customFormat="1" x14ac:dyDescent="0.3"/>
    <row r="589" s="1559" customFormat="1" x14ac:dyDescent="0.3"/>
    <row r="590" s="1559" customFormat="1" x14ac:dyDescent="0.3"/>
    <row r="591" s="1559" customFormat="1" x14ac:dyDescent="0.3"/>
    <row r="592" s="1559" customFormat="1" x14ac:dyDescent="0.3"/>
    <row r="593" s="1559" customFormat="1" x14ac:dyDescent="0.3"/>
    <row r="594" s="1559" customFormat="1" x14ac:dyDescent="0.3"/>
    <row r="595" s="1559" customFormat="1" x14ac:dyDescent="0.3"/>
    <row r="596" s="1559" customFormat="1" x14ac:dyDescent="0.3"/>
    <row r="597" s="1559" customFormat="1" x14ac:dyDescent="0.3"/>
    <row r="598" s="1559" customFormat="1" x14ac:dyDescent="0.3"/>
    <row r="599" s="1559" customFormat="1" x14ac:dyDescent="0.3"/>
    <row r="600" s="1559" customFormat="1" x14ac:dyDescent="0.3"/>
    <row r="601" s="1559" customFormat="1" x14ac:dyDescent="0.3"/>
    <row r="602" s="1559" customFormat="1" x14ac:dyDescent="0.3"/>
    <row r="603" s="1559" customFormat="1" x14ac:dyDescent="0.3"/>
    <row r="604" s="1559" customFormat="1" x14ac:dyDescent="0.3"/>
    <row r="605" s="1559" customFormat="1" x14ac:dyDescent="0.3"/>
    <row r="606" s="1559" customFormat="1" x14ac:dyDescent="0.3"/>
    <row r="607" s="1559" customFormat="1" x14ac:dyDescent="0.3"/>
    <row r="608" s="1559" customFormat="1" x14ac:dyDescent="0.3"/>
    <row r="609" s="1559" customFormat="1" x14ac:dyDescent="0.3"/>
    <row r="610" s="1559" customFormat="1" x14ac:dyDescent="0.3"/>
    <row r="611" s="1559" customFormat="1" x14ac:dyDescent="0.3"/>
    <row r="612" s="1559" customFormat="1" x14ac:dyDescent="0.3"/>
    <row r="613" s="1559" customFormat="1" x14ac:dyDescent="0.3"/>
    <row r="614" s="1559" customFormat="1" x14ac:dyDescent="0.3"/>
    <row r="615" s="1559" customFormat="1" x14ac:dyDescent="0.3"/>
    <row r="616" s="1559" customFormat="1" x14ac:dyDescent="0.3"/>
    <row r="617" s="1559" customFormat="1" x14ac:dyDescent="0.3"/>
    <row r="618" s="1559" customFormat="1" x14ac:dyDescent="0.3"/>
    <row r="619" s="1559" customFormat="1" x14ac:dyDescent="0.3"/>
    <row r="620" s="1559" customFormat="1" x14ac:dyDescent="0.3"/>
    <row r="621" s="1559" customFormat="1" x14ac:dyDescent="0.3"/>
    <row r="622" s="1559" customFormat="1" x14ac:dyDescent="0.3"/>
    <row r="623" s="1559" customFormat="1" x14ac:dyDescent="0.3"/>
    <row r="624" s="1559" customFormat="1" x14ac:dyDescent="0.3"/>
    <row r="625" s="1559" customFormat="1" x14ac:dyDescent="0.3"/>
    <row r="626" s="1559" customFormat="1" x14ac:dyDescent="0.3"/>
    <row r="627" s="1559" customFormat="1" x14ac:dyDescent="0.3"/>
    <row r="628" s="1559" customFormat="1" x14ac:dyDescent="0.3"/>
    <row r="629" s="1559" customFormat="1" x14ac:dyDescent="0.3"/>
    <row r="630" s="1559" customFormat="1" x14ac:dyDescent="0.3"/>
    <row r="631" s="1559" customFormat="1" x14ac:dyDescent="0.3"/>
    <row r="632" s="1559" customFormat="1" x14ac:dyDescent="0.3"/>
    <row r="633" s="1559" customFormat="1" x14ac:dyDescent="0.3"/>
    <row r="634" s="1559" customFormat="1" x14ac:dyDescent="0.3"/>
    <row r="635" s="1559" customFormat="1" x14ac:dyDescent="0.3"/>
    <row r="636" s="1559" customFormat="1" x14ac:dyDescent="0.3"/>
    <row r="637" s="1559" customFormat="1" x14ac:dyDescent="0.3"/>
    <row r="638" s="1559" customFormat="1" x14ac:dyDescent="0.3"/>
    <row r="639" s="1559" customFormat="1" x14ac:dyDescent="0.3"/>
    <row r="640" s="1559" customFormat="1" x14ac:dyDescent="0.3"/>
    <row r="641" s="1559" customFormat="1" x14ac:dyDescent="0.3"/>
    <row r="642" s="1559" customFormat="1" x14ac:dyDescent="0.3"/>
    <row r="643" s="1559" customFormat="1" x14ac:dyDescent="0.3"/>
    <row r="644" s="1559" customFormat="1" x14ac:dyDescent="0.3"/>
    <row r="645" s="1559" customFormat="1" x14ac:dyDescent="0.3"/>
    <row r="646" s="1559" customFormat="1" x14ac:dyDescent="0.3"/>
    <row r="647" s="1559" customFormat="1" x14ac:dyDescent="0.3"/>
    <row r="648" s="1559" customFormat="1" x14ac:dyDescent="0.3"/>
    <row r="649" s="1559" customFormat="1" x14ac:dyDescent="0.3"/>
    <row r="650" s="1559" customFormat="1" x14ac:dyDescent="0.3"/>
    <row r="651" s="1559" customFormat="1" x14ac:dyDescent="0.3"/>
    <row r="652" s="1559" customFormat="1" x14ac:dyDescent="0.3"/>
    <row r="653" s="1559" customFormat="1" x14ac:dyDescent="0.3"/>
    <row r="654" s="1559" customFormat="1" x14ac:dyDescent="0.3"/>
    <row r="655" s="1559" customFormat="1" x14ac:dyDescent="0.3"/>
    <row r="656" s="1559" customFormat="1" x14ac:dyDescent="0.3"/>
    <row r="657" s="1559" customFormat="1" x14ac:dyDescent="0.3"/>
    <row r="658" s="1559" customFormat="1" x14ac:dyDescent="0.3"/>
    <row r="659" s="1559" customFormat="1" x14ac:dyDescent="0.3"/>
    <row r="660" s="1559" customFormat="1" x14ac:dyDescent="0.3"/>
    <row r="661" s="1559" customFormat="1" x14ac:dyDescent="0.3"/>
    <row r="662" s="1559" customFormat="1" x14ac:dyDescent="0.3"/>
    <row r="663" s="1559" customFormat="1" x14ac:dyDescent="0.3"/>
    <row r="664" s="1559" customFormat="1" x14ac:dyDescent="0.3"/>
    <row r="665" s="1559" customFormat="1" x14ac:dyDescent="0.3"/>
    <row r="666" s="1559" customFormat="1" x14ac:dyDescent="0.3"/>
    <row r="667" s="1559" customFormat="1" x14ac:dyDescent="0.3"/>
    <row r="668" s="1559" customFormat="1" x14ac:dyDescent="0.3"/>
    <row r="669" s="1559" customFormat="1" x14ac:dyDescent="0.3"/>
    <row r="670" s="1559" customFormat="1" x14ac:dyDescent="0.3"/>
    <row r="671" s="1559" customFormat="1" x14ac:dyDescent="0.3"/>
    <row r="672" s="1559" customFormat="1" x14ac:dyDescent="0.3"/>
    <row r="673" s="1559" customFormat="1" x14ac:dyDescent="0.3"/>
    <row r="674" s="1559" customFormat="1" x14ac:dyDescent="0.3"/>
    <row r="675" s="1559" customFormat="1" x14ac:dyDescent="0.3"/>
    <row r="676" s="1559" customFormat="1" x14ac:dyDescent="0.3"/>
    <row r="677" s="1559" customFormat="1" x14ac:dyDescent="0.3"/>
    <row r="678" s="1559" customFormat="1" x14ac:dyDescent="0.3"/>
    <row r="679" s="1559" customFormat="1" x14ac:dyDescent="0.3"/>
    <row r="680" s="1559" customFormat="1" x14ac:dyDescent="0.3"/>
    <row r="681" s="1559" customFormat="1" x14ac:dyDescent="0.3"/>
    <row r="682" s="1559" customFormat="1" x14ac:dyDescent="0.3"/>
    <row r="683" s="1559" customFormat="1" x14ac:dyDescent="0.3"/>
    <row r="684" s="1559" customFormat="1" x14ac:dyDescent="0.3"/>
    <row r="685" s="1559" customFormat="1" x14ac:dyDescent="0.3"/>
    <row r="686" s="1559" customFormat="1" x14ac:dyDescent="0.3"/>
    <row r="687" s="1559" customFormat="1" x14ac:dyDescent="0.3"/>
    <row r="688" s="1559" customFormat="1" x14ac:dyDescent="0.3"/>
    <row r="689" s="1559" customFormat="1" x14ac:dyDescent="0.3"/>
    <row r="690" s="1559" customFormat="1" x14ac:dyDescent="0.3"/>
    <row r="691" s="1559" customFormat="1" x14ac:dyDescent="0.3"/>
    <row r="692" s="1559" customFormat="1" x14ac:dyDescent="0.3"/>
    <row r="693" s="1559" customFormat="1" x14ac:dyDescent="0.3"/>
    <row r="694" s="1559" customFormat="1" x14ac:dyDescent="0.3"/>
    <row r="695" s="1559" customFormat="1" x14ac:dyDescent="0.3"/>
    <row r="696" s="1559" customFormat="1" x14ac:dyDescent="0.3"/>
    <row r="697" s="1559" customFormat="1" x14ac:dyDescent="0.3"/>
    <row r="698" s="1559" customFormat="1" x14ac:dyDescent="0.3"/>
    <row r="699" s="1559" customFormat="1" x14ac:dyDescent="0.3"/>
    <row r="700" s="1559" customFormat="1" x14ac:dyDescent="0.3"/>
    <row r="701" s="1559" customFormat="1" x14ac:dyDescent="0.3"/>
    <row r="702" s="1559" customFormat="1" x14ac:dyDescent="0.3"/>
    <row r="703" s="1559" customFormat="1" x14ac:dyDescent="0.3"/>
    <row r="704" s="1559" customFormat="1" x14ac:dyDescent="0.3"/>
    <row r="705" s="1559" customFormat="1" x14ac:dyDescent="0.3"/>
    <row r="706" s="1559" customFormat="1" x14ac:dyDescent="0.3"/>
    <row r="707" s="1559" customFormat="1" x14ac:dyDescent="0.3"/>
    <row r="708" s="1559" customFormat="1" x14ac:dyDescent="0.3"/>
    <row r="709" s="1559" customFormat="1" x14ac:dyDescent="0.3"/>
    <row r="710" s="1559" customFormat="1" x14ac:dyDescent="0.3"/>
    <row r="711" s="1559" customFormat="1" x14ac:dyDescent="0.3"/>
    <row r="712" s="1559" customFormat="1" x14ac:dyDescent="0.3"/>
    <row r="713" s="1559" customFormat="1" x14ac:dyDescent="0.3"/>
    <row r="714" s="1559" customFormat="1" x14ac:dyDescent="0.3"/>
    <row r="715" s="1559" customFormat="1" x14ac:dyDescent="0.3"/>
    <row r="716" s="1559" customFormat="1" x14ac:dyDescent="0.3"/>
    <row r="717" s="1559" customFormat="1" x14ac:dyDescent="0.3"/>
    <row r="718" s="1559" customFormat="1" x14ac:dyDescent="0.3"/>
    <row r="719" s="1559" customFormat="1" x14ac:dyDescent="0.3"/>
    <row r="720" s="1559" customFormat="1" x14ac:dyDescent="0.3"/>
    <row r="721" s="1559" customFormat="1" x14ac:dyDescent="0.3"/>
    <row r="722" s="1559" customFormat="1" x14ac:dyDescent="0.3"/>
    <row r="723" s="1559" customFormat="1" x14ac:dyDescent="0.3"/>
    <row r="724" s="1559" customFormat="1" x14ac:dyDescent="0.3"/>
    <row r="725" s="1559" customFormat="1" x14ac:dyDescent="0.3"/>
    <row r="726" s="1559" customFormat="1" x14ac:dyDescent="0.3"/>
    <row r="727" s="1559" customFormat="1" x14ac:dyDescent="0.3"/>
    <row r="728" s="1559" customFormat="1" x14ac:dyDescent="0.3"/>
    <row r="729" s="1559" customFormat="1" x14ac:dyDescent="0.3"/>
    <row r="730" s="1559" customFormat="1" x14ac:dyDescent="0.3"/>
    <row r="731" s="1559" customFormat="1" x14ac:dyDescent="0.3"/>
    <row r="732" s="1559" customFormat="1" x14ac:dyDescent="0.3"/>
    <row r="733" s="1559" customFormat="1" x14ac:dyDescent="0.3"/>
    <row r="734" s="1559" customFormat="1" x14ac:dyDescent="0.3"/>
    <row r="735" s="1559" customFormat="1" x14ac:dyDescent="0.3"/>
    <row r="736" s="1559" customFormat="1" x14ac:dyDescent="0.3"/>
    <row r="737" s="1559" customFormat="1" x14ac:dyDescent="0.3"/>
    <row r="738" s="1559" customFormat="1" x14ac:dyDescent="0.3"/>
    <row r="739" s="1559" customFormat="1" x14ac:dyDescent="0.3"/>
    <row r="740" s="1559" customFormat="1" x14ac:dyDescent="0.3"/>
    <row r="741" s="1559" customFormat="1" x14ac:dyDescent="0.3"/>
    <row r="742" s="1559" customFormat="1" x14ac:dyDescent="0.3"/>
    <row r="743" s="1559" customFormat="1" x14ac:dyDescent="0.3"/>
    <row r="744" s="1559" customFormat="1" x14ac:dyDescent="0.3"/>
    <row r="745" s="1559" customFormat="1" x14ac:dyDescent="0.3"/>
    <row r="746" s="1559" customFormat="1" x14ac:dyDescent="0.3"/>
    <row r="747" s="1559" customFormat="1" x14ac:dyDescent="0.3"/>
    <row r="748" s="1559" customFormat="1" x14ac:dyDescent="0.3"/>
    <row r="749" s="1559" customFormat="1" x14ac:dyDescent="0.3"/>
    <row r="750" s="1559" customFormat="1" x14ac:dyDescent="0.3"/>
    <row r="751" s="1559" customFormat="1" x14ac:dyDescent="0.3"/>
    <row r="752" s="1559" customFormat="1" x14ac:dyDescent="0.3"/>
    <row r="753" s="1559" customFormat="1" x14ac:dyDescent="0.3"/>
    <row r="754" s="1559" customFormat="1" x14ac:dyDescent="0.3"/>
    <row r="755" s="1559" customFormat="1" x14ac:dyDescent="0.3"/>
    <row r="756" s="1559" customFormat="1" x14ac:dyDescent="0.3"/>
    <row r="757" s="1559" customFormat="1" x14ac:dyDescent="0.3"/>
    <row r="758" s="1559" customFormat="1" x14ac:dyDescent="0.3"/>
    <row r="759" s="1559" customFormat="1" x14ac:dyDescent="0.3"/>
    <row r="760" s="1559" customFormat="1" x14ac:dyDescent="0.3"/>
    <row r="761" s="1559" customFormat="1" x14ac:dyDescent="0.3"/>
    <row r="762" s="1559" customFormat="1" x14ac:dyDescent="0.3"/>
    <row r="763" s="1559" customFormat="1" x14ac:dyDescent="0.3"/>
    <row r="764" s="1559" customFormat="1" x14ac:dyDescent="0.3"/>
    <row r="765" s="1559" customFormat="1" x14ac:dyDescent="0.3"/>
    <row r="766" s="1559" customFormat="1" x14ac:dyDescent="0.3"/>
    <row r="767" s="1559" customFormat="1" x14ac:dyDescent="0.3"/>
    <row r="768" s="1559" customFormat="1" x14ac:dyDescent="0.3"/>
    <row r="769" s="1559" customFormat="1" x14ac:dyDescent="0.3"/>
    <row r="770" s="1559" customFormat="1" x14ac:dyDescent="0.3"/>
    <row r="771" s="1559" customFormat="1" x14ac:dyDescent="0.3"/>
    <row r="772" s="1559" customFormat="1" x14ac:dyDescent="0.3"/>
    <row r="773" s="1559" customFormat="1" x14ac:dyDescent="0.3"/>
    <row r="774" s="1559" customFormat="1" x14ac:dyDescent="0.3"/>
    <row r="775" s="1559" customFormat="1" x14ac:dyDescent="0.3"/>
    <row r="776" s="1559" customFormat="1" x14ac:dyDescent="0.3"/>
    <row r="777" s="1559" customFormat="1" x14ac:dyDescent="0.3"/>
    <row r="778" s="1559" customFormat="1" x14ac:dyDescent="0.3"/>
    <row r="779" s="1559" customFormat="1" x14ac:dyDescent="0.3"/>
    <row r="780" s="1559" customFormat="1" x14ac:dyDescent="0.3"/>
    <row r="781" s="1559" customFormat="1" x14ac:dyDescent="0.3"/>
    <row r="782" s="1559" customFormat="1" x14ac:dyDescent="0.3"/>
    <row r="783" s="1559" customFormat="1" x14ac:dyDescent="0.3"/>
    <row r="784" s="1559" customFormat="1" x14ac:dyDescent="0.3"/>
    <row r="785" s="1559" customFormat="1" x14ac:dyDescent="0.3"/>
    <row r="786" s="1559" customFormat="1" x14ac:dyDescent="0.3"/>
    <row r="787" s="1559" customFormat="1" x14ac:dyDescent="0.3"/>
    <row r="788" s="1559" customFormat="1" x14ac:dyDescent="0.3"/>
    <row r="789" s="1559" customFormat="1" x14ac:dyDescent="0.3"/>
    <row r="790" s="1559" customFormat="1" x14ac:dyDescent="0.3"/>
    <row r="791" s="1559" customFormat="1" x14ac:dyDescent="0.3"/>
    <row r="792" s="1559" customFormat="1" x14ac:dyDescent="0.3"/>
    <row r="793" s="1559" customFormat="1" x14ac:dyDescent="0.3"/>
    <row r="794" s="1559" customFormat="1" x14ac:dyDescent="0.3"/>
    <row r="795" s="1559" customFormat="1" x14ac:dyDescent="0.3"/>
    <row r="796" s="1559" customFormat="1" x14ac:dyDescent="0.3"/>
    <row r="797" s="1559" customFormat="1" x14ac:dyDescent="0.3"/>
    <row r="798" s="1559" customFormat="1" x14ac:dyDescent="0.3"/>
    <row r="799" s="1559" customFormat="1" x14ac:dyDescent="0.3"/>
    <row r="800" s="1559" customFormat="1" x14ac:dyDescent="0.3"/>
    <row r="801" s="1559" customFormat="1" x14ac:dyDescent="0.3"/>
    <row r="802" s="1559" customFormat="1" x14ac:dyDescent="0.3"/>
    <row r="803" s="1559" customFormat="1" x14ac:dyDescent="0.3"/>
    <row r="804" s="1559" customFormat="1" x14ac:dyDescent="0.3"/>
    <row r="805" s="1559" customFormat="1" x14ac:dyDescent="0.3"/>
    <row r="806" s="1559" customFormat="1" x14ac:dyDescent="0.3"/>
    <row r="807" s="1559" customFormat="1" x14ac:dyDescent="0.3"/>
    <row r="808" s="1559" customFormat="1" x14ac:dyDescent="0.3"/>
    <row r="809" s="1559" customFormat="1" x14ac:dyDescent="0.3"/>
    <row r="810" s="1559" customFormat="1" x14ac:dyDescent="0.3"/>
    <row r="811" s="1559" customFormat="1" x14ac:dyDescent="0.3"/>
    <row r="812" s="1559" customFormat="1" x14ac:dyDescent="0.3"/>
    <row r="813" s="1559" customFormat="1" x14ac:dyDescent="0.3"/>
    <row r="814" s="1559" customFormat="1" x14ac:dyDescent="0.3"/>
    <row r="815" s="1559" customFormat="1" x14ac:dyDescent="0.3"/>
    <row r="816" s="1559" customFormat="1" x14ac:dyDescent="0.3"/>
    <row r="817" s="1559" customFormat="1" x14ac:dyDescent="0.3"/>
    <row r="818" s="1559" customFormat="1" x14ac:dyDescent="0.3"/>
    <row r="819" s="1559" customFormat="1" x14ac:dyDescent="0.3"/>
    <row r="820" s="1559" customFormat="1" x14ac:dyDescent="0.3"/>
    <row r="821" s="1559" customFormat="1" x14ac:dyDescent="0.3"/>
    <row r="822" s="1559" customFormat="1" x14ac:dyDescent="0.3"/>
    <row r="823" s="1559" customFormat="1" x14ac:dyDescent="0.3"/>
    <row r="824" s="1559" customFormat="1" x14ac:dyDescent="0.3"/>
    <row r="825" s="1559" customFormat="1" x14ac:dyDescent="0.3"/>
    <row r="826" s="1559" customFormat="1" x14ac:dyDescent="0.3"/>
    <row r="827" s="1559" customFormat="1" x14ac:dyDescent="0.3"/>
    <row r="828" s="1559" customFormat="1" x14ac:dyDescent="0.3"/>
    <row r="829" s="1559" customFormat="1" x14ac:dyDescent="0.3"/>
    <row r="830" s="1559" customFormat="1" x14ac:dyDescent="0.3"/>
    <row r="831" s="1559" customFormat="1" x14ac:dyDescent="0.3"/>
    <row r="832" s="1559" customFormat="1" x14ac:dyDescent="0.3"/>
    <row r="833" s="1559" customFormat="1" x14ac:dyDescent="0.3"/>
    <row r="834" s="1559" customFormat="1" x14ac:dyDescent="0.3"/>
    <row r="835" s="1559" customFormat="1" x14ac:dyDescent="0.3"/>
    <row r="836" s="1559" customFormat="1" x14ac:dyDescent="0.3"/>
    <row r="837" s="1559" customFormat="1" x14ac:dyDescent="0.3"/>
    <row r="838" s="1559" customFormat="1" x14ac:dyDescent="0.3"/>
    <row r="839" s="1559" customFormat="1" x14ac:dyDescent="0.3"/>
    <row r="840" s="1559" customFormat="1" x14ac:dyDescent="0.3"/>
    <row r="841" s="1559" customFormat="1" x14ac:dyDescent="0.3"/>
    <row r="842" s="1559" customFormat="1" x14ac:dyDescent="0.3"/>
    <row r="843" s="1559" customFormat="1" x14ac:dyDescent="0.3"/>
    <row r="844" s="1559" customFormat="1" x14ac:dyDescent="0.3"/>
    <row r="845" s="1559" customFormat="1" x14ac:dyDescent="0.3"/>
    <row r="846" s="1559" customFormat="1" x14ac:dyDescent="0.3"/>
    <row r="847" s="1559" customFormat="1" x14ac:dyDescent="0.3"/>
    <row r="848" s="1559" customFormat="1" x14ac:dyDescent="0.3"/>
    <row r="849" s="1559" customFormat="1" x14ac:dyDescent="0.3"/>
    <row r="850" s="1559" customFormat="1" x14ac:dyDescent="0.3"/>
    <row r="851" s="1559" customFormat="1" x14ac:dyDescent="0.3"/>
    <row r="852" s="1559" customFormat="1" x14ac:dyDescent="0.3"/>
    <row r="853" s="1559" customFormat="1" x14ac:dyDescent="0.3"/>
    <row r="854" s="1559" customFormat="1" x14ac:dyDescent="0.3"/>
    <row r="855" s="1559" customFormat="1" x14ac:dyDescent="0.3"/>
    <row r="856" s="1559" customFormat="1" x14ac:dyDescent="0.3"/>
    <row r="857" s="1559" customFormat="1" x14ac:dyDescent="0.3"/>
    <row r="858" s="1559" customFormat="1" x14ac:dyDescent="0.3"/>
    <row r="859" s="1559" customFormat="1" x14ac:dyDescent="0.3"/>
    <row r="860" s="1559" customFormat="1" x14ac:dyDescent="0.3"/>
    <row r="861" s="1559" customFormat="1" x14ac:dyDescent="0.3"/>
    <row r="862" s="1559" customFormat="1" x14ac:dyDescent="0.3"/>
    <row r="863" s="1559" customFormat="1" x14ac:dyDescent="0.3"/>
    <row r="864" s="1559" customFormat="1" x14ac:dyDescent="0.3"/>
    <row r="865" s="1559" customFormat="1" x14ac:dyDescent="0.3"/>
    <row r="866" s="1559" customFormat="1" x14ac:dyDescent="0.3"/>
    <row r="867" s="1559" customFormat="1" x14ac:dyDescent="0.3"/>
    <row r="868" s="1559" customFormat="1" x14ac:dyDescent="0.3"/>
    <row r="869" s="1559" customFormat="1" x14ac:dyDescent="0.3"/>
    <row r="870" s="1559" customFormat="1" x14ac:dyDescent="0.3"/>
    <row r="871" s="1559" customFormat="1" x14ac:dyDescent="0.3"/>
    <row r="872" s="1559" customFormat="1" x14ac:dyDescent="0.3"/>
    <row r="873" s="1559" customFormat="1" x14ac:dyDescent="0.3"/>
    <row r="874" s="1559" customFormat="1" x14ac:dyDescent="0.3"/>
    <row r="875" s="1559" customFormat="1" x14ac:dyDescent="0.3"/>
    <row r="876" s="1559" customFormat="1" x14ac:dyDescent="0.3"/>
    <row r="877" s="1559" customFormat="1" x14ac:dyDescent="0.3"/>
    <row r="878" s="1559" customFormat="1" x14ac:dyDescent="0.3"/>
    <row r="879" s="1559" customFormat="1" x14ac:dyDescent="0.3"/>
    <row r="880" s="1559" customFormat="1" x14ac:dyDescent="0.3"/>
    <row r="881" s="1559" customFormat="1" x14ac:dyDescent="0.3"/>
    <row r="882" s="1559" customFormat="1" x14ac:dyDescent="0.3"/>
    <row r="883" s="1559" customFormat="1" x14ac:dyDescent="0.3"/>
    <row r="884" s="1559" customFormat="1" x14ac:dyDescent="0.3"/>
    <row r="885" s="1559" customFormat="1" x14ac:dyDescent="0.3"/>
    <row r="886" s="1559" customFormat="1" x14ac:dyDescent="0.3"/>
    <row r="887" s="1559" customFormat="1" x14ac:dyDescent="0.3"/>
    <row r="888" s="1559" customFormat="1" x14ac:dyDescent="0.3"/>
    <row r="889" s="1559" customFormat="1" x14ac:dyDescent="0.3"/>
    <row r="890" s="1559" customFormat="1" x14ac:dyDescent="0.3"/>
    <row r="891" s="1559" customFormat="1" x14ac:dyDescent="0.3"/>
    <row r="892" s="1559" customFormat="1" x14ac:dyDescent="0.3"/>
    <row r="893" s="1559" customFormat="1" x14ac:dyDescent="0.3"/>
    <row r="894" s="1559" customFormat="1" x14ac:dyDescent="0.3"/>
    <row r="895" s="1559" customFormat="1" x14ac:dyDescent="0.3"/>
    <row r="896" s="1559" customFormat="1" x14ac:dyDescent="0.3"/>
    <row r="897" s="1559" customFormat="1" x14ac:dyDescent="0.3"/>
    <row r="898" s="1559" customFormat="1" x14ac:dyDescent="0.3"/>
    <row r="899" s="1559" customFormat="1" x14ac:dyDescent="0.3"/>
    <row r="900" s="1559" customFormat="1" x14ac:dyDescent="0.3"/>
    <row r="901" s="1559" customFormat="1" x14ac:dyDescent="0.3"/>
    <row r="902" s="1559" customFormat="1" x14ac:dyDescent="0.3"/>
    <row r="903" s="1559" customFormat="1" x14ac:dyDescent="0.3"/>
    <row r="904" s="1559" customFormat="1" x14ac:dyDescent="0.3"/>
    <row r="905" s="1559" customFormat="1" x14ac:dyDescent="0.3"/>
    <row r="906" s="1559" customFormat="1" x14ac:dyDescent="0.3"/>
    <row r="907" s="1559" customFormat="1" x14ac:dyDescent="0.3"/>
    <row r="908" s="1559" customFormat="1" x14ac:dyDescent="0.3"/>
    <row r="909" s="1559" customFormat="1" x14ac:dyDescent="0.3"/>
    <row r="910" s="1559" customFormat="1" x14ac:dyDescent="0.3"/>
    <row r="911" s="1559" customFormat="1" x14ac:dyDescent="0.3"/>
    <row r="912" s="1559" customFormat="1" x14ac:dyDescent="0.3"/>
    <row r="913" s="1559" customFormat="1" x14ac:dyDescent="0.3"/>
    <row r="914" s="1559" customFormat="1" x14ac:dyDescent="0.3"/>
    <row r="915" s="1559" customFormat="1" x14ac:dyDescent="0.3"/>
    <row r="916" s="1559" customFormat="1" x14ac:dyDescent="0.3"/>
    <row r="917" s="1559" customFormat="1" x14ac:dyDescent="0.3"/>
    <row r="918" s="1559" customFormat="1" x14ac:dyDescent="0.3"/>
    <row r="919" s="1559" customFormat="1" x14ac:dyDescent="0.3"/>
    <row r="920" s="1559" customFormat="1" x14ac:dyDescent="0.3"/>
    <row r="921" s="1559" customFormat="1" x14ac:dyDescent="0.3"/>
    <row r="922" s="1559" customFormat="1" x14ac:dyDescent="0.3"/>
    <row r="923" s="1559" customFormat="1" x14ac:dyDescent="0.3"/>
    <row r="924" s="1559" customFormat="1" x14ac:dyDescent="0.3"/>
    <row r="925" s="1559" customFormat="1" x14ac:dyDescent="0.3"/>
    <row r="926" s="1559" customFormat="1" x14ac:dyDescent="0.3"/>
    <row r="927" s="1559" customFormat="1" x14ac:dyDescent="0.3"/>
    <row r="928" s="1559" customFormat="1" x14ac:dyDescent="0.3"/>
    <row r="929" s="1559" customFormat="1" x14ac:dyDescent="0.3"/>
    <row r="930" s="1559" customFormat="1" x14ac:dyDescent="0.3"/>
    <row r="931" s="1559" customFormat="1" x14ac:dyDescent="0.3"/>
    <row r="932" s="1559" customFormat="1" x14ac:dyDescent="0.3"/>
    <row r="933" s="1559" customFormat="1" x14ac:dyDescent="0.3"/>
    <row r="934" s="1559" customFormat="1" x14ac:dyDescent="0.3"/>
    <row r="935" s="1559" customFormat="1" x14ac:dyDescent="0.3"/>
    <row r="936" s="1559" customFormat="1" x14ac:dyDescent="0.3"/>
    <row r="937" s="1559" customFormat="1" x14ac:dyDescent="0.3"/>
    <row r="938" s="1559" customFormat="1" x14ac:dyDescent="0.3"/>
    <row r="939" s="1559" customFormat="1" x14ac:dyDescent="0.3"/>
    <row r="940" s="1559" customFormat="1" x14ac:dyDescent="0.3"/>
    <row r="941" s="1559" customFormat="1" x14ac:dyDescent="0.3"/>
    <row r="942" s="1559" customFormat="1" x14ac:dyDescent="0.3"/>
    <row r="943" s="1559" customFormat="1" x14ac:dyDescent="0.3"/>
    <row r="944" s="1559" customFormat="1" x14ac:dyDescent="0.3"/>
    <row r="945" s="1559" customFormat="1" x14ac:dyDescent="0.3"/>
    <row r="946" s="1559" customFormat="1" x14ac:dyDescent="0.3"/>
    <row r="947" s="1559" customFormat="1" x14ac:dyDescent="0.3"/>
    <row r="948" s="1559" customFormat="1" x14ac:dyDescent="0.3"/>
    <row r="949" s="1559" customFormat="1" x14ac:dyDescent="0.3"/>
    <row r="950" s="1559" customFormat="1" x14ac:dyDescent="0.3"/>
    <row r="951" s="1559" customFormat="1" x14ac:dyDescent="0.3"/>
    <row r="952" s="1559" customFormat="1" x14ac:dyDescent="0.3"/>
    <row r="953" s="1559" customFormat="1" x14ac:dyDescent="0.3"/>
    <row r="954" s="1559" customFormat="1" x14ac:dyDescent="0.3"/>
    <row r="955" s="1559" customFormat="1" x14ac:dyDescent="0.3"/>
    <row r="956" s="1559" customFormat="1" x14ac:dyDescent="0.3"/>
    <row r="957" s="1559" customFormat="1" x14ac:dyDescent="0.3"/>
    <row r="958" s="1559" customFormat="1" x14ac:dyDescent="0.3"/>
    <row r="959" s="1559" customFormat="1" x14ac:dyDescent="0.3"/>
    <row r="960" s="1559" customFormat="1" x14ac:dyDescent="0.3"/>
    <row r="961" s="1559" customFormat="1" x14ac:dyDescent="0.3"/>
    <row r="962" s="1559" customFormat="1" x14ac:dyDescent="0.3"/>
    <row r="963" s="1559" customFormat="1" x14ac:dyDescent="0.3"/>
    <row r="964" s="1559" customFormat="1" x14ac:dyDescent="0.3"/>
    <row r="965" s="1559" customFormat="1" x14ac:dyDescent="0.3"/>
    <row r="966" s="1559" customFormat="1" x14ac:dyDescent="0.3"/>
    <row r="967" s="1559" customFormat="1" x14ac:dyDescent="0.3"/>
    <row r="968" s="1559" customFormat="1" x14ac:dyDescent="0.3"/>
    <row r="969" s="1559" customFormat="1" x14ac:dyDescent="0.3"/>
    <row r="970" s="1559" customFormat="1" x14ac:dyDescent="0.3"/>
    <row r="971" s="1559" customFormat="1" x14ac:dyDescent="0.3"/>
    <row r="972" s="1559" customFormat="1" x14ac:dyDescent="0.3"/>
    <row r="973" s="1559" customFormat="1" x14ac:dyDescent="0.3"/>
    <row r="974" s="1559" customFormat="1" x14ac:dyDescent="0.3"/>
    <row r="975" s="1559" customFormat="1" x14ac:dyDescent="0.3"/>
    <row r="976" s="1559" customFormat="1" x14ac:dyDescent="0.3"/>
    <row r="977" s="1559" customFormat="1" x14ac:dyDescent="0.3"/>
    <row r="978" s="1559" customFormat="1" x14ac:dyDescent="0.3"/>
    <row r="979" s="1559" customFormat="1" x14ac:dyDescent="0.3"/>
    <row r="980" s="1559" customFormat="1" x14ac:dyDescent="0.3"/>
    <row r="981" s="1559" customFormat="1" x14ac:dyDescent="0.3"/>
    <row r="982" s="1559" customFormat="1" x14ac:dyDescent="0.3"/>
    <row r="983" s="1559" customFormat="1" x14ac:dyDescent="0.3"/>
    <row r="984" s="1559" customFormat="1" x14ac:dyDescent="0.3"/>
    <row r="985" s="1559" customFormat="1" x14ac:dyDescent="0.3"/>
    <row r="986" s="1559" customFormat="1" x14ac:dyDescent="0.3"/>
    <row r="987" s="1559" customFormat="1" x14ac:dyDescent="0.3"/>
    <row r="988" s="1559" customFormat="1" x14ac:dyDescent="0.3"/>
    <row r="989" s="1559" customFormat="1" x14ac:dyDescent="0.3"/>
    <row r="990" s="1559" customFormat="1" x14ac:dyDescent="0.3"/>
    <row r="991" s="1559" customFormat="1" x14ac:dyDescent="0.3"/>
    <row r="992" s="1559" customFormat="1" x14ac:dyDescent="0.3"/>
    <row r="993" s="1559" customFormat="1" x14ac:dyDescent="0.3"/>
    <row r="994" s="1559" customFormat="1" x14ac:dyDescent="0.3"/>
    <row r="995" s="1559" customFormat="1" x14ac:dyDescent="0.3"/>
    <row r="996" s="1559" customFormat="1" x14ac:dyDescent="0.3"/>
    <row r="997" s="1559" customFormat="1" x14ac:dyDescent="0.3"/>
    <row r="998" s="1559" customFormat="1" x14ac:dyDescent="0.3"/>
    <row r="999" s="1559" customFormat="1" x14ac:dyDescent="0.3"/>
    <row r="1000" s="1559" customFormat="1" x14ac:dyDescent="0.3"/>
    <row r="1001" s="1559" customFormat="1" x14ac:dyDescent="0.3"/>
    <row r="1002" s="1559" customFormat="1" x14ac:dyDescent="0.3"/>
    <row r="1003" s="1559" customFormat="1" x14ac:dyDescent="0.3"/>
    <row r="1004" s="1559" customFormat="1" x14ac:dyDescent="0.3"/>
    <row r="1005" s="1559" customFormat="1" x14ac:dyDescent="0.3"/>
    <row r="1006" s="1559" customFormat="1" x14ac:dyDescent="0.3"/>
    <row r="1007" s="1559" customFormat="1" x14ac:dyDescent="0.3"/>
    <row r="1008" s="1559" customFormat="1" x14ac:dyDescent="0.3"/>
    <row r="1009" s="1559" customFormat="1" x14ac:dyDescent="0.3"/>
    <row r="1010" s="1559" customFormat="1" x14ac:dyDescent="0.3"/>
    <row r="1011" s="1559" customFormat="1" x14ac:dyDescent="0.3"/>
    <row r="1012" s="1559" customFormat="1" x14ac:dyDescent="0.3"/>
    <row r="1013" s="1559" customFormat="1" x14ac:dyDescent="0.3"/>
    <row r="1014" s="1559" customFormat="1" x14ac:dyDescent="0.3"/>
    <row r="1015" s="1559" customFormat="1" x14ac:dyDescent="0.3"/>
    <row r="1016" s="1559" customFormat="1" x14ac:dyDescent="0.3"/>
    <row r="1017" s="1559" customFormat="1" x14ac:dyDescent="0.3"/>
    <row r="1018" s="1559" customFormat="1" x14ac:dyDescent="0.3"/>
    <row r="1019" s="1559" customFormat="1" x14ac:dyDescent="0.3"/>
    <row r="1020" s="1559" customFormat="1" x14ac:dyDescent="0.3"/>
    <row r="1021" s="1559" customFormat="1" x14ac:dyDescent="0.3"/>
    <row r="1022" s="1559" customFormat="1" x14ac:dyDescent="0.3"/>
    <row r="1023" s="1559" customFormat="1" x14ac:dyDescent="0.3"/>
    <row r="1024" s="1559" customFormat="1" x14ac:dyDescent="0.3"/>
    <row r="1025" s="1559" customFormat="1" x14ac:dyDescent="0.3"/>
    <row r="1026" s="1559" customFormat="1" x14ac:dyDescent="0.3"/>
    <row r="1027" s="1559" customFormat="1" x14ac:dyDescent="0.3"/>
    <row r="1028" s="1559" customFormat="1" x14ac:dyDescent="0.3"/>
    <row r="1029" s="1559" customFormat="1" x14ac:dyDescent="0.3"/>
    <row r="1030" s="1559" customFormat="1" x14ac:dyDescent="0.3"/>
    <row r="1031" s="1559" customFormat="1" x14ac:dyDescent="0.3"/>
    <row r="1032" s="1559" customFormat="1" x14ac:dyDescent="0.3"/>
    <row r="1033" s="1559" customFormat="1" x14ac:dyDescent="0.3"/>
    <row r="1034" s="1559" customFormat="1" x14ac:dyDescent="0.3"/>
    <row r="1035" s="1559" customFormat="1" x14ac:dyDescent="0.3"/>
    <row r="1036" s="1559" customFormat="1" x14ac:dyDescent="0.3"/>
    <row r="1037" s="1559" customFormat="1" x14ac:dyDescent="0.3"/>
    <row r="1038" s="1559" customFormat="1" x14ac:dyDescent="0.3"/>
    <row r="1039" s="1559" customFormat="1" x14ac:dyDescent="0.3"/>
    <row r="1040" s="1559" customFormat="1" x14ac:dyDescent="0.3"/>
    <row r="1041" s="1559" customFormat="1" x14ac:dyDescent="0.3"/>
    <row r="1042" s="1559" customFormat="1" x14ac:dyDescent="0.3"/>
    <row r="1043" s="1559" customFormat="1" x14ac:dyDescent="0.3"/>
    <row r="1044" s="1559" customFormat="1" x14ac:dyDescent="0.3"/>
    <row r="1045" s="1559" customFormat="1" x14ac:dyDescent="0.3"/>
    <row r="1046" s="1559" customFormat="1" x14ac:dyDescent="0.3"/>
    <row r="1047" s="1559" customFormat="1" x14ac:dyDescent="0.3"/>
    <row r="1048" s="1559" customFormat="1" x14ac:dyDescent="0.3"/>
    <row r="1049" s="1559" customFormat="1" x14ac:dyDescent="0.3"/>
    <row r="1050" s="1559" customFormat="1" x14ac:dyDescent="0.3"/>
    <row r="1051" s="1559" customFormat="1" x14ac:dyDescent="0.3"/>
    <row r="1052" s="1559" customFormat="1" x14ac:dyDescent="0.3"/>
    <row r="1053" s="1559" customFormat="1" x14ac:dyDescent="0.3"/>
    <row r="1054" s="1559" customFormat="1" x14ac:dyDescent="0.3"/>
    <row r="1055" s="1559" customFormat="1" x14ac:dyDescent="0.3"/>
    <row r="1056" s="1559" customFormat="1" x14ac:dyDescent="0.3"/>
    <row r="1057" s="1559" customFormat="1" x14ac:dyDescent="0.3"/>
    <row r="1058" s="1559" customFormat="1" x14ac:dyDescent="0.3"/>
    <row r="1059" s="1559" customFormat="1" x14ac:dyDescent="0.3"/>
    <row r="1060" s="1559" customFormat="1" x14ac:dyDescent="0.3"/>
    <row r="1061" s="1559" customFormat="1" x14ac:dyDescent="0.3"/>
    <row r="1062" s="1559" customFormat="1" x14ac:dyDescent="0.3"/>
    <row r="1063" s="1559" customFormat="1" x14ac:dyDescent="0.3"/>
    <row r="1064" s="1559" customFormat="1" x14ac:dyDescent="0.3"/>
    <row r="1065" s="1559" customFormat="1" x14ac:dyDescent="0.3"/>
    <row r="1066" s="1559" customFormat="1" x14ac:dyDescent="0.3"/>
    <row r="1067" s="1559" customFormat="1" x14ac:dyDescent="0.3"/>
    <row r="1068" s="1559" customFormat="1" x14ac:dyDescent="0.3"/>
    <row r="1069" s="1559" customFormat="1" x14ac:dyDescent="0.3"/>
    <row r="1070" s="1559" customFormat="1" x14ac:dyDescent="0.3"/>
    <row r="1071" s="1559" customFormat="1" x14ac:dyDescent="0.3"/>
    <row r="1072" s="1559" customFormat="1" x14ac:dyDescent="0.3"/>
    <row r="1073" s="1559" customFormat="1" x14ac:dyDescent="0.3"/>
    <row r="1074" s="1559" customFormat="1" x14ac:dyDescent="0.3"/>
    <row r="1075" s="1559" customFormat="1" x14ac:dyDescent="0.3"/>
    <row r="1076" s="1559" customFormat="1" x14ac:dyDescent="0.3"/>
    <row r="1077" s="1559" customFormat="1" x14ac:dyDescent="0.3"/>
    <row r="1078" s="1559" customFormat="1" x14ac:dyDescent="0.3"/>
    <row r="1079" s="1559" customFormat="1" x14ac:dyDescent="0.3"/>
    <row r="1080" s="1559" customFormat="1" x14ac:dyDescent="0.3"/>
    <row r="1081" s="1559" customFormat="1" x14ac:dyDescent="0.3"/>
    <row r="1082" s="1559" customFormat="1" x14ac:dyDescent="0.3"/>
    <row r="1083" s="1559" customFormat="1" x14ac:dyDescent="0.3"/>
    <row r="1084" s="1559" customFormat="1" x14ac:dyDescent="0.3"/>
    <row r="1085" s="1559" customFormat="1" x14ac:dyDescent="0.3"/>
    <row r="1086" s="1559" customFormat="1" x14ac:dyDescent="0.3"/>
    <row r="1087" s="1559" customFormat="1" x14ac:dyDescent="0.3"/>
    <row r="1088" s="1559" customFormat="1" x14ac:dyDescent="0.3"/>
    <row r="1089" s="1559" customFormat="1" x14ac:dyDescent="0.3"/>
    <row r="1090" s="1559" customFormat="1" x14ac:dyDescent="0.3"/>
    <row r="1091" s="1559" customFormat="1" x14ac:dyDescent="0.3"/>
    <row r="1092" s="1559" customFormat="1" x14ac:dyDescent="0.3"/>
    <row r="1093" s="1559" customFormat="1" x14ac:dyDescent="0.3"/>
    <row r="1094" s="1559" customFormat="1" x14ac:dyDescent="0.3"/>
    <row r="1095" s="1559" customFormat="1" x14ac:dyDescent="0.3"/>
    <row r="1096" s="1559" customFormat="1" x14ac:dyDescent="0.3"/>
    <row r="1097" s="1559" customFormat="1" x14ac:dyDescent="0.3"/>
    <row r="1098" s="1559" customFormat="1" x14ac:dyDescent="0.3"/>
    <row r="1099" s="1559" customFormat="1" x14ac:dyDescent="0.3"/>
    <row r="1100" s="1559" customFormat="1" x14ac:dyDescent="0.3"/>
    <row r="1101" s="1559" customFormat="1" x14ac:dyDescent="0.3"/>
    <row r="1102" s="1559" customFormat="1" x14ac:dyDescent="0.3"/>
    <row r="1103" s="1559" customFormat="1" x14ac:dyDescent="0.3"/>
    <row r="1104" s="1559" customFormat="1" x14ac:dyDescent="0.3"/>
    <row r="1105" s="1559" customFormat="1" x14ac:dyDescent="0.3"/>
    <row r="1106" s="1559" customFormat="1" x14ac:dyDescent="0.3"/>
    <row r="1107" s="1559" customFormat="1" x14ac:dyDescent="0.3"/>
    <row r="1108" s="1559" customFormat="1" x14ac:dyDescent="0.3"/>
    <row r="1109" s="1559" customFormat="1" x14ac:dyDescent="0.3"/>
    <row r="1110" s="1559" customFormat="1" x14ac:dyDescent="0.3"/>
    <row r="1111" s="1559" customFormat="1" x14ac:dyDescent="0.3"/>
    <row r="1112" s="1559" customFormat="1" x14ac:dyDescent="0.3"/>
    <row r="1113" s="1559" customFormat="1" x14ac:dyDescent="0.3"/>
    <row r="1114" s="1559" customFormat="1" x14ac:dyDescent="0.3"/>
    <row r="1115" s="1559" customFormat="1" x14ac:dyDescent="0.3"/>
    <row r="1116" s="1559" customFormat="1" x14ac:dyDescent="0.3"/>
    <row r="1117" s="1559" customFormat="1" x14ac:dyDescent="0.3"/>
    <row r="1118" s="1559" customFormat="1" x14ac:dyDescent="0.3"/>
    <row r="1119" s="1559" customFormat="1" x14ac:dyDescent="0.3"/>
    <row r="1120" s="1559" customFormat="1" x14ac:dyDescent="0.3"/>
    <row r="1121" s="1559" customFormat="1" x14ac:dyDescent="0.3"/>
    <row r="1122" s="1559" customFormat="1" x14ac:dyDescent="0.3"/>
    <row r="1123" s="1559" customFormat="1" x14ac:dyDescent="0.3"/>
    <row r="1124" s="1559" customFormat="1" x14ac:dyDescent="0.3"/>
    <row r="1125" s="1559" customFormat="1" x14ac:dyDescent="0.3"/>
    <row r="1126" s="1559" customFormat="1" x14ac:dyDescent="0.3"/>
    <row r="1127" s="1559" customFormat="1" x14ac:dyDescent="0.3"/>
    <row r="1128" s="1559" customFormat="1" x14ac:dyDescent="0.3"/>
    <row r="1129" s="1559" customFormat="1" x14ac:dyDescent="0.3"/>
    <row r="1130" s="1559" customFormat="1" x14ac:dyDescent="0.3"/>
    <row r="1131" s="1559" customFormat="1" x14ac:dyDescent="0.3"/>
    <row r="1132" s="1559" customFormat="1" x14ac:dyDescent="0.3"/>
    <row r="1133" s="1559" customFormat="1" x14ac:dyDescent="0.3"/>
    <row r="1134" s="1559" customFormat="1" x14ac:dyDescent="0.3"/>
    <row r="1135" s="1559" customFormat="1" x14ac:dyDescent="0.3"/>
    <row r="1136" s="1559" customFormat="1" x14ac:dyDescent="0.3"/>
    <row r="1137" s="1559" customFormat="1" x14ac:dyDescent="0.3"/>
    <row r="1138" s="1559" customFormat="1" x14ac:dyDescent="0.3"/>
    <row r="1139" s="1559" customFormat="1" x14ac:dyDescent="0.3"/>
    <row r="1140" s="1559" customFormat="1" x14ac:dyDescent="0.3"/>
    <row r="1141" s="1559" customFormat="1" x14ac:dyDescent="0.3"/>
    <row r="1142" s="1559" customFormat="1" x14ac:dyDescent="0.3"/>
    <row r="1143" s="1559" customFormat="1" x14ac:dyDescent="0.3"/>
    <row r="1144" s="1559" customFormat="1" x14ac:dyDescent="0.3"/>
    <row r="1145" s="1559" customFormat="1" x14ac:dyDescent="0.3"/>
    <row r="1146" s="1559" customFormat="1" x14ac:dyDescent="0.3"/>
    <row r="1147" s="1559" customFormat="1" x14ac:dyDescent="0.3"/>
    <row r="1148" s="1559" customFormat="1" x14ac:dyDescent="0.3"/>
    <row r="1149" s="1559" customFormat="1" x14ac:dyDescent="0.3"/>
    <row r="1150" s="1559" customFormat="1" x14ac:dyDescent="0.3"/>
    <row r="1151" s="1559" customFormat="1" x14ac:dyDescent="0.3"/>
    <row r="1152" s="1559" customFormat="1" x14ac:dyDescent="0.3"/>
    <row r="1153" s="1559" customFormat="1" x14ac:dyDescent="0.3"/>
    <row r="1154" s="1559" customFormat="1" x14ac:dyDescent="0.3"/>
    <row r="1155" s="1559" customFormat="1" x14ac:dyDescent="0.3"/>
    <row r="1156" s="1559" customFormat="1" x14ac:dyDescent="0.3"/>
    <row r="1157" s="1559" customFormat="1" x14ac:dyDescent="0.3"/>
    <row r="1158" s="1559" customFormat="1" x14ac:dyDescent="0.3"/>
    <row r="1159" s="1559" customFormat="1" x14ac:dyDescent="0.3"/>
    <row r="1160" s="1559" customFormat="1" x14ac:dyDescent="0.3"/>
    <row r="1161" s="1559" customFormat="1" x14ac:dyDescent="0.3"/>
    <row r="1162" s="1559" customFormat="1" x14ac:dyDescent="0.3"/>
    <row r="1163" s="1559" customFormat="1" x14ac:dyDescent="0.3"/>
    <row r="1164" s="1559" customFormat="1" x14ac:dyDescent="0.3"/>
    <row r="1165" s="1559" customFormat="1" x14ac:dyDescent="0.3"/>
    <row r="1166" s="1559" customFormat="1" x14ac:dyDescent="0.3"/>
    <row r="1167" s="1559" customFormat="1" x14ac:dyDescent="0.3"/>
    <row r="1168" s="1559" customFormat="1" x14ac:dyDescent="0.3"/>
    <row r="1169" s="1559" customFormat="1" x14ac:dyDescent="0.3"/>
    <row r="1170" s="1559" customFormat="1" x14ac:dyDescent="0.3"/>
    <row r="1171" s="1559" customFormat="1" x14ac:dyDescent="0.3"/>
    <row r="1172" s="1559" customFormat="1" x14ac:dyDescent="0.3"/>
    <row r="1173" s="1559" customFormat="1" x14ac:dyDescent="0.3"/>
    <row r="1174" s="1559" customFormat="1" x14ac:dyDescent="0.3"/>
    <row r="1175" s="1559" customFormat="1" x14ac:dyDescent="0.3"/>
    <row r="1176" s="1559" customFormat="1" x14ac:dyDescent="0.3"/>
    <row r="1177" s="1559" customFormat="1" x14ac:dyDescent="0.3"/>
    <row r="1178" s="1559" customFormat="1" x14ac:dyDescent="0.3"/>
    <row r="1179" s="1559" customFormat="1" x14ac:dyDescent="0.3"/>
    <row r="1180" s="1559" customFormat="1" x14ac:dyDescent="0.3"/>
    <row r="1181" s="1559" customFormat="1" x14ac:dyDescent="0.3"/>
    <row r="1182" s="1559" customFormat="1" x14ac:dyDescent="0.3"/>
    <row r="1183" s="1559" customFormat="1" x14ac:dyDescent="0.3"/>
    <row r="1184" s="1559" customFormat="1" x14ac:dyDescent="0.3"/>
    <row r="1185" s="1559" customFormat="1" x14ac:dyDescent="0.3"/>
    <row r="1186" s="1559" customFormat="1" x14ac:dyDescent="0.3"/>
    <row r="1187" s="1559" customFormat="1" x14ac:dyDescent="0.3"/>
    <row r="1188" s="1559" customFormat="1" x14ac:dyDescent="0.3"/>
    <row r="1189" s="1559" customFormat="1" x14ac:dyDescent="0.3"/>
    <row r="1190" s="1559" customFormat="1" x14ac:dyDescent="0.3"/>
    <row r="1191" s="1559" customFormat="1" x14ac:dyDescent="0.3"/>
    <row r="1192" s="1559" customFormat="1" x14ac:dyDescent="0.3"/>
    <row r="1193" s="1559" customFormat="1" x14ac:dyDescent="0.3"/>
    <row r="1194" s="1559" customFormat="1" x14ac:dyDescent="0.3"/>
    <row r="1195" s="1559" customFormat="1" x14ac:dyDescent="0.3"/>
    <row r="1196" s="1559" customFormat="1" x14ac:dyDescent="0.3"/>
    <row r="1197" s="1559" customFormat="1" x14ac:dyDescent="0.3"/>
    <row r="1198" s="1559" customFormat="1" x14ac:dyDescent="0.3"/>
    <row r="1199" s="1559" customFormat="1" x14ac:dyDescent="0.3"/>
    <row r="1200" s="1559" customFormat="1" x14ac:dyDescent="0.3"/>
    <row r="1201" s="1559" customFormat="1" x14ac:dyDescent="0.3"/>
    <row r="1202" s="1559" customFormat="1" x14ac:dyDescent="0.3"/>
    <row r="1203" s="1559" customFormat="1" x14ac:dyDescent="0.3"/>
    <row r="1204" s="1559" customFormat="1" x14ac:dyDescent="0.3"/>
    <row r="1205" s="1559" customFormat="1" x14ac:dyDescent="0.3"/>
    <row r="1206" s="1559" customFormat="1" x14ac:dyDescent="0.3"/>
    <row r="1207" s="1559" customFormat="1" x14ac:dyDescent="0.3"/>
    <row r="1208" s="1559" customFormat="1" x14ac:dyDescent="0.3"/>
    <row r="1209" s="1559" customFormat="1" x14ac:dyDescent="0.3"/>
    <row r="1210" s="1559" customFormat="1" x14ac:dyDescent="0.3"/>
    <row r="1211" s="1559" customFormat="1" x14ac:dyDescent="0.3"/>
    <row r="1212" s="1559" customFormat="1" x14ac:dyDescent="0.3"/>
    <row r="1213" s="1559" customFormat="1" x14ac:dyDescent="0.3"/>
    <row r="1214" s="1559" customFormat="1" x14ac:dyDescent="0.3"/>
    <row r="1215" s="1559" customFormat="1" x14ac:dyDescent="0.3"/>
    <row r="1216" s="1559" customFormat="1" x14ac:dyDescent="0.3"/>
    <row r="1217" s="1559" customFormat="1" x14ac:dyDescent="0.3"/>
    <row r="1218" s="1559" customFormat="1" x14ac:dyDescent="0.3"/>
    <row r="1219" s="1559" customFormat="1" x14ac:dyDescent="0.3"/>
    <row r="1220" s="1559" customFormat="1" x14ac:dyDescent="0.3"/>
    <row r="1221" s="1559" customFormat="1" x14ac:dyDescent="0.3"/>
    <row r="1222" s="1559" customFormat="1" x14ac:dyDescent="0.3"/>
    <row r="1223" s="1559" customFormat="1" x14ac:dyDescent="0.3"/>
    <row r="1224" s="1559" customFormat="1" x14ac:dyDescent="0.3"/>
    <row r="1225" s="1559" customFormat="1" x14ac:dyDescent="0.3"/>
    <row r="1226" s="1559" customFormat="1" x14ac:dyDescent="0.3"/>
    <row r="1227" s="1559" customFormat="1" x14ac:dyDescent="0.3"/>
    <row r="1228" s="1559" customFormat="1" x14ac:dyDescent="0.3"/>
    <row r="1229" s="1559" customFormat="1" x14ac:dyDescent="0.3"/>
    <row r="1230" s="1559" customFormat="1" x14ac:dyDescent="0.3"/>
    <row r="1231" s="1559" customFormat="1" x14ac:dyDescent="0.3"/>
    <row r="1232" s="1559" customFormat="1" x14ac:dyDescent="0.3"/>
    <row r="1233" s="1559" customFormat="1" x14ac:dyDescent="0.3"/>
    <row r="1234" s="1559" customFormat="1" x14ac:dyDescent="0.3"/>
    <row r="1235" s="1559" customFormat="1" x14ac:dyDescent="0.3"/>
    <row r="1236" s="1559" customFormat="1" x14ac:dyDescent="0.3"/>
    <row r="1237" s="1559" customFormat="1" x14ac:dyDescent="0.3"/>
    <row r="1238" s="1559" customFormat="1" x14ac:dyDescent="0.3"/>
    <row r="1239" s="1559" customFormat="1" x14ac:dyDescent="0.3"/>
    <row r="1240" s="1559" customFormat="1" x14ac:dyDescent="0.3"/>
    <row r="1241" s="1559" customFormat="1" x14ac:dyDescent="0.3"/>
    <row r="1242" s="1559" customFormat="1" x14ac:dyDescent="0.3"/>
    <row r="1243" s="1559" customFormat="1" x14ac:dyDescent="0.3"/>
    <row r="1244" s="1559" customFormat="1" x14ac:dyDescent="0.3"/>
    <row r="1245" s="1559" customFormat="1" x14ac:dyDescent="0.3"/>
    <row r="1246" s="1559" customFormat="1" x14ac:dyDescent="0.3"/>
    <row r="1247" s="1559" customFormat="1" x14ac:dyDescent="0.3"/>
    <row r="1248" s="1559" customFormat="1" x14ac:dyDescent="0.3"/>
    <row r="1249" s="1559" customFormat="1" x14ac:dyDescent="0.3"/>
    <row r="1250" s="1559" customFormat="1" x14ac:dyDescent="0.3"/>
    <row r="1251" s="1559" customFormat="1" x14ac:dyDescent="0.3"/>
    <row r="1252" s="1559" customFormat="1" x14ac:dyDescent="0.3"/>
    <row r="1253" s="1559" customFormat="1" x14ac:dyDescent="0.3"/>
    <row r="1254" s="1559" customFormat="1" x14ac:dyDescent="0.3"/>
    <row r="1255" s="1559" customFormat="1" x14ac:dyDescent="0.3"/>
    <row r="1256" s="1559" customFormat="1" x14ac:dyDescent="0.3"/>
    <row r="1257" s="1559" customFormat="1" x14ac:dyDescent="0.3"/>
    <row r="1258" s="1559" customFormat="1" x14ac:dyDescent="0.3"/>
    <row r="1259" s="1559" customFormat="1" x14ac:dyDescent="0.3"/>
    <row r="1260" s="1559" customFormat="1" x14ac:dyDescent="0.3"/>
    <row r="1261" s="1559" customFormat="1" x14ac:dyDescent="0.3"/>
    <row r="1262" s="1559" customFormat="1" x14ac:dyDescent="0.3"/>
    <row r="1263" s="1559" customFormat="1" x14ac:dyDescent="0.3"/>
    <row r="1264" s="1559" customFormat="1" x14ac:dyDescent="0.3"/>
    <row r="1265" s="1559" customFormat="1" x14ac:dyDescent="0.3"/>
    <row r="1266" s="1559" customFormat="1" x14ac:dyDescent="0.3"/>
    <row r="1267" s="1559" customFormat="1" x14ac:dyDescent="0.3"/>
    <row r="1268" s="1559" customFormat="1" x14ac:dyDescent="0.3"/>
    <row r="1269" s="1559" customFormat="1" x14ac:dyDescent="0.3"/>
    <row r="1270" s="1559" customFormat="1" x14ac:dyDescent="0.3"/>
    <row r="1271" s="1559" customFormat="1" x14ac:dyDescent="0.3"/>
    <row r="1272" s="1559" customFormat="1" x14ac:dyDescent="0.3"/>
    <row r="1273" s="1559" customFormat="1" x14ac:dyDescent="0.3"/>
    <row r="1274" s="1559" customFormat="1" x14ac:dyDescent="0.3"/>
    <row r="1275" s="1559" customFormat="1" x14ac:dyDescent="0.3"/>
    <row r="1276" s="1559" customFormat="1" x14ac:dyDescent="0.3"/>
    <row r="1277" s="1559" customFormat="1" x14ac:dyDescent="0.3"/>
    <row r="1278" s="1559" customFormat="1" x14ac:dyDescent="0.3"/>
    <row r="1279" s="1559" customFormat="1" x14ac:dyDescent="0.3"/>
    <row r="1280" s="1559" customFormat="1" x14ac:dyDescent="0.3"/>
    <row r="1281" s="1559" customFormat="1" x14ac:dyDescent="0.3"/>
    <row r="1282" s="1559" customFormat="1" x14ac:dyDescent="0.3"/>
    <row r="1283" s="1559" customFormat="1" x14ac:dyDescent="0.3"/>
    <row r="1284" s="1559" customFormat="1" x14ac:dyDescent="0.3"/>
    <row r="1285" s="1559" customFormat="1" x14ac:dyDescent="0.3"/>
    <row r="1286" s="1559" customFormat="1" x14ac:dyDescent="0.3"/>
    <row r="1287" s="1559" customFormat="1" x14ac:dyDescent="0.3"/>
    <row r="1288" s="1559" customFormat="1" x14ac:dyDescent="0.3"/>
    <row r="1289" s="1559" customFormat="1" x14ac:dyDescent="0.3"/>
    <row r="1290" s="1559" customFormat="1" x14ac:dyDescent="0.3"/>
    <row r="1291" s="1559" customFormat="1" x14ac:dyDescent="0.3"/>
    <row r="1292" s="1559" customFormat="1" x14ac:dyDescent="0.3"/>
    <row r="1293" s="1559" customFormat="1" x14ac:dyDescent="0.3"/>
    <row r="1294" s="1559" customFormat="1" x14ac:dyDescent="0.3"/>
    <row r="1295" s="1559" customFormat="1" x14ac:dyDescent="0.3"/>
    <row r="1296" s="1559" customFormat="1" x14ac:dyDescent="0.3"/>
    <row r="1297" s="1559" customFormat="1" x14ac:dyDescent="0.3"/>
    <row r="1298" s="1559" customFormat="1" x14ac:dyDescent="0.3"/>
    <row r="1299" s="1559" customFormat="1" x14ac:dyDescent="0.3"/>
    <row r="1300" s="1559" customFormat="1" x14ac:dyDescent="0.3"/>
    <row r="1301" s="1559" customFormat="1" x14ac:dyDescent="0.3"/>
    <row r="1302" s="1559" customFormat="1" x14ac:dyDescent="0.3"/>
    <row r="1303" s="1559" customFormat="1" x14ac:dyDescent="0.3"/>
    <row r="1304" s="1559" customFormat="1" x14ac:dyDescent="0.3"/>
    <row r="1305" s="1559" customFormat="1" x14ac:dyDescent="0.3"/>
    <row r="1306" s="1559" customFormat="1" x14ac:dyDescent="0.3"/>
    <row r="1307" s="1559" customFormat="1" x14ac:dyDescent="0.3"/>
    <row r="1308" s="1559" customFormat="1" x14ac:dyDescent="0.3"/>
    <row r="1309" s="1559" customFormat="1" x14ac:dyDescent="0.3"/>
    <row r="1310" s="1559" customFormat="1" x14ac:dyDescent="0.3"/>
    <row r="1311" s="1559" customFormat="1" x14ac:dyDescent="0.3"/>
    <row r="1312" s="1559" customFormat="1" x14ac:dyDescent="0.3"/>
    <row r="1313" s="1559" customFormat="1" x14ac:dyDescent="0.3"/>
    <row r="1314" s="1559" customFormat="1" x14ac:dyDescent="0.3"/>
    <row r="1315" s="1559" customFormat="1" x14ac:dyDescent="0.3"/>
    <row r="1316" s="1559" customFormat="1" x14ac:dyDescent="0.3"/>
    <row r="1317" s="1559" customFormat="1" x14ac:dyDescent="0.3"/>
    <row r="1318" s="1559" customFormat="1" x14ac:dyDescent="0.3"/>
    <row r="1319" s="1559" customFormat="1" x14ac:dyDescent="0.3"/>
    <row r="1320" s="1559" customFormat="1" x14ac:dyDescent="0.3"/>
    <row r="1321" s="1559" customFormat="1" x14ac:dyDescent="0.3"/>
    <row r="1322" s="1559" customFormat="1" x14ac:dyDescent="0.3"/>
    <row r="1323" s="1559" customFormat="1" x14ac:dyDescent="0.3"/>
    <row r="1324" s="1559" customFormat="1" x14ac:dyDescent="0.3"/>
    <row r="1325" s="1559" customFormat="1" x14ac:dyDescent="0.3"/>
    <row r="1326" s="1559" customFormat="1" x14ac:dyDescent="0.3"/>
    <row r="1327" s="1559" customFormat="1" x14ac:dyDescent="0.3"/>
    <row r="1328" s="1559" customFormat="1" x14ac:dyDescent="0.3"/>
    <row r="1329" s="1559" customFormat="1" x14ac:dyDescent="0.3"/>
    <row r="1330" s="1559" customFormat="1" x14ac:dyDescent="0.3"/>
    <row r="1331" s="1559" customFormat="1" x14ac:dyDescent="0.3"/>
    <row r="1332" s="1559" customFormat="1" x14ac:dyDescent="0.3"/>
    <row r="1333" s="1559" customFormat="1" x14ac:dyDescent="0.3"/>
    <row r="1334" s="1559" customFormat="1" x14ac:dyDescent="0.3"/>
    <row r="1335" s="1559" customFormat="1" x14ac:dyDescent="0.3"/>
    <row r="1336" s="1559" customFormat="1" x14ac:dyDescent="0.3"/>
    <row r="1337" s="1559" customFormat="1" x14ac:dyDescent="0.3"/>
    <row r="1338" s="1559" customFormat="1" x14ac:dyDescent="0.3"/>
    <row r="1339" s="1559" customFormat="1" x14ac:dyDescent="0.3"/>
    <row r="1340" s="1559" customFormat="1" x14ac:dyDescent="0.3"/>
    <row r="1341" s="1559" customFormat="1" x14ac:dyDescent="0.3"/>
    <row r="1342" s="1559" customFormat="1" x14ac:dyDescent="0.3"/>
    <row r="1343" s="1559" customFormat="1" x14ac:dyDescent="0.3"/>
    <row r="1344" s="1559" customFormat="1" x14ac:dyDescent="0.3"/>
    <row r="1345" s="1559" customFormat="1" x14ac:dyDescent="0.3"/>
    <row r="1346" s="1559" customFormat="1" x14ac:dyDescent="0.3"/>
    <row r="1347" s="1559" customFormat="1" x14ac:dyDescent="0.3"/>
    <row r="1348" s="1559" customFormat="1" x14ac:dyDescent="0.3"/>
    <row r="1349" s="1559" customFormat="1" x14ac:dyDescent="0.3"/>
    <row r="1350" s="1559" customFormat="1" x14ac:dyDescent="0.3"/>
    <row r="1351" s="1559" customFormat="1" x14ac:dyDescent="0.3"/>
    <row r="1352" s="1559" customFormat="1" x14ac:dyDescent="0.3"/>
    <row r="1353" s="1559" customFormat="1" x14ac:dyDescent="0.3"/>
    <row r="1354" s="1559" customFormat="1" x14ac:dyDescent="0.3"/>
    <row r="1355" s="1559" customFormat="1" x14ac:dyDescent="0.3"/>
    <row r="1356" s="1559" customFormat="1" x14ac:dyDescent="0.3"/>
    <row r="1357" s="1559" customFormat="1" x14ac:dyDescent="0.3"/>
    <row r="1358" s="1559" customFormat="1" x14ac:dyDescent="0.3"/>
    <row r="1359" s="1559" customFormat="1" x14ac:dyDescent="0.3"/>
    <row r="1360" s="1559" customFormat="1" x14ac:dyDescent="0.3"/>
    <row r="1361" s="1559" customFormat="1" x14ac:dyDescent="0.3"/>
    <row r="1362" s="1559" customFormat="1" x14ac:dyDescent="0.3"/>
    <row r="1363" s="1559" customFormat="1" x14ac:dyDescent="0.3"/>
    <row r="1364" s="1559" customFormat="1" x14ac:dyDescent="0.3"/>
    <row r="1365" s="1559" customFormat="1" x14ac:dyDescent="0.3"/>
    <row r="1366" s="1559" customFormat="1" x14ac:dyDescent="0.3"/>
    <row r="1367" s="1559" customFormat="1" x14ac:dyDescent="0.3"/>
    <row r="1368" s="1559" customFormat="1" x14ac:dyDescent="0.3"/>
    <row r="1369" s="1559" customFormat="1" x14ac:dyDescent="0.3"/>
    <row r="1370" s="1559" customFormat="1" x14ac:dyDescent="0.3"/>
    <row r="1371" s="1559" customFormat="1" x14ac:dyDescent="0.3"/>
    <row r="1372" s="1559" customFormat="1" x14ac:dyDescent="0.3"/>
    <row r="1373" s="1559" customFormat="1" x14ac:dyDescent="0.3"/>
    <row r="1374" s="1559" customFormat="1" x14ac:dyDescent="0.3"/>
    <row r="1375" s="1559" customFormat="1" x14ac:dyDescent="0.3"/>
    <row r="1376" s="1559" customFormat="1" x14ac:dyDescent="0.3"/>
    <row r="1377" s="1559" customFormat="1" x14ac:dyDescent="0.3"/>
    <row r="1378" s="1559" customFormat="1" x14ac:dyDescent="0.3"/>
    <row r="1379" s="1559" customFormat="1" x14ac:dyDescent="0.3"/>
    <row r="1380" s="1559" customFormat="1" x14ac:dyDescent="0.3"/>
    <row r="1381" s="1559" customFormat="1" x14ac:dyDescent="0.3"/>
    <row r="1382" s="1559" customFormat="1" x14ac:dyDescent="0.3"/>
    <row r="1383" s="1559" customFormat="1" x14ac:dyDescent="0.3"/>
    <row r="1384" s="1559" customFormat="1" x14ac:dyDescent="0.3"/>
    <row r="1385" s="1559" customFormat="1" x14ac:dyDescent="0.3"/>
    <row r="1386" s="1559" customFormat="1" x14ac:dyDescent="0.3"/>
    <row r="1387" s="1559" customFormat="1" x14ac:dyDescent="0.3"/>
    <row r="1388" s="1559" customFormat="1" x14ac:dyDescent="0.3"/>
    <row r="1389" s="1559" customFormat="1" x14ac:dyDescent="0.3"/>
    <row r="1390" s="1559" customFormat="1" x14ac:dyDescent="0.3"/>
    <row r="1391" s="1559" customFormat="1" x14ac:dyDescent="0.3"/>
    <row r="1392" s="1559" customFormat="1" x14ac:dyDescent="0.3"/>
    <row r="1393" s="1559" customFormat="1" x14ac:dyDescent="0.3"/>
    <row r="1394" s="1559" customFormat="1" x14ac:dyDescent="0.3"/>
    <row r="1395" s="1559" customFormat="1" x14ac:dyDescent="0.3"/>
    <row r="1396" s="1559" customFormat="1" x14ac:dyDescent="0.3"/>
    <row r="1397" s="1559" customFormat="1" x14ac:dyDescent="0.3"/>
    <row r="1398" s="1559" customFormat="1" x14ac:dyDescent="0.3"/>
    <row r="1399" s="1559" customFormat="1" x14ac:dyDescent="0.3"/>
    <row r="1400" s="1559" customFormat="1" x14ac:dyDescent="0.3"/>
    <row r="1401" s="1559" customFormat="1" x14ac:dyDescent="0.3"/>
    <row r="1402" s="1559" customFormat="1" x14ac:dyDescent="0.3"/>
    <row r="1403" s="1559" customFormat="1" x14ac:dyDescent="0.3"/>
    <row r="1404" s="1559" customFormat="1" x14ac:dyDescent="0.3"/>
    <row r="1405" s="1559" customFormat="1" x14ac:dyDescent="0.3"/>
    <row r="1406" s="1559" customFormat="1" x14ac:dyDescent="0.3"/>
    <row r="1407" s="1559" customFormat="1" x14ac:dyDescent="0.3"/>
    <row r="1408" s="1559" customFormat="1" x14ac:dyDescent="0.3"/>
    <row r="1409" s="1559" customFormat="1" x14ac:dyDescent="0.3"/>
    <row r="1410" s="1559" customFormat="1" x14ac:dyDescent="0.3"/>
    <row r="1411" s="1559" customFormat="1" x14ac:dyDescent="0.3"/>
    <row r="1412" s="1559" customFormat="1" x14ac:dyDescent="0.3"/>
    <row r="1413" s="1559" customFormat="1" x14ac:dyDescent="0.3"/>
    <row r="1414" s="1559" customFormat="1" x14ac:dyDescent="0.3"/>
    <row r="1415" s="1559" customFormat="1" x14ac:dyDescent="0.3"/>
    <row r="1416" s="1559" customFormat="1" x14ac:dyDescent="0.3"/>
    <row r="1417" s="1559" customFormat="1" x14ac:dyDescent="0.3"/>
    <row r="1418" s="1559" customFormat="1" x14ac:dyDescent="0.3"/>
    <row r="1419" s="1559" customFormat="1" x14ac:dyDescent="0.3"/>
    <row r="1420" s="1559" customFormat="1" x14ac:dyDescent="0.3"/>
    <row r="1421" s="1559" customFormat="1" x14ac:dyDescent="0.3"/>
    <row r="1422" s="1559" customFormat="1" x14ac:dyDescent="0.3"/>
    <row r="1423" s="1559" customFormat="1" x14ac:dyDescent="0.3"/>
    <row r="1424" s="1559" customFormat="1" x14ac:dyDescent="0.3"/>
    <row r="1425" s="1559" customFormat="1" x14ac:dyDescent="0.3"/>
    <row r="1426" s="1559" customFormat="1" x14ac:dyDescent="0.3"/>
    <row r="1427" s="1559" customFormat="1" x14ac:dyDescent="0.3"/>
    <row r="1428" s="1559" customFormat="1" x14ac:dyDescent="0.3"/>
    <row r="1429" s="1559" customFormat="1" x14ac:dyDescent="0.3"/>
    <row r="1430" s="1559" customFormat="1" x14ac:dyDescent="0.3"/>
    <row r="1431" s="1559" customFormat="1" x14ac:dyDescent="0.3"/>
    <row r="1432" s="1559" customFormat="1" x14ac:dyDescent="0.3"/>
    <row r="1433" s="1559" customFormat="1" x14ac:dyDescent="0.3"/>
    <row r="1434" s="1559" customFormat="1" x14ac:dyDescent="0.3"/>
    <row r="1435" s="1559" customFormat="1" x14ac:dyDescent="0.3"/>
    <row r="1436" s="1559" customFormat="1" x14ac:dyDescent="0.3"/>
    <row r="1437" s="1559" customFormat="1" x14ac:dyDescent="0.3"/>
    <row r="1438" s="1559" customFormat="1" x14ac:dyDescent="0.3"/>
    <row r="1439" s="1559" customFormat="1" x14ac:dyDescent="0.3"/>
    <row r="1440" s="1559" customFormat="1" x14ac:dyDescent="0.3"/>
    <row r="1441" s="1559" customFormat="1" x14ac:dyDescent="0.3"/>
    <row r="1442" s="1559" customFormat="1" x14ac:dyDescent="0.3"/>
    <row r="1443" s="1559" customFormat="1" x14ac:dyDescent="0.3"/>
    <row r="1444" s="1559" customFormat="1" x14ac:dyDescent="0.3"/>
    <row r="1445" s="1559" customFormat="1" x14ac:dyDescent="0.3"/>
    <row r="1446" s="1559" customFormat="1" x14ac:dyDescent="0.3"/>
    <row r="1447" s="1559" customFormat="1" x14ac:dyDescent="0.3"/>
    <row r="1448" s="1559" customFormat="1" x14ac:dyDescent="0.3"/>
    <row r="1449" s="1559" customFormat="1" x14ac:dyDescent="0.3"/>
    <row r="1450" s="1559" customFormat="1" x14ac:dyDescent="0.3"/>
    <row r="1451" s="1559" customFormat="1" x14ac:dyDescent="0.3"/>
    <row r="1452" s="1559" customFormat="1" x14ac:dyDescent="0.3"/>
    <row r="1453" s="1559" customFormat="1" x14ac:dyDescent="0.3"/>
    <row r="1454" s="1559" customFormat="1" x14ac:dyDescent="0.3"/>
    <row r="1455" s="1559" customFormat="1" x14ac:dyDescent="0.3"/>
    <row r="1456" s="1559" customFormat="1" x14ac:dyDescent="0.3"/>
    <row r="1457" s="1559" customFormat="1" x14ac:dyDescent="0.3"/>
    <row r="1458" s="1559" customFormat="1" x14ac:dyDescent="0.3"/>
    <row r="1459" s="1559" customFormat="1" x14ac:dyDescent="0.3"/>
    <row r="1460" s="1559" customFormat="1" x14ac:dyDescent="0.3"/>
    <row r="1461" s="1559" customFormat="1" x14ac:dyDescent="0.3"/>
    <row r="1462" s="1559" customFormat="1" x14ac:dyDescent="0.3"/>
    <row r="1463" s="1559" customFormat="1" x14ac:dyDescent="0.3"/>
    <row r="1464" s="1559" customFormat="1" x14ac:dyDescent="0.3"/>
    <row r="1465" s="1559" customFormat="1" x14ac:dyDescent="0.3"/>
    <row r="1466" s="1559" customFormat="1" x14ac:dyDescent="0.3"/>
    <row r="1467" s="1559" customFormat="1" x14ac:dyDescent="0.3"/>
    <row r="1468" s="1559" customFormat="1" x14ac:dyDescent="0.3"/>
    <row r="1469" s="1559" customFormat="1" x14ac:dyDescent="0.3"/>
    <row r="1470" s="1559" customFormat="1" x14ac:dyDescent="0.3"/>
    <row r="1471" s="1559" customFormat="1" x14ac:dyDescent="0.3"/>
    <row r="1472" s="1559" customFormat="1" x14ac:dyDescent="0.3"/>
    <row r="1473" s="1559" customFormat="1" x14ac:dyDescent="0.3"/>
    <row r="1474" s="1559" customFormat="1" x14ac:dyDescent="0.3"/>
    <row r="1475" s="1559" customFormat="1" x14ac:dyDescent="0.3"/>
    <row r="1476" s="1559" customFormat="1" x14ac:dyDescent="0.3"/>
    <row r="1477" s="1559" customFormat="1" x14ac:dyDescent="0.3"/>
    <row r="1478" s="1559" customFormat="1" x14ac:dyDescent="0.3"/>
    <row r="1479" s="1559" customFormat="1" x14ac:dyDescent="0.3"/>
    <row r="1480" s="1559" customFormat="1" x14ac:dyDescent="0.3"/>
    <row r="1481" s="1559" customFormat="1" x14ac:dyDescent="0.3"/>
    <row r="1482" s="1559" customFormat="1" x14ac:dyDescent="0.3"/>
    <row r="1483" s="1559" customFormat="1" x14ac:dyDescent="0.3"/>
    <row r="1484" s="1559" customFormat="1" x14ac:dyDescent="0.3"/>
    <row r="1485" s="1559" customFormat="1" x14ac:dyDescent="0.3"/>
    <row r="1486" s="1559" customFormat="1" x14ac:dyDescent="0.3"/>
    <row r="1487" s="1559" customFormat="1" x14ac:dyDescent="0.3"/>
    <row r="1488" s="1559" customFormat="1" x14ac:dyDescent="0.3"/>
    <row r="1489" s="1559" customFormat="1" x14ac:dyDescent="0.3"/>
    <row r="1490" s="1559" customFormat="1" x14ac:dyDescent="0.3"/>
    <row r="1491" s="1559" customFormat="1" x14ac:dyDescent="0.3"/>
    <row r="1492" s="1559" customFormat="1" x14ac:dyDescent="0.3"/>
    <row r="1493" s="1559" customFormat="1" x14ac:dyDescent="0.3"/>
    <row r="1494" s="1559" customFormat="1" x14ac:dyDescent="0.3"/>
    <row r="1495" s="1559" customFormat="1" x14ac:dyDescent="0.3"/>
    <row r="1496" s="1559" customFormat="1" x14ac:dyDescent="0.3"/>
    <row r="1497" s="1559" customFormat="1" x14ac:dyDescent="0.3"/>
    <row r="1498" s="1559" customFormat="1" x14ac:dyDescent="0.3"/>
    <row r="1499" s="1559" customFormat="1" x14ac:dyDescent="0.3"/>
    <row r="1500" s="1559" customFormat="1" x14ac:dyDescent="0.3"/>
    <row r="1501" s="1559" customFormat="1" x14ac:dyDescent="0.3"/>
    <row r="1502" s="1559" customFormat="1" x14ac:dyDescent="0.3"/>
    <row r="1503" s="1559" customFormat="1" x14ac:dyDescent="0.3"/>
    <row r="1504" s="1559" customFormat="1" x14ac:dyDescent="0.3"/>
    <row r="1505" s="1559" customFormat="1" x14ac:dyDescent="0.3"/>
    <row r="1506" s="1559" customFormat="1" x14ac:dyDescent="0.3"/>
    <row r="1507" s="1559" customFormat="1" x14ac:dyDescent="0.3"/>
    <row r="1508" s="1559" customFormat="1" x14ac:dyDescent="0.3"/>
    <row r="1509" s="1559" customFormat="1" x14ac:dyDescent="0.3"/>
    <row r="1510" s="1559" customFormat="1" x14ac:dyDescent="0.3"/>
    <row r="1511" s="1559" customFormat="1" x14ac:dyDescent="0.3"/>
    <row r="1512" s="1559" customFormat="1" x14ac:dyDescent="0.3"/>
    <row r="1513" s="1559" customFormat="1" x14ac:dyDescent="0.3"/>
    <row r="1514" s="1559" customFormat="1" x14ac:dyDescent="0.3"/>
    <row r="1515" s="1559" customFormat="1" x14ac:dyDescent="0.3"/>
    <row r="1516" s="1559" customFormat="1" x14ac:dyDescent="0.3"/>
    <row r="1517" s="1559" customFormat="1" x14ac:dyDescent="0.3"/>
    <row r="1518" s="1559" customFormat="1" x14ac:dyDescent="0.3"/>
    <row r="1519" s="1559" customFormat="1" x14ac:dyDescent="0.3"/>
    <row r="1520" s="1559" customFormat="1" x14ac:dyDescent="0.3"/>
    <row r="1521" s="1559" customFormat="1" x14ac:dyDescent="0.3"/>
    <row r="1522" s="1559" customFormat="1" x14ac:dyDescent="0.3"/>
    <row r="1523" s="1559" customFormat="1" x14ac:dyDescent="0.3"/>
    <row r="1524" s="1559" customFormat="1" x14ac:dyDescent="0.3"/>
    <row r="1525" s="1559" customFormat="1" x14ac:dyDescent="0.3"/>
    <row r="1526" s="1559" customFormat="1" x14ac:dyDescent="0.3"/>
    <row r="1527" s="1559" customFormat="1" x14ac:dyDescent="0.3"/>
    <row r="1528" s="1559" customFormat="1" x14ac:dyDescent="0.3"/>
    <row r="1529" s="1559" customFormat="1" x14ac:dyDescent="0.3"/>
    <row r="1530" s="1559" customFormat="1" x14ac:dyDescent="0.3"/>
    <row r="1531" s="1559" customFormat="1" x14ac:dyDescent="0.3"/>
    <row r="1532" s="1559" customFormat="1" x14ac:dyDescent="0.3"/>
    <row r="1533" s="1559" customFormat="1" x14ac:dyDescent="0.3"/>
    <row r="1534" s="1559" customFormat="1" x14ac:dyDescent="0.3"/>
    <row r="1535" s="1559" customFormat="1" x14ac:dyDescent="0.3"/>
    <row r="1536" s="1559" customFormat="1" x14ac:dyDescent="0.3"/>
    <row r="1537" s="1559" customFormat="1" x14ac:dyDescent="0.3"/>
    <row r="1538" s="1559" customFormat="1" x14ac:dyDescent="0.3"/>
    <row r="1539" s="1559" customFormat="1" x14ac:dyDescent="0.3"/>
    <row r="1540" s="1559" customFormat="1" x14ac:dyDescent="0.3"/>
    <row r="1541" s="1559" customFormat="1" x14ac:dyDescent="0.3"/>
    <row r="1542" s="1559" customFormat="1" x14ac:dyDescent="0.3"/>
    <row r="1543" s="1559" customFormat="1" x14ac:dyDescent="0.3"/>
    <row r="1544" s="1559" customFormat="1" x14ac:dyDescent="0.3"/>
    <row r="1545" s="1559" customFormat="1" x14ac:dyDescent="0.3"/>
    <row r="1546" s="1559" customFormat="1" x14ac:dyDescent="0.3"/>
    <row r="1547" s="1559" customFormat="1" x14ac:dyDescent="0.3"/>
    <row r="1548" s="1559" customFormat="1" x14ac:dyDescent="0.3"/>
    <row r="1549" s="1559" customFormat="1" x14ac:dyDescent="0.3"/>
    <row r="1550" s="1559" customFormat="1" x14ac:dyDescent="0.3"/>
    <row r="1551" s="1559" customFormat="1" x14ac:dyDescent="0.3"/>
    <row r="1552" s="1559" customFormat="1" x14ac:dyDescent="0.3"/>
    <row r="1553" s="1559" customFormat="1" x14ac:dyDescent="0.3"/>
    <row r="1554" s="1559" customFormat="1" x14ac:dyDescent="0.3"/>
    <row r="1555" s="1559" customFormat="1" x14ac:dyDescent="0.3"/>
    <row r="1556" s="1559" customFormat="1" x14ac:dyDescent="0.3"/>
    <row r="1557" s="1559" customFormat="1" x14ac:dyDescent="0.3"/>
    <row r="1558" s="1559" customFormat="1" x14ac:dyDescent="0.3"/>
    <row r="1559" s="1559" customFormat="1" x14ac:dyDescent="0.3"/>
    <row r="1560" s="1559" customFormat="1" x14ac:dyDescent="0.3"/>
    <row r="1561" s="1559" customFormat="1" x14ac:dyDescent="0.3"/>
    <row r="1562" s="1559" customFormat="1" x14ac:dyDescent="0.3"/>
    <row r="1563" s="1559" customFormat="1" x14ac:dyDescent="0.3"/>
    <row r="1564" s="1559" customFormat="1" x14ac:dyDescent="0.3"/>
    <row r="1565" s="1559" customFormat="1" x14ac:dyDescent="0.3"/>
    <row r="1566" s="1559" customFormat="1" x14ac:dyDescent="0.3"/>
    <row r="1567" s="1559" customFormat="1" x14ac:dyDescent="0.3"/>
    <row r="1568" s="1559" customFormat="1" x14ac:dyDescent="0.3"/>
    <row r="1569" s="1559" customFormat="1" x14ac:dyDescent="0.3"/>
    <row r="1570" s="1559" customFormat="1" x14ac:dyDescent="0.3"/>
    <row r="1571" s="1559" customFormat="1" x14ac:dyDescent="0.3"/>
    <row r="1572" s="1559" customFormat="1" x14ac:dyDescent="0.3"/>
    <row r="1573" s="1559" customFormat="1" x14ac:dyDescent="0.3"/>
    <row r="1574" s="1559" customFormat="1" x14ac:dyDescent="0.3"/>
    <row r="1575" s="1559" customFormat="1" x14ac:dyDescent="0.3"/>
    <row r="1576" s="1559" customFormat="1" x14ac:dyDescent="0.3"/>
    <row r="1577" s="1559" customFormat="1" x14ac:dyDescent="0.3"/>
    <row r="1578" s="1559" customFormat="1" x14ac:dyDescent="0.3"/>
    <row r="1579" s="1559" customFormat="1" x14ac:dyDescent="0.3"/>
    <row r="1580" s="1559" customFormat="1" x14ac:dyDescent="0.3"/>
    <row r="1581" s="1559" customFormat="1" x14ac:dyDescent="0.3"/>
    <row r="1582" s="1559" customFormat="1" x14ac:dyDescent="0.3"/>
    <row r="1583" s="1559" customFormat="1" x14ac:dyDescent="0.3"/>
    <row r="1584" s="1559" customFormat="1" x14ac:dyDescent="0.3"/>
    <row r="1585" s="1559" customFormat="1" x14ac:dyDescent="0.3"/>
    <row r="1586" s="1559" customFormat="1" x14ac:dyDescent="0.3"/>
    <row r="1587" s="1559" customFormat="1" x14ac:dyDescent="0.3"/>
    <row r="1588" s="1559" customFormat="1" x14ac:dyDescent="0.3"/>
    <row r="1589" s="1559" customFormat="1" x14ac:dyDescent="0.3"/>
    <row r="1590" s="1559" customFormat="1" x14ac:dyDescent="0.3"/>
    <row r="1591" s="1559" customFormat="1" x14ac:dyDescent="0.3"/>
    <row r="1592" s="1559" customFormat="1" x14ac:dyDescent="0.3"/>
    <row r="1593" s="1559" customFormat="1" x14ac:dyDescent="0.3"/>
    <row r="1594" s="1559" customFormat="1" x14ac:dyDescent="0.3"/>
    <row r="1595" s="1559" customFormat="1" x14ac:dyDescent="0.3"/>
    <row r="1596" s="1559" customFormat="1" x14ac:dyDescent="0.3"/>
    <row r="1597" s="1559" customFormat="1" x14ac:dyDescent="0.3"/>
    <row r="1598" s="1559" customFormat="1" x14ac:dyDescent="0.3"/>
    <row r="1599" s="1559" customFormat="1" x14ac:dyDescent="0.3"/>
    <row r="1600" s="1559" customFormat="1" x14ac:dyDescent="0.3"/>
    <row r="1601" s="1559" customFormat="1" x14ac:dyDescent="0.3"/>
    <row r="1602" s="1559" customFormat="1" x14ac:dyDescent="0.3"/>
    <row r="1603" s="1559" customFormat="1" x14ac:dyDescent="0.3"/>
    <row r="1604" s="1559" customFormat="1" x14ac:dyDescent="0.3"/>
    <row r="1605" s="1559" customFormat="1" x14ac:dyDescent="0.3"/>
    <row r="1606" s="1559" customFormat="1" x14ac:dyDescent="0.3"/>
    <row r="1607" s="1559" customFormat="1" x14ac:dyDescent="0.3"/>
    <row r="1608" s="1559" customFormat="1" x14ac:dyDescent="0.3"/>
    <row r="1609" s="1559" customFormat="1" x14ac:dyDescent="0.3"/>
    <row r="1610" s="1559" customFormat="1" x14ac:dyDescent="0.3"/>
    <row r="1611" s="1559" customFormat="1" x14ac:dyDescent="0.3"/>
    <row r="1612" s="1559" customFormat="1" x14ac:dyDescent="0.3"/>
    <row r="1613" s="1559" customFormat="1" x14ac:dyDescent="0.3"/>
    <row r="1614" s="1559" customFormat="1" x14ac:dyDescent="0.3"/>
    <row r="1615" s="1559" customFormat="1" x14ac:dyDescent="0.3"/>
    <row r="1616" s="1559" customFormat="1" x14ac:dyDescent="0.3"/>
    <row r="1617" s="1559" customFormat="1" x14ac:dyDescent="0.3"/>
    <row r="1618" s="1559" customFormat="1" x14ac:dyDescent="0.3"/>
    <row r="1619" s="1559" customFormat="1" x14ac:dyDescent="0.3"/>
    <row r="1620" s="1559" customFormat="1" x14ac:dyDescent="0.3"/>
    <row r="1621" s="1559" customFormat="1" x14ac:dyDescent="0.3"/>
    <row r="1622" s="1559" customFormat="1" x14ac:dyDescent="0.3"/>
    <row r="1623" s="1559" customFormat="1" x14ac:dyDescent="0.3"/>
    <row r="1624" s="1559" customFormat="1" x14ac:dyDescent="0.3"/>
    <row r="1625" s="1559" customFormat="1" x14ac:dyDescent="0.3"/>
    <row r="1626" s="1559" customFormat="1" x14ac:dyDescent="0.3"/>
    <row r="1627" s="1559" customFormat="1" x14ac:dyDescent="0.3"/>
    <row r="1628" s="1559" customFormat="1" x14ac:dyDescent="0.3"/>
    <row r="1629" s="1559" customFormat="1" x14ac:dyDescent="0.3"/>
    <row r="1630" s="1559" customFormat="1" x14ac:dyDescent="0.3"/>
    <row r="1631" s="1559" customFormat="1" x14ac:dyDescent="0.3"/>
    <row r="1632" s="1559" customFormat="1" x14ac:dyDescent="0.3"/>
    <row r="1633" s="1559" customFormat="1" x14ac:dyDescent="0.3"/>
    <row r="1634" s="1559" customFormat="1" x14ac:dyDescent="0.3"/>
    <row r="1635" s="1559" customFormat="1" x14ac:dyDescent="0.3"/>
    <row r="1636" s="1559" customFormat="1" x14ac:dyDescent="0.3"/>
    <row r="1637" s="1559" customFormat="1" x14ac:dyDescent="0.3"/>
    <row r="1638" s="1559" customFormat="1" x14ac:dyDescent="0.3"/>
    <row r="1639" s="1559" customFormat="1" x14ac:dyDescent="0.3"/>
    <row r="1640" s="1559" customFormat="1" x14ac:dyDescent="0.3"/>
    <row r="1641" s="1559" customFormat="1" x14ac:dyDescent="0.3"/>
    <row r="1642" s="1559" customFormat="1" x14ac:dyDescent="0.3"/>
    <row r="1643" s="1559" customFormat="1" x14ac:dyDescent="0.3"/>
    <row r="1644" s="1559" customFormat="1" x14ac:dyDescent="0.3"/>
    <row r="1645" s="1559" customFormat="1" x14ac:dyDescent="0.3"/>
    <row r="1646" s="1559" customFormat="1" x14ac:dyDescent="0.3"/>
    <row r="1647" s="1559" customFormat="1" x14ac:dyDescent="0.3"/>
    <row r="1648" s="1559" customFormat="1" x14ac:dyDescent="0.3"/>
    <row r="1649" s="1559" customFormat="1" x14ac:dyDescent="0.3"/>
    <row r="1650" s="1559" customFormat="1" x14ac:dyDescent="0.3"/>
    <row r="1651" s="1559" customFormat="1" x14ac:dyDescent="0.3"/>
    <row r="1652" s="1559" customFormat="1" x14ac:dyDescent="0.3"/>
    <row r="1653" s="1559" customFormat="1" x14ac:dyDescent="0.3"/>
    <row r="1654" s="1559" customFormat="1" x14ac:dyDescent="0.3"/>
    <row r="1655" s="1559" customFormat="1" x14ac:dyDescent="0.3"/>
    <row r="1656" s="1559" customFormat="1" x14ac:dyDescent="0.3"/>
    <row r="1657" s="1559" customFormat="1" x14ac:dyDescent="0.3"/>
    <row r="1658" s="1559" customFormat="1" x14ac:dyDescent="0.3"/>
    <row r="1659" s="1559" customFormat="1" x14ac:dyDescent="0.3"/>
    <row r="1660" s="1559" customFormat="1" x14ac:dyDescent="0.3"/>
    <row r="1661" s="1559" customFormat="1" x14ac:dyDescent="0.3"/>
    <row r="1662" s="1559" customFormat="1" x14ac:dyDescent="0.3"/>
    <row r="1663" s="1559" customFormat="1" x14ac:dyDescent="0.3"/>
    <row r="1664" s="1559" customFormat="1" x14ac:dyDescent="0.3"/>
    <row r="1665" s="1559" customFormat="1" x14ac:dyDescent="0.3"/>
    <row r="1666" s="1559" customFormat="1" x14ac:dyDescent="0.3"/>
    <row r="1667" s="1559" customFormat="1" x14ac:dyDescent="0.3"/>
    <row r="1668" s="1559" customFormat="1" x14ac:dyDescent="0.3"/>
    <row r="1669" s="1559" customFormat="1" x14ac:dyDescent="0.3"/>
    <row r="1670" s="1559" customFormat="1" x14ac:dyDescent="0.3"/>
    <row r="1671" s="1559" customFormat="1" x14ac:dyDescent="0.3"/>
    <row r="1672" s="1559" customFormat="1" x14ac:dyDescent="0.3"/>
    <row r="1673" s="1559" customFormat="1" x14ac:dyDescent="0.3"/>
    <row r="1674" s="1559" customFormat="1" x14ac:dyDescent="0.3"/>
    <row r="1675" s="1559" customFormat="1" x14ac:dyDescent="0.3"/>
    <row r="1676" s="1559" customFormat="1" x14ac:dyDescent="0.3"/>
    <row r="1677" s="1559" customFormat="1" x14ac:dyDescent="0.3"/>
    <row r="1678" s="1559" customFormat="1" x14ac:dyDescent="0.3"/>
    <row r="1679" s="1559" customFormat="1" x14ac:dyDescent="0.3"/>
    <row r="1680" s="1559" customFormat="1" x14ac:dyDescent="0.3"/>
    <row r="1681" s="1559" customFormat="1" x14ac:dyDescent="0.3"/>
    <row r="1682" s="1559" customFormat="1" x14ac:dyDescent="0.3"/>
    <row r="1683" s="1559" customFormat="1" x14ac:dyDescent="0.3"/>
    <row r="1684" s="1559" customFormat="1" x14ac:dyDescent="0.3"/>
    <row r="1685" s="1559" customFormat="1" x14ac:dyDescent="0.3"/>
    <row r="1686" s="1559" customFormat="1" x14ac:dyDescent="0.3"/>
    <row r="1687" s="1559" customFormat="1" x14ac:dyDescent="0.3"/>
    <row r="1688" s="1559" customFormat="1" x14ac:dyDescent="0.3"/>
    <row r="1689" s="1559" customFormat="1" x14ac:dyDescent="0.3"/>
    <row r="1690" s="1559" customFormat="1" x14ac:dyDescent="0.3"/>
    <row r="1691" s="1559" customFormat="1" x14ac:dyDescent="0.3"/>
    <row r="1692" s="1559" customFormat="1" x14ac:dyDescent="0.3"/>
    <row r="1693" s="1559" customFormat="1" x14ac:dyDescent="0.3"/>
    <row r="1694" s="1559" customFormat="1" x14ac:dyDescent="0.3"/>
    <row r="1695" s="1559" customFormat="1" x14ac:dyDescent="0.3"/>
    <row r="1696" s="1559" customFormat="1" x14ac:dyDescent="0.3"/>
    <row r="1697" s="1559" customFormat="1" x14ac:dyDescent="0.3"/>
    <row r="1698" s="1559" customFormat="1" x14ac:dyDescent="0.3"/>
    <row r="1699" s="1559" customFormat="1" x14ac:dyDescent="0.3"/>
    <row r="1700" s="1559" customFormat="1" x14ac:dyDescent="0.3"/>
    <row r="1701" s="1559" customFormat="1" x14ac:dyDescent="0.3"/>
    <row r="1702" s="1559" customFormat="1" x14ac:dyDescent="0.3"/>
    <row r="1703" s="1559" customFormat="1" x14ac:dyDescent="0.3"/>
    <row r="1704" s="1559" customFormat="1" x14ac:dyDescent="0.3"/>
    <row r="1705" s="1559" customFormat="1" x14ac:dyDescent="0.3"/>
    <row r="1706" s="1559" customFormat="1" x14ac:dyDescent="0.3"/>
    <row r="1707" s="1559" customFormat="1" x14ac:dyDescent="0.3"/>
    <row r="1708" s="1559" customFormat="1" x14ac:dyDescent="0.3"/>
    <row r="1709" s="1559" customFormat="1" x14ac:dyDescent="0.3"/>
    <row r="1710" s="1559" customFormat="1" x14ac:dyDescent="0.3"/>
    <row r="1711" s="1559" customFormat="1" x14ac:dyDescent="0.3"/>
    <row r="1712" s="1559" customFormat="1" x14ac:dyDescent="0.3"/>
    <row r="1713" s="1559" customFormat="1" x14ac:dyDescent="0.3"/>
    <row r="1714" s="1559" customFormat="1" x14ac:dyDescent="0.3"/>
    <row r="1715" s="1559" customFormat="1" x14ac:dyDescent="0.3"/>
    <row r="1716" s="1559" customFormat="1" x14ac:dyDescent="0.3"/>
    <row r="1717" s="1559" customFormat="1" x14ac:dyDescent="0.3"/>
    <row r="1718" s="1559" customFormat="1" x14ac:dyDescent="0.3"/>
    <row r="1719" s="1559" customFormat="1" x14ac:dyDescent="0.3"/>
    <row r="1720" s="1559" customFormat="1" x14ac:dyDescent="0.3"/>
    <row r="1721" s="1559" customFormat="1" x14ac:dyDescent="0.3"/>
    <row r="1722" s="1559" customFormat="1" x14ac:dyDescent="0.3"/>
    <row r="1723" s="1559" customFormat="1" x14ac:dyDescent="0.3"/>
    <row r="1724" s="1559" customFormat="1" x14ac:dyDescent="0.3"/>
    <row r="1725" s="1559" customFormat="1" x14ac:dyDescent="0.3"/>
    <row r="1726" s="1559" customFormat="1" x14ac:dyDescent="0.3"/>
    <row r="1727" s="1559" customFormat="1" x14ac:dyDescent="0.3"/>
    <row r="1728" s="1559" customFormat="1" x14ac:dyDescent="0.3"/>
    <row r="1729" s="1559" customFormat="1" x14ac:dyDescent="0.3"/>
    <row r="1730" s="1559" customFormat="1" x14ac:dyDescent="0.3"/>
    <row r="1731" s="1559" customFormat="1" x14ac:dyDescent="0.3"/>
    <row r="1732" s="1559" customFormat="1" x14ac:dyDescent="0.3"/>
    <row r="1733" s="1559" customFormat="1" x14ac:dyDescent="0.3"/>
    <row r="1734" s="1559" customFormat="1" x14ac:dyDescent="0.3"/>
    <row r="1735" s="1559" customFormat="1" x14ac:dyDescent="0.3"/>
    <row r="1736" s="1559" customFormat="1" x14ac:dyDescent="0.3"/>
    <row r="1737" s="1559" customFormat="1" x14ac:dyDescent="0.3"/>
    <row r="1738" s="1559" customFormat="1" x14ac:dyDescent="0.3"/>
    <row r="1739" s="1559" customFormat="1" x14ac:dyDescent="0.3"/>
    <row r="1740" s="1559" customFormat="1" x14ac:dyDescent="0.3"/>
    <row r="1741" s="1559" customFormat="1" x14ac:dyDescent="0.3"/>
    <row r="1742" s="1559" customFormat="1" x14ac:dyDescent="0.3"/>
    <row r="1743" s="1559" customFormat="1" x14ac:dyDescent="0.3"/>
    <row r="1744" s="1559" customFormat="1" x14ac:dyDescent="0.3"/>
    <row r="1745" s="1559" customFormat="1" x14ac:dyDescent="0.3"/>
    <row r="1746" s="1559" customFormat="1" x14ac:dyDescent="0.3"/>
    <row r="1747" s="1559" customFormat="1" x14ac:dyDescent="0.3"/>
    <row r="1748" s="1559" customFormat="1" x14ac:dyDescent="0.3"/>
    <row r="1749" s="1559" customFormat="1" x14ac:dyDescent="0.3"/>
    <row r="1750" s="1559" customFormat="1" x14ac:dyDescent="0.3"/>
    <row r="1751" s="1559" customFormat="1" x14ac:dyDescent="0.3"/>
    <row r="1752" s="1559" customFormat="1" x14ac:dyDescent="0.3"/>
    <row r="1753" s="1559" customFormat="1" x14ac:dyDescent="0.3"/>
    <row r="1754" s="1559" customFormat="1" x14ac:dyDescent="0.3"/>
    <row r="1755" s="1559" customFormat="1" x14ac:dyDescent="0.3"/>
    <row r="1756" s="1559" customFormat="1" x14ac:dyDescent="0.3"/>
    <row r="1757" s="1559" customFormat="1" x14ac:dyDescent="0.3"/>
    <row r="1758" s="1559" customFormat="1" x14ac:dyDescent="0.3"/>
    <row r="1759" s="1559" customFormat="1" x14ac:dyDescent="0.3"/>
    <row r="1760" s="1559" customFormat="1" x14ac:dyDescent="0.3"/>
    <row r="1761" s="1559" customFormat="1" x14ac:dyDescent="0.3"/>
    <row r="1762" s="1559" customFormat="1" x14ac:dyDescent="0.3"/>
    <row r="1763" s="1559" customFormat="1" x14ac:dyDescent="0.3"/>
    <row r="1764" s="1559" customFormat="1" x14ac:dyDescent="0.3"/>
    <row r="1765" s="1559" customFormat="1" x14ac:dyDescent="0.3"/>
    <row r="1766" s="1559" customFormat="1" x14ac:dyDescent="0.3"/>
    <row r="1767" s="1559" customFormat="1" x14ac:dyDescent="0.3"/>
    <row r="1768" s="1559" customFormat="1" x14ac:dyDescent="0.3"/>
    <row r="1769" s="1559" customFormat="1" x14ac:dyDescent="0.3"/>
    <row r="1770" s="1559" customFormat="1" x14ac:dyDescent="0.3"/>
    <row r="1771" s="1559" customFormat="1" x14ac:dyDescent="0.3"/>
    <row r="1772" s="1559" customFormat="1" x14ac:dyDescent="0.3"/>
    <row r="1773" s="1559" customFormat="1" x14ac:dyDescent="0.3"/>
    <row r="1774" s="1559" customFormat="1" x14ac:dyDescent="0.3"/>
    <row r="1775" s="1559" customFormat="1" x14ac:dyDescent="0.3"/>
    <row r="1776" s="1559" customFormat="1" x14ac:dyDescent="0.3"/>
    <row r="1777" s="1559" customFormat="1" x14ac:dyDescent="0.3"/>
    <row r="1778" s="1559" customFormat="1" x14ac:dyDescent="0.3"/>
    <row r="1779" s="1559" customFormat="1" x14ac:dyDescent="0.3"/>
    <row r="1780" s="1559" customFormat="1" x14ac:dyDescent="0.3"/>
    <row r="1781" s="1559" customFormat="1" x14ac:dyDescent="0.3"/>
    <row r="1782" s="1559" customFormat="1" x14ac:dyDescent="0.3"/>
    <row r="1783" s="1559" customFormat="1" x14ac:dyDescent="0.3"/>
    <row r="1784" s="1559" customFormat="1" x14ac:dyDescent="0.3"/>
    <row r="1785" s="1559" customFormat="1" x14ac:dyDescent="0.3"/>
    <row r="1786" s="1559" customFormat="1" x14ac:dyDescent="0.3"/>
    <row r="1787" s="1559" customFormat="1" x14ac:dyDescent="0.3"/>
    <row r="1788" s="1559" customFormat="1" x14ac:dyDescent="0.3"/>
    <row r="1789" s="1559" customFormat="1" x14ac:dyDescent="0.3"/>
    <row r="1790" s="1559" customFormat="1" x14ac:dyDescent="0.3"/>
    <row r="1791" s="1559" customFormat="1" x14ac:dyDescent="0.3"/>
    <row r="1792" s="1559" customFormat="1" x14ac:dyDescent="0.3"/>
    <row r="1793" s="1559" customFormat="1" x14ac:dyDescent="0.3"/>
    <row r="1794" s="1559" customFormat="1" x14ac:dyDescent="0.3"/>
    <row r="1795" s="1559" customFormat="1" x14ac:dyDescent="0.3"/>
    <row r="1796" s="1559" customFormat="1" x14ac:dyDescent="0.3"/>
    <row r="1797" s="1559" customFormat="1" x14ac:dyDescent="0.3"/>
    <row r="1798" s="1559" customFormat="1" x14ac:dyDescent="0.3"/>
    <row r="1799" s="1559" customFormat="1" x14ac:dyDescent="0.3"/>
    <row r="1800" s="1559" customFormat="1" x14ac:dyDescent="0.3"/>
    <row r="1801" s="1559" customFormat="1" x14ac:dyDescent="0.3"/>
    <row r="1802" s="1559" customFormat="1" x14ac:dyDescent="0.3"/>
    <row r="1803" s="1559" customFormat="1" x14ac:dyDescent="0.3"/>
    <row r="1804" s="1559" customFormat="1" x14ac:dyDescent="0.3"/>
    <row r="1805" s="1559" customFormat="1" x14ac:dyDescent="0.3"/>
    <row r="1806" s="1559" customFormat="1" x14ac:dyDescent="0.3"/>
    <row r="1807" s="1559" customFormat="1" x14ac:dyDescent="0.3"/>
    <row r="1808" s="1559" customFormat="1" x14ac:dyDescent="0.3"/>
    <row r="1809" s="1559" customFormat="1" x14ac:dyDescent="0.3"/>
    <row r="1810" s="1559" customFormat="1" x14ac:dyDescent="0.3"/>
    <row r="1811" s="1559" customFormat="1" x14ac:dyDescent="0.3"/>
    <row r="1812" s="1559" customFormat="1" x14ac:dyDescent="0.3"/>
    <row r="1813" s="1559" customFormat="1" x14ac:dyDescent="0.3"/>
    <row r="1814" s="1559" customFormat="1" x14ac:dyDescent="0.3"/>
    <row r="1815" s="1559" customFormat="1" x14ac:dyDescent="0.3"/>
    <row r="1816" s="1559" customFormat="1" x14ac:dyDescent="0.3"/>
    <row r="1817" s="1559" customFormat="1" x14ac:dyDescent="0.3"/>
    <row r="1818" s="1559" customFormat="1" x14ac:dyDescent="0.3"/>
    <row r="1819" s="1559" customFormat="1" x14ac:dyDescent="0.3"/>
    <row r="1820" s="1559" customFormat="1" x14ac:dyDescent="0.3"/>
    <row r="1821" s="1559" customFormat="1" x14ac:dyDescent="0.3"/>
    <row r="1822" s="1559" customFormat="1" x14ac:dyDescent="0.3"/>
    <row r="1823" s="1559" customFormat="1" x14ac:dyDescent="0.3"/>
    <row r="1824" s="1559" customFormat="1" x14ac:dyDescent="0.3"/>
    <row r="1825" s="1559" customFormat="1" x14ac:dyDescent="0.3"/>
    <row r="1826" s="1559" customFormat="1" x14ac:dyDescent="0.3"/>
    <row r="1827" s="1559" customFormat="1" x14ac:dyDescent="0.3"/>
    <row r="1828" s="1559" customFormat="1" x14ac:dyDescent="0.3"/>
    <row r="1829" s="1559" customFormat="1" x14ac:dyDescent="0.3"/>
    <row r="1830" s="1559" customFormat="1" x14ac:dyDescent="0.3"/>
    <row r="1831" s="1559" customFormat="1" x14ac:dyDescent="0.3"/>
    <row r="1832" s="1559" customFormat="1" x14ac:dyDescent="0.3"/>
    <row r="1833" s="1559" customFormat="1" x14ac:dyDescent="0.3"/>
    <row r="1834" s="1559" customFormat="1" x14ac:dyDescent="0.3"/>
    <row r="1835" s="1559" customFormat="1" x14ac:dyDescent="0.3"/>
    <row r="1836" s="1559" customFormat="1" x14ac:dyDescent="0.3"/>
    <row r="1837" s="1559" customFormat="1" x14ac:dyDescent="0.3"/>
    <row r="1838" s="1559" customFormat="1" x14ac:dyDescent="0.3"/>
    <row r="1839" s="1559" customFormat="1" x14ac:dyDescent="0.3"/>
    <row r="1840" s="1559" customFormat="1" x14ac:dyDescent="0.3"/>
    <row r="1841" s="1559" customFormat="1" x14ac:dyDescent="0.3"/>
    <row r="1842" s="1559" customFormat="1" x14ac:dyDescent="0.3"/>
    <row r="1843" s="1559" customFormat="1" x14ac:dyDescent="0.3"/>
    <row r="1844" s="1559" customFormat="1" x14ac:dyDescent="0.3"/>
    <row r="1845" s="1559" customFormat="1" x14ac:dyDescent="0.3"/>
    <row r="1846" s="1559" customFormat="1" x14ac:dyDescent="0.3"/>
    <row r="1847" s="1559" customFormat="1" x14ac:dyDescent="0.3"/>
    <row r="1848" s="1559" customFormat="1" x14ac:dyDescent="0.3"/>
    <row r="1849" s="1559" customFormat="1" x14ac:dyDescent="0.3"/>
    <row r="1850" s="1559" customFormat="1" x14ac:dyDescent="0.3"/>
    <row r="1851" s="1559" customFormat="1" x14ac:dyDescent="0.3"/>
    <row r="1852" s="1559" customFormat="1" x14ac:dyDescent="0.3"/>
    <row r="1853" s="1559" customFormat="1" x14ac:dyDescent="0.3"/>
    <row r="1854" s="1559" customFormat="1" x14ac:dyDescent="0.3"/>
    <row r="1855" s="1559" customFormat="1" x14ac:dyDescent="0.3"/>
    <row r="1856" s="1559" customFormat="1" x14ac:dyDescent="0.3"/>
    <row r="1857" s="1559" customFormat="1" x14ac:dyDescent="0.3"/>
    <row r="1858" s="1559" customFormat="1" x14ac:dyDescent="0.3"/>
    <row r="1859" s="1559" customFormat="1" x14ac:dyDescent="0.3"/>
    <row r="1860" s="1559" customFormat="1" x14ac:dyDescent="0.3"/>
    <row r="1861" s="1559" customFormat="1" x14ac:dyDescent="0.3"/>
    <row r="1862" s="1559" customFormat="1" x14ac:dyDescent="0.3"/>
    <row r="1863" s="1559" customFormat="1" x14ac:dyDescent="0.3"/>
    <row r="1864" s="1559" customFormat="1" x14ac:dyDescent="0.3"/>
    <row r="1865" s="1559" customFormat="1" x14ac:dyDescent="0.3"/>
    <row r="1866" s="1559" customFormat="1" x14ac:dyDescent="0.3"/>
    <row r="1867" s="1559" customFormat="1" x14ac:dyDescent="0.3"/>
    <row r="1868" s="1559" customFormat="1" x14ac:dyDescent="0.3"/>
    <row r="1869" s="1559" customFormat="1" x14ac:dyDescent="0.3"/>
    <row r="1870" s="1559" customFormat="1" x14ac:dyDescent="0.3"/>
    <row r="1871" s="1559" customFormat="1" x14ac:dyDescent="0.3"/>
    <row r="1872" s="1559" customFormat="1" x14ac:dyDescent="0.3"/>
    <row r="1873" s="1559" customFormat="1" x14ac:dyDescent="0.3"/>
    <row r="1874" s="1559" customFormat="1" x14ac:dyDescent="0.3"/>
    <row r="1875" s="1559" customFormat="1" x14ac:dyDescent="0.3"/>
    <row r="1876" s="1559" customFormat="1" x14ac:dyDescent="0.3"/>
    <row r="1877" s="1559" customFormat="1" x14ac:dyDescent="0.3"/>
    <row r="1878" s="1559" customFormat="1" x14ac:dyDescent="0.3"/>
    <row r="1879" s="1559" customFormat="1" x14ac:dyDescent="0.3"/>
    <row r="1880" s="1559" customFormat="1" x14ac:dyDescent="0.3"/>
    <row r="1881" s="1559" customFormat="1" x14ac:dyDescent="0.3"/>
    <row r="1882" s="1559" customFormat="1" x14ac:dyDescent="0.3"/>
    <row r="1883" s="1559" customFormat="1" x14ac:dyDescent="0.3"/>
    <row r="1884" s="1559" customFormat="1" x14ac:dyDescent="0.3"/>
    <row r="1885" s="1559" customFormat="1" x14ac:dyDescent="0.3"/>
    <row r="1886" s="1559" customFormat="1" x14ac:dyDescent="0.3"/>
    <row r="1887" s="1559" customFormat="1" x14ac:dyDescent="0.3"/>
    <row r="1888" s="1559" customFormat="1" x14ac:dyDescent="0.3"/>
    <row r="1889" s="1559" customFormat="1" x14ac:dyDescent="0.3"/>
    <row r="1890" s="1559" customFormat="1" x14ac:dyDescent="0.3"/>
    <row r="1891" s="1559" customFormat="1" x14ac:dyDescent="0.3"/>
    <row r="1892" s="1559" customFormat="1" x14ac:dyDescent="0.3"/>
    <row r="1893" s="1559" customFormat="1" x14ac:dyDescent="0.3"/>
    <row r="1894" s="1559" customFormat="1" x14ac:dyDescent="0.3"/>
    <row r="1895" s="1559" customFormat="1" x14ac:dyDescent="0.3"/>
    <row r="1896" s="1559" customFormat="1" x14ac:dyDescent="0.3"/>
    <row r="1897" s="1559" customFormat="1" x14ac:dyDescent="0.3"/>
    <row r="1898" s="1559" customFormat="1" x14ac:dyDescent="0.3"/>
    <row r="1899" s="1559" customFormat="1" x14ac:dyDescent="0.3"/>
    <row r="1900" s="1559" customFormat="1" x14ac:dyDescent="0.3"/>
    <row r="1901" s="1559" customFormat="1" x14ac:dyDescent="0.3"/>
    <row r="1902" s="1559" customFormat="1" x14ac:dyDescent="0.3"/>
    <row r="1903" s="1559" customFormat="1" x14ac:dyDescent="0.3"/>
    <row r="1904" s="1559" customFormat="1" x14ac:dyDescent="0.3"/>
    <row r="1905" s="1559" customFormat="1" x14ac:dyDescent="0.3"/>
    <row r="1906" s="1559" customFormat="1" x14ac:dyDescent="0.3"/>
    <row r="1907" s="1559" customFormat="1" x14ac:dyDescent="0.3"/>
    <row r="1908" s="1559" customFormat="1" x14ac:dyDescent="0.3"/>
    <row r="1909" s="1559" customFormat="1" x14ac:dyDescent="0.3"/>
    <row r="1910" s="1559" customFormat="1" x14ac:dyDescent="0.3"/>
    <row r="1911" s="1559" customFormat="1" x14ac:dyDescent="0.3"/>
    <row r="1912" s="1559" customFormat="1" x14ac:dyDescent="0.3"/>
    <row r="1913" s="1559" customFormat="1" x14ac:dyDescent="0.3"/>
    <row r="1914" s="1559" customFormat="1" x14ac:dyDescent="0.3"/>
    <row r="1915" s="1559" customFormat="1" x14ac:dyDescent="0.3"/>
    <row r="1916" s="1559" customFormat="1" x14ac:dyDescent="0.3"/>
    <row r="1917" s="1559" customFormat="1" x14ac:dyDescent="0.3"/>
    <row r="1918" s="1559" customFormat="1" x14ac:dyDescent="0.3"/>
    <row r="1919" s="1559" customFormat="1" x14ac:dyDescent="0.3"/>
    <row r="1920" s="1559" customFormat="1" x14ac:dyDescent="0.3"/>
    <row r="1921" s="1559" customFormat="1" x14ac:dyDescent="0.3"/>
    <row r="1922" s="1559" customFormat="1" x14ac:dyDescent="0.3"/>
    <row r="1923" s="1559" customFormat="1" x14ac:dyDescent="0.3"/>
    <row r="1924" s="1559" customFormat="1" x14ac:dyDescent="0.3"/>
    <row r="1925" s="1559" customFormat="1" x14ac:dyDescent="0.3"/>
    <row r="1926" s="1559" customFormat="1" x14ac:dyDescent="0.3"/>
    <row r="1927" s="1559" customFormat="1" x14ac:dyDescent="0.3"/>
    <row r="1928" s="1559" customFormat="1" x14ac:dyDescent="0.3"/>
    <row r="1929" s="1559" customFormat="1" x14ac:dyDescent="0.3"/>
    <row r="1930" s="1559" customFormat="1" x14ac:dyDescent="0.3"/>
    <row r="1931" s="1559" customFormat="1" x14ac:dyDescent="0.3"/>
    <row r="1932" s="1559" customFormat="1" x14ac:dyDescent="0.3"/>
    <row r="1933" s="1559" customFormat="1" x14ac:dyDescent="0.3"/>
    <row r="1934" s="1559" customFormat="1" x14ac:dyDescent="0.3"/>
    <row r="1935" s="1559" customFormat="1" x14ac:dyDescent="0.3"/>
    <row r="1936" s="1559" customFormat="1" x14ac:dyDescent="0.3"/>
    <row r="1937" s="1559" customFormat="1" x14ac:dyDescent="0.3"/>
    <row r="1938" s="1559" customFormat="1" x14ac:dyDescent="0.3"/>
    <row r="1939" s="1559" customFormat="1" x14ac:dyDescent="0.3"/>
    <row r="1940" s="1559" customFormat="1" x14ac:dyDescent="0.3"/>
    <row r="1941" s="1559" customFormat="1" x14ac:dyDescent="0.3"/>
    <row r="1942" s="1559" customFormat="1" x14ac:dyDescent="0.3"/>
    <row r="1943" s="1559" customFormat="1" x14ac:dyDescent="0.3"/>
    <row r="1944" s="1559" customFormat="1" x14ac:dyDescent="0.3"/>
    <row r="1945" s="1559" customFormat="1" x14ac:dyDescent="0.3"/>
    <row r="1946" s="1559" customFormat="1" x14ac:dyDescent="0.3"/>
    <row r="1947" s="1559" customFormat="1" x14ac:dyDescent="0.3"/>
    <row r="1948" s="1559" customFormat="1" x14ac:dyDescent="0.3"/>
    <row r="1949" s="1559" customFormat="1" x14ac:dyDescent="0.3"/>
    <row r="1950" s="1559" customFormat="1" x14ac:dyDescent="0.3"/>
    <row r="1951" s="1559" customFormat="1" x14ac:dyDescent="0.3"/>
    <row r="1952" s="1559" customFormat="1" x14ac:dyDescent="0.3"/>
    <row r="1953" s="1559" customFormat="1" x14ac:dyDescent="0.3"/>
    <row r="1954" s="1559" customFormat="1" x14ac:dyDescent="0.3"/>
    <row r="1955" s="1559" customFormat="1" x14ac:dyDescent="0.3"/>
    <row r="1956" s="1559" customFormat="1" x14ac:dyDescent="0.3"/>
    <row r="1957" s="1559" customFormat="1" x14ac:dyDescent="0.3"/>
    <row r="1958" s="1559" customFormat="1" x14ac:dyDescent="0.3"/>
    <row r="1959" s="1559" customFormat="1" x14ac:dyDescent="0.3"/>
    <row r="1960" s="1559" customFormat="1" x14ac:dyDescent="0.3"/>
    <row r="1961" s="1559" customFormat="1" x14ac:dyDescent="0.3"/>
    <row r="1962" s="1559" customFormat="1" x14ac:dyDescent="0.3"/>
    <row r="1963" s="1559" customFormat="1" x14ac:dyDescent="0.3"/>
    <row r="1964" s="1559" customFormat="1" x14ac:dyDescent="0.3"/>
    <row r="1965" s="1559" customFormat="1" x14ac:dyDescent="0.3"/>
    <row r="1966" s="1559" customFormat="1" x14ac:dyDescent="0.3"/>
    <row r="1967" s="1559" customFormat="1" x14ac:dyDescent="0.3"/>
    <row r="1968" s="1559" customFormat="1" x14ac:dyDescent="0.3"/>
    <row r="1969" s="1559" customFormat="1" x14ac:dyDescent="0.3"/>
    <row r="1970" s="1559" customFormat="1" x14ac:dyDescent="0.3"/>
    <row r="1971" s="1559" customFormat="1" x14ac:dyDescent="0.3"/>
    <row r="1972" s="1559" customFormat="1" x14ac:dyDescent="0.3"/>
    <row r="1973" s="1559" customFormat="1" x14ac:dyDescent="0.3"/>
    <row r="1974" s="1559" customFormat="1" x14ac:dyDescent="0.3"/>
    <row r="1975" s="1559" customFormat="1" x14ac:dyDescent="0.3"/>
    <row r="1976" s="1559" customFormat="1" x14ac:dyDescent="0.3"/>
    <row r="1977" s="1559" customFormat="1" x14ac:dyDescent="0.3"/>
    <row r="1978" s="1559" customFormat="1" x14ac:dyDescent="0.3"/>
    <row r="1979" s="1559" customFormat="1" x14ac:dyDescent="0.3"/>
    <row r="1980" s="1559" customFormat="1" x14ac:dyDescent="0.3"/>
    <row r="1981" s="1559" customFormat="1" x14ac:dyDescent="0.3"/>
    <row r="1982" s="1559" customFormat="1" x14ac:dyDescent="0.3"/>
    <row r="1983" s="1559" customFormat="1" x14ac:dyDescent="0.3"/>
    <row r="1984" s="1559" customFormat="1" x14ac:dyDescent="0.3"/>
    <row r="1985" s="1559" customFormat="1" x14ac:dyDescent="0.3"/>
    <row r="1986" s="1559" customFormat="1" x14ac:dyDescent="0.3"/>
    <row r="1987" s="1559" customFormat="1" x14ac:dyDescent="0.3"/>
    <row r="1988" s="1559" customFormat="1" x14ac:dyDescent="0.3"/>
    <row r="1989" s="1559" customFormat="1" x14ac:dyDescent="0.3"/>
    <row r="1990" s="1559" customFormat="1" x14ac:dyDescent="0.3"/>
    <row r="1991" s="1559" customFormat="1" x14ac:dyDescent="0.3"/>
    <row r="1992" s="1559" customFormat="1" x14ac:dyDescent="0.3"/>
    <row r="1993" s="1559" customFormat="1" x14ac:dyDescent="0.3"/>
    <row r="1994" s="1559" customFormat="1" x14ac:dyDescent="0.3"/>
    <row r="1995" s="1559" customFormat="1" x14ac:dyDescent="0.3"/>
    <row r="1996" s="1559" customFormat="1" x14ac:dyDescent="0.3"/>
    <row r="1997" s="1559" customFormat="1" x14ac:dyDescent="0.3"/>
    <row r="1998" s="1559" customFormat="1" x14ac:dyDescent="0.3"/>
    <row r="1999" s="1559" customFormat="1" x14ac:dyDescent="0.3"/>
    <row r="2000" s="1559" customFormat="1" x14ac:dyDescent="0.3"/>
    <row r="2001" s="1559" customFormat="1" x14ac:dyDescent="0.3"/>
    <row r="2002" s="1559" customFormat="1" x14ac:dyDescent="0.3"/>
    <row r="2003" s="1559" customFormat="1" x14ac:dyDescent="0.3"/>
    <row r="2004" s="1559" customFormat="1" x14ac:dyDescent="0.3"/>
    <row r="2005" s="1559" customFormat="1" x14ac:dyDescent="0.3"/>
    <row r="2006" s="1559" customFormat="1" x14ac:dyDescent="0.3"/>
    <row r="2007" s="1559" customFormat="1" x14ac:dyDescent="0.3"/>
    <row r="2008" s="1559" customFormat="1" x14ac:dyDescent="0.3"/>
    <row r="2009" s="1559" customFormat="1" x14ac:dyDescent="0.3"/>
    <row r="2010" s="1559" customFormat="1" x14ac:dyDescent="0.3"/>
    <row r="2011" s="1559" customFormat="1" x14ac:dyDescent="0.3"/>
    <row r="2012" s="1559" customFormat="1" x14ac:dyDescent="0.3"/>
    <row r="2013" s="1559" customFormat="1" x14ac:dyDescent="0.3"/>
    <row r="2014" s="1559" customFormat="1" x14ac:dyDescent="0.3"/>
    <row r="2015" s="1559" customFormat="1" x14ac:dyDescent="0.3"/>
    <row r="2016" s="1559" customFormat="1" x14ac:dyDescent="0.3"/>
    <row r="2017" s="1559" customFormat="1" x14ac:dyDescent="0.3"/>
    <row r="2018" s="1559" customFormat="1" x14ac:dyDescent="0.3"/>
    <row r="2019" s="1559" customFormat="1" x14ac:dyDescent="0.3"/>
    <row r="2020" s="1559" customFormat="1" x14ac:dyDescent="0.3"/>
    <row r="2021" s="1559" customFormat="1" x14ac:dyDescent="0.3"/>
    <row r="2022" s="1559" customFormat="1" x14ac:dyDescent="0.3"/>
    <row r="2023" s="1559" customFormat="1" x14ac:dyDescent="0.3"/>
    <row r="2024" s="1559" customFormat="1" x14ac:dyDescent="0.3"/>
    <row r="2025" s="1559" customFormat="1" x14ac:dyDescent="0.3"/>
    <row r="2026" s="1559" customFormat="1" x14ac:dyDescent="0.3"/>
    <row r="2027" s="1559" customFormat="1" x14ac:dyDescent="0.3"/>
    <row r="2028" s="1559" customFormat="1" x14ac:dyDescent="0.3"/>
    <row r="2029" s="1559" customFormat="1" x14ac:dyDescent="0.3"/>
    <row r="2030" s="1559" customFormat="1" x14ac:dyDescent="0.3"/>
    <row r="2031" s="1559" customFormat="1" x14ac:dyDescent="0.3"/>
    <row r="2032" s="1559" customFormat="1" x14ac:dyDescent="0.3"/>
    <row r="2033" s="1559" customFormat="1" x14ac:dyDescent="0.3"/>
    <row r="2034" s="1559" customFormat="1" x14ac:dyDescent="0.3"/>
    <row r="2035" s="1559" customFormat="1" x14ac:dyDescent="0.3"/>
    <row r="2036" s="1559" customFormat="1" x14ac:dyDescent="0.3"/>
    <row r="2037" s="1559" customFormat="1" x14ac:dyDescent="0.3"/>
    <row r="2038" s="1559" customFormat="1" x14ac:dyDescent="0.3"/>
    <row r="2039" s="1559" customFormat="1" x14ac:dyDescent="0.3"/>
    <row r="2040" s="1559" customFormat="1" x14ac:dyDescent="0.3"/>
    <row r="2041" s="1559" customFormat="1" x14ac:dyDescent="0.3"/>
    <row r="2042" s="1559" customFormat="1" x14ac:dyDescent="0.3"/>
    <row r="2043" s="1559" customFormat="1" x14ac:dyDescent="0.3"/>
    <row r="2044" s="1559" customFormat="1" x14ac:dyDescent="0.3"/>
    <row r="2045" s="1559" customFormat="1" x14ac:dyDescent="0.3"/>
    <row r="2046" s="1559" customFormat="1" x14ac:dyDescent="0.3"/>
    <row r="2047" s="1559" customFormat="1" x14ac:dyDescent="0.3"/>
    <row r="2048" s="1559" customFormat="1" x14ac:dyDescent="0.3"/>
    <row r="2049" s="1559" customFormat="1" x14ac:dyDescent="0.3"/>
    <row r="2050" s="1559" customFormat="1" x14ac:dyDescent="0.3"/>
    <row r="2051" s="1559" customFormat="1" x14ac:dyDescent="0.3"/>
    <row r="2052" s="1559" customFormat="1" x14ac:dyDescent="0.3"/>
    <row r="2053" s="1559" customFormat="1" x14ac:dyDescent="0.3"/>
    <row r="2054" s="1559" customFormat="1" x14ac:dyDescent="0.3"/>
    <row r="2055" s="1559" customFormat="1" x14ac:dyDescent="0.3"/>
    <row r="2056" s="1559" customFormat="1" x14ac:dyDescent="0.3"/>
    <row r="2057" s="1559" customFormat="1" x14ac:dyDescent="0.3"/>
    <row r="2058" s="1559" customFormat="1" x14ac:dyDescent="0.3"/>
    <row r="2059" s="1559" customFormat="1" x14ac:dyDescent="0.3"/>
    <row r="2060" s="1559" customFormat="1" x14ac:dyDescent="0.3"/>
    <row r="2061" s="1559" customFormat="1" x14ac:dyDescent="0.3"/>
    <row r="2062" s="1559" customFormat="1" x14ac:dyDescent="0.3"/>
    <row r="2063" s="1559" customFormat="1" x14ac:dyDescent="0.3"/>
  </sheetData>
  <sheetProtection sheet="1" objects="1" scenarios="1"/>
  <phoneticPr fontId="13" type="noConversion"/>
  <pageMargins left="0.75" right="0.75" top="1" bottom="1" header="0" footer="0"/>
  <pageSetup paperSize="9"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70"/>
  <dimension ref="A1:GN1813"/>
  <sheetViews>
    <sheetView showGridLines="0" workbookViewId="0">
      <selection activeCell="B11" sqref="B11"/>
    </sheetView>
  </sheetViews>
  <sheetFormatPr baseColWidth="10" defaultRowHeight="17.25" x14ac:dyDescent="0.3"/>
  <cols>
    <col min="1" max="1" width="31.375" style="307" customWidth="1"/>
    <col min="2" max="2" width="11.5" style="307" customWidth="1"/>
    <col min="3" max="3" width="10" style="307" bestFit="1" customWidth="1"/>
    <col min="4" max="4" width="12.25" style="307" customWidth="1"/>
    <col min="5" max="5" width="10" style="307" bestFit="1" customWidth="1"/>
    <col min="6" max="6" width="9.125" style="307" bestFit="1" customWidth="1"/>
    <col min="7" max="7" width="13.125" style="307" customWidth="1"/>
    <col min="8" max="8" width="10" style="307" bestFit="1" customWidth="1"/>
    <col min="9" max="9" width="9" style="307" customWidth="1"/>
    <col min="10" max="10" width="13.125" style="307" customWidth="1"/>
    <col min="11" max="11" width="10" style="307" bestFit="1" customWidth="1"/>
    <col min="12" max="12" width="8.75" style="307" customWidth="1"/>
    <col min="13" max="13" width="13.125" style="307" customWidth="1"/>
    <col min="14" max="14" width="10" style="307" bestFit="1" customWidth="1"/>
    <col min="15" max="15" width="9.125" style="307" customWidth="1"/>
    <col min="16" max="16" width="9.125" style="1559" customWidth="1"/>
    <col min="17" max="17" width="21.875" style="1559" bestFit="1" customWidth="1"/>
    <col min="18" max="196" width="11" style="1559"/>
    <col min="197" max="16384" width="11" style="307"/>
  </cols>
  <sheetData>
    <row r="1" spans="1:196" ht="27.75" x14ac:dyDescent="0.45">
      <c r="A1" s="1770" t="s">
        <v>1084</v>
      </c>
      <c r="B1" s="1234"/>
      <c r="C1" s="1234"/>
      <c r="D1" s="1234"/>
      <c r="E1" s="1234"/>
      <c r="F1" s="1234"/>
      <c r="G1" s="1234"/>
      <c r="H1" s="1234"/>
      <c r="I1" s="1234"/>
      <c r="J1" s="2263"/>
      <c r="K1" s="2263"/>
      <c r="L1" s="2263"/>
      <c r="M1" s="2263"/>
      <c r="N1" s="2263"/>
      <c r="O1" s="2263"/>
      <c r="P1" s="2263"/>
    </row>
    <row r="2" spans="1:196" s="1559" customFormat="1" ht="27.75" x14ac:dyDescent="0.45">
      <c r="A2" s="1656">
        <f>'Datos Básicos'!$B$8</f>
        <v>0</v>
      </c>
      <c r="Q2" s="1565"/>
      <c r="R2" s="1566"/>
    </row>
    <row r="3" spans="1:196" s="1559" customFormat="1" ht="27.75" x14ac:dyDescent="0.45">
      <c r="A3" s="1656"/>
      <c r="Q3" s="1565"/>
      <c r="R3" s="1566"/>
    </row>
    <row r="4" spans="1:196" s="1559" customFormat="1" ht="27.75" x14ac:dyDescent="0.45">
      <c r="A4" s="1656"/>
      <c r="Q4" s="1565"/>
      <c r="R4" s="1566"/>
    </row>
    <row r="5" spans="1:196" s="1559" customFormat="1" ht="28.5" thickBot="1" x14ac:dyDescent="0.5">
      <c r="A5" s="1656"/>
      <c r="B5" s="1657" t="str">
        <f>IF(mes0=1,"",CONCATENATE("(",12-mes0+1," meses)"))</f>
        <v/>
      </c>
    </row>
    <row r="6" spans="1:196" s="495" customFormat="1" ht="21" customHeight="1" thickBot="1" x14ac:dyDescent="0.3">
      <c r="A6" s="1628" t="s">
        <v>889</v>
      </c>
      <c r="B6" s="1629">
        <f>'Datos Básicos'!$B$17</f>
        <v>2026</v>
      </c>
      <c r="C6" s="1630" t="s">
        <v>944</v>
      </c>
      <c r="D6" s="1629">
        <f>'Datos Básicos'!$C$17</f>
        <v>2027</v>
      </c>
      <c r="E6" s="1630" t="s">
        <v>944</v>
      </c>
      <c r="F6" s="1630" t="s">
        <v>892</v>
      </c>
      <c r="G6" s="1629">
        <f>'Datos Básicos'!$D$17</f>
        <v>2028</v>
      </c>
      <c r="H6" s="1630" t="s">
        <v>944</v>
      </c>
      <c r="I6" s="1630" t="s">
        <v>892</v>
      </c>
      <c r="J6" s="1629">
        <f>G6+1</f>
        <v>2029</v>
      </c>
      <c r="K6" s="1630" t="s">
        <v>944</v>
      </c>
      <c r="L6" s="1630" t="s">
        <v>892</v>
      </c>
      <c r="M6" s="1629">
        <f>J6+1</f>
        <v>2030</v>
      </c>
      <c r="N6" s="1630" t="s">
        <v>944</v>
      </c>
      <c r="O6" s="1630" t="s">
        <v>892</v>
      </c>
      <c r="P6" s="1660"/>
      <c r="Q6" s="1661"/>
      <c r="R6" s="1661"/>
      <c r="S6" s="1661"/>
      <c r="T6" s="1661"/>
      <c r="U6" s="1661"/>
      <c r="V6" s="1661"/>
      <c r="W6" s="1661"/>
      <c r="X6" s="1661"/>
      <c r="Y6" s="1661"/>
      <c r="Z6" s="1661"/>
      <c r="AA6" s="1661"/>
      <c r="AB6" s="1661"/>
      <c r="AC6" s="1661"/>
      <c r="AD6" s="1661"/>
      <c r="AE6" s="1661"/>
      <c r="AF6" s="1661"/>
      <c r="AG6" s="1661"/>
      <c r="AH6" s="1661"/>
      <c r="AI6" s="1661"/>
      <c r="AJ6" s="1661"/>
      <c r="AK6" s="1661"/>
      <c r="AL6" s="1661"/>
      <c r="AM6" s="1661"/>
      <c r="AN6" s="1661"/>
      <c r="AO6" s="1661"/>
      <c r="AP6" s="1661"/>
      <c r="AQ6" s="1661"/>
      <c r="AR6" s="1661"/>
      <c r="AS6" s="1661"/>
      <c r="AT6" s="1661"/>
      <c r="AU6" s="1661"/>
      <c r="AV6" s="1661"/>
      <c r="AW6" s="1661"/>
      <c r="AX6" s="1661"/>
      <c r="AY6" s="1661"/>
      <c r="AZ6" s="1661"/>
      <c r="BA6" s="1661"/>
      <c r="BB6" s="1661"/>
      <c r="BC6" s="1661"/>
      <c r="BD6" s="1661"/>
      <c r="BE6" s="1661"/>
      <c r="BF6" s="1661"/>
      <c r="BG6" s="1661"/>
      <c r="BH6" s="1661"/>
      <c r="BI6" s="1661"/>
      <c r="BJ6" s="1661"/>
      <c r="BK6" s="1661"/>
      <c r="BL6" s="1661"/>
      <c r="BM6" s="1661"/>
      <c r="BN6" s="1661"/>
      <c r="BO6" s="1661"/>
      <c r="BP6" s="1661"/>
      <c r="BQ6" s="1661"/>
      <c r="BR6" s="1661"/>
      <c r="BS6" s="1661"/>
      <c r="BT6" s="1661"/>
      <c r="BU6" s="1661"/>
      <c r="BV6" s="1661"/>
      <c r="BW6" s="1661"/>
      <c r="BX6" s="1661"/>
      <c r="BY6" s="1661"/>
      <c r="BZ6" s="1661"/>
      <c r="CA6" s="1661"/>
      <c r="CB6" s="1661"/>
      <c r="CC6" s="1661"/>
      <c r="CD6" s="1661"/>
      <c r="CE6" s="1661"/>
      <c r="CF6" s="1661"/>
      <c r="CG6" s="1661"/>
      <c r="CH6" s="1661"/>
      <c r="CI6" s="1661"/>
      <c r="CJ6" s="1661"/>
      <c r="CK6" s="1661"/>
      <c r="CL6" s="1661"/>
      <c r="CM6" s="1661"/>
      <c r="CN6" s="1661"/>
      <c r="CO6" s="1661"/>
      <c r="CP6" s="1661"/>
      <c r="CQ6" s="1661"/>
      <c r="CR6" s="1661"/>
      <c r="CS6" s="1661"/>
      <c r="CT6" s="1661"/>
      <c r="CU6" s="1661"/>
      <c r="CV6" s="1661"/>
      <c r="CW6" s="1661"/>
      <c r="CX6" s="1661"/>
      <c r="CY6" s="1661"/>
      <c r="CZ6" s="1661"/>
      <c r="DA6" s="1661"/>
      <c r="DB6" s="1661"/>
      <c r="DC6" s="1661"/>
      <c r="DD6" s="1661"/>
      <c r="DE6" s="1661"/>
      <c r="DF6" s="1661"/>
      <c r="DG6" s="1661"/>
      <c r="DH6" s="1661"/>
      <c r="DI6" s="1661"/>
      <c r="DJ6" s="1661"/>
      <c r="DK6" s="1661"/>
      <c r="DL6" s="1661"/>
      <c r="DM6" s="1661"/>
      <c r="DN6" s="1661"/>
      <c r="DO6" s="1661"/>
      <c r="DP6" s="1661"/>
      <c r="DQ6" s="1661"/>
      <c r="DR6" s="1661"/>
      <c r="DS6" s="1661"/>
      <c r="DT6" s="1661"/>
      <c r="DU6" s="1661"/>
      <c r="DV6" s="1661"/>
      <c r="DW6" s="1661"/>
      <c r="DX6" s="1661"/>
      <c r="DY6" s="1661"/>
      <c r="DZ6" s="1661"/>
      <c r="EA6" s="1661"/>
      <c r="EB6" s="1661"/>
      <c r="EC6" s="1661"/>
      <c r="ED6" s="1661"/>
      <c r="EE6" s="1661"/>
      <c r="EF6" s="1661"/>
      <c r="EG6" s="1661"/>
      <c r="EH6" s="1661"/>
      <c r="EI6" s="1661"/>
      <c r="EJ6" s="1661"/>
      <c r="EK6" s="1661"/>
      <c r="EL6" s="1661"/>
      <c r="EM6" s="1661"/>
      <c r="EN6" s="1661"/>
      <c r="EO6" s="1661"/>
      <c r="EP6" s="1661"/>
      <c r="EQ6" s="1661"/>
      <c r="ER6" s="1661"/>
      <c r="ES6" s="1661"/>
      <c r="ET6" s="1661"/>
      <c r="EU6" s="1661"/>
      <c r="EV6" s="1661"/>
      <c r="EW6" s="1661"/>
      <c r="EX6" s="1661"/>
      <c r="EY6" s="1661"/>
      <c r="EZ6" s="1661"/>
      <c r="FA6" s="1661"/>
      <c r="FB6" s="1661"/>
      <c r="FC6" s="1661"/>
      <c r="FD6" s="1661"/>
      <c r="FE6" s="1661"/>
      <c r="FF6" s="1661"/>
      <c r="FG6" s="1661"/>
      <c r="FH6" s="1661"/>
      <c r="FI6" s="1661"/>
      <c r="FJ6" s="1661"/>
      <c r="FK6" s="1661"/>
      <c r="FL6" s="1661"/>
      <c r="FM6" s="1661"/>
      <c r="FN6" s="1661"/>
      <c r="FO6" s="1661"/>
      <c r="FP6" s="1661"/>
      <c r="FQ6" s="1661"/>
      <c r="FR6" s="1661"/>
      <c r="FS6" s="1661"/>
      <c r="FT6" s="1661"/>
      <c r="FU6" s="1661"/>
      <c r="FV6" s="1661"/>
      <c r="FW6" s="1661"/>
      <c r="FX6" s="1661"/>
      <c r="FY6" s="1661"/>
      <c r="FZ6" s="1661"/>
      <c r="GA6" s="1661"/>
      <c r="GB6" s="1661"/>
      <c r="GC6" s="1661"/>
      <c r="GD6" s="1661"/>
      <c r="GE6" s="1661"/>
      <c r="GF6" s="1661"/>
      <c r="GG6" s="1661"/>
      <c r="GH6" s="1661"/>
      <c r="GI6" s="1661"/>
      <c r="GJ6" s="1661"/>
      <c r="GK6" s="1661"/>
      <c r="GL6" s="1661"/>
      <c r="GM6" s="1661"/>
      <c r="GN6" s="1661"/>
    </row>
    <row r="7" spans="1:196" s="303" customFormat="1" ht="17.25" customHeight="1" x14ac:dyDescent="0.3">
      <c r="A7" s="1631" t="s">
        <v>741</v>
      </c>
      <c r="B7" s="1632">
        <v>0</v>
      </c>
      <c r="C7" s="1633" t="e">
        <f>B7/B$7</f>
        <v>#DIV/0!</v>
      </c>
      <c r="D7" s="1632">
        <v>0</v>
      </c>
      <c r="E7" s="1633" t="e">
        <f>D7/D$7</f>
        <v>#DIV/0!</v>
      </c>
      <c r="F7" s="1634" t="str">
        <f>IF(ABS(B7)&gt;0.01,(D7-B7)/B7,"")</f>
        <v/>
      </c>
      <c r="G7" s="1632">
        <v>0</v>
      </c>
      <c r="H7" s="1633" t="e">
        <f>G7/G$7</f>
        <v>#DIV/0!</v>
      </c>
      <c r="I7" s="1634" t="str">
        <f>IF(ABS(D7)&gt;0.01,(G7-D7)/D7,"")</f>
        <v/>
      </c>
      <c r="J7" s="1632">
        <v>0</v>
      </c>
      <c r="K7" s="1633" t="e">
        <f>J7/J$7</f>
        <v>#DIV/0!</v>
      </c>
      <c r="L7" s="1634" t="str">
        <f>IF(ABS(G7)&gt;0.01,(J7-G7)/G7,"")</f>
        <v/>
      </c>
      <c r="M7" s="1632">
        <v>0</v>
      </c>
      <c r="N7" s="1633" t="e">
        <f>M7/M$7</f>
        <v>#DIV/0!</v>
      </c>
      <c r="O7" s="1635" t="str">
        <f>IF(ABS(J7)&gt;0.01,(M7-J7)/J7,"")</f>
        <v/>
      </c>
      <c r="P7" s="1652"/>
      <c r="Q7" s="1561"/>
      <c r="R7" s="1561"/>
      <c r="S7" s="1561"/>
      <c r="T7" s="1561"/>
      <c r="U7" s="1561"/>
      <c r="V7" s="1561"/>
      <c r="W7" s="1561"/>
      <c r="X7" s="1561"/>
      <c r="Y7" s="1561"/>
      <c r="Z7" s="1561"/>
      <c r="AA7" s="1561"/>
      <c r="AB7" s="1561"/>
      <c r="AC7" s="1561"/>
      <c r="AD7" s="1561"/>
      <c r="AE7" s="1561"/>
      <c r="AF7" s="1561"/>
      <c r="AG7" s="1561"/>
      <c r="AH7" s="1561"/>
      <c r="AI7" s="1561"/>
      <c r="AJ7" s="1561"/>
      <c r="AK7" s="1561"/>
      <c r="AL7" s="1561"/>
      <c r="AM7" s="1561"/>
      <c r="AN7" s="1561"/>
      <c r="AO7" s="1561"/>
      <c r="AP7" s="1561"/>
      <c r="AQ7" s="1561"/>
      <c r="AR7" s="1561"/>
      <c r="AS7" s="1561"/>
      <c r="AT7" s="1561"/>
      <c r="AU7" s="1561"/>
      <c r="AV7" s="1561"/>
      <c r="AW7" s="1561"/>
      <c r="AX7" s="1561"/>
      <c r="AY7" s="1561"/>
      <c r="AZ7" s="1561"/>
      <c r="BA7" s="1561"/>
      <c r="BB7" s="1561"/>
      <c r="BC7" s="1561"/>
      <c r="BD7" s="1561"/>
      <c r="BE7" s="1561"/>
      <c r="BF7" s="1561"/>
      <c r="BG7" s="1561"/>
      <c r="BH7" s="1561"/>
      <c r="BI7" s="1561"/>
      <c r="BJ7" s="1561"/>
      <c r="BK7" s="1561"/>
      <c r="BL7" s="1561"/>
      <c r="BM7" s="1561"/>
      <c r="BN7" s="1561"/>
      <c r="BO7" s="1561"/>
      <c r="BP7" s="1561"/>
      <c r="BQ7" s="1561"/>
      <c r="BR7" s="1561"/>
      <c r="BS7" s="1561"/>
      <c r="BT7" s="1561"/>
      <c r="BU7" s="1561"/>
      <c r="BV7" s="1561"/>
      <c r="BW7" s="1561"/>
      <c r="BX7" s="1561"/>
      <c r="BY7" s="1561"/>
      <c r="BZ7" s="1561"/>
      <c r="CA7" s="1561"/>
      <c r="CB7" s="1561"/>
      <c r="CC7" s="1561"/>
      <c r="CD7" s="1561"/>
      <c r="CE7" s="1561"/>
      <c r="CF7" s="1561"/>
      <c r="CG7" s="1561"/>
      <c r="CH7" s="1561"/>
      <c r="CI7" s="1561"/>
      <c r="CJ7" s="1561"/>
      <c r="CK7" s="1561"/>
      <c r="CL7" s="1561"/>
      <c r="CM7" s="1561"/>
      <c r="CN7" s="1561"/>
      <c r="CO7" s="1561"/>
      <c r="CP7" s="1561"/>
      <c r="CQ7" s="1561"/>
      <c r="CR7" s="1561"/>
      <c r="CS7" s="1561"/>
      <c r="CT7" s="1561"/>
      <c r="CU7" s="1561"/>
      <c r="CV7" s="1561"/>
      <c r="CW7" s="1561"/>
      <c r="CX7" s="1561"/>
      <c r="CY7" s="1561"/>
      <c r="CZ7" s="1561"/>
      <c r="DA7" s="1561"/>
      <c r="DB7" s="1561"/>
      <c r="DC7" s="1561"/>
      <c r="DD7" s="1561"/>
      <c r="DE7" s="1561"/>
      <c r="DF7" s="1561"/>
      <c r="DG7" s="1561"/>
      <c r="DH7" s="1561"/>
      <c r="DI7" s="1561"/>
      <c r="DJ7" s="1561"/>
      <c r="DK7" s="1561"/>
      <c r="DL7" s="1561"/>
      <c r="DM7" s="1561"/>
      <c r="DN7" s="1561"/>
      <c r="DO7" s="1561"/>
      <c r="DP7" s="1561"/>
      <c r="DQ7" s="1561"/>
      <c r="DR7" s="1561"/>
      <c r="DS7" s="1561"/>
      <c r="DT7" s="1561"/>
      <c r="DU7" s="1561"/>
      <c r="DV7" s="1561"/>
      <c r="DW7" s="1561"/>
      <c r="DX7" s="1561"/>
      <c r="DY7" s="1561"/>
      <c r="DZ7" s="1561"/>
      <c r="EA7" s="1561"/>
      <c r="EB7" s="1561"/>
      <c r="EC7" s="1561"/>
      <c r="ED7" s="1561"/>
      <c r="EE7" s="1561"/>
      <c r="EF7" s="1561"/>
      <c r="EG7" s="1561"/>
      <c r="EH7" s="1561"/>
      <c r="EI7" s="1561"/>
      <c r="EJ7" s="1561"/>
      <c r="EK7" s="1561"/>
      <c r="EL7" s="1561"/>
      <c r="EM7" s="1561"/>
      <c r="EN7" s="1561"/>
      <c r="EO7" s="1561"/>
      <c r="EP7" s="1561"/>
      <c r="EQ7" s="1561"/>
      <c r="ER7" s="1561"/>
      <c r="ES7" s="1561"/>
      <c r="ET7" s="1561"/>
      <c r="EU7" s="1561"/>
      <c r="EV7" s="1561"/>
      <c r="EW7" s="1561"/>
      <c r="EX7" s="1561"/>
      <c r="EY7" s="1561"/>
      <c r="EZ7" s="1561"/>
      <c r="FA7" s="1561"/>
      <c r="FB7" s="1561"/>
      <c r="FC7" s="1561"/>
      <c r="FD7" s="1561"/>
      <c r="FE7" s="1561"/>
      <c r="FF7" s="1561"/>
      <c r="FG7" s="1561"/>
      <c r="FH7" s="1561"/>
      <c r="FI7" s="1561"/>
      <c r="FJ7" s="1561"/>
      <c r="FK7" s="1561"/>
      <c r="FL7" s="1561"/>
      <c r="FM7" s="1561"/>
      <c r="FN7" s="1561"/>
      <c r="FO7" s="1561"/>
      <c r="FP7" s="1561"/>
      <c r="FQ7" s="1561"/>
      <c r="FR7" s="1561"/>
      <c r="FS7" s="1561"/>
      <c r="FT7" s="1561"/>
      <c r="FU7" s="1561"/>
      <c r="FV7" s="1561"/>
      <c r="FW7" s="1561"/>
      <c r="FX7" s="1561"/>
      <c r="FY7" s="1561"/>
      <c r="FZ7" s="1561"/>
      <c r="GA7" s="1561"/>
      <c r="GB7" s="1561"/>
      <c r="GC7" s="1561"/>
      <c r="GD7" s="1561"/>
      <c r="GE7" s="1561"/>
      <c r="GF7" s="1561"/>
      <c r="GG7" s="1561"/>
      <c r="GH7" s="1561"/>
      <c r="GI7" s="1561"/>
      <c r="GJ7" s="1561"/>
      <c r="GK7" s="1561"/>
      <c r="GL7" s="1561"/>
      <c r="GM7" s="1561"/>
      <c r="GN7" s="1561"/>
    </row>
    <row r="8" spans="1:196" s="303" customFormat="1" ht="17.25" customHeight="1" x14ac:dyDescent="0.3">
      <c r="A8" s="1636" t="s">
        <v>742</v>
      </c>
      <c r="B8" s="1637">
        <v>0</v>
      </c>
      <c r="C8" s="1638" t="e">
        <f>B8/B$7</f>
        <v>#DIV/0!</v>
      </c>
      <c r="D8" s="1637">
        <v>0</v>
      </c>
      <c r="E8" s="1638" t="e">
        <f>D8/D$7</f>
        <v>#DIV/0!</v>
      </c>
      <c r="F8" s="1639" t="str">
        <f>IF(ABS(B8)&gt;0.01,(D8-B8)/B8,"")</f>
        <v/>
      </c>
      <c r="G8" s="1637">
        <v>0</v>
      </c>
      <c r="H8" s="1638" t="e">
        <f>G8/G$7</f>
        <v>#DIV/0!</v>
      </c>
      <c r="I8" s="1639" t="str">
        <f>IF(ABS(D8)&gt;0.01,(G8-D8)/D8,"")</f>
        <v/>
      </c>
      <c r="J8" s="1637">
        <v>0</v>
      </c>
      <c r="K8" s="1638" t="e">
        <f>J8/J$7</f>
        <v>#DIV/0!</v>
      </c>
      <c r="L8" s="1639" t="str">
        <f>IF(ABS(G8)&gt;0.01,(J8-G8)/G8,"")</f>
        <v/>
      </c>
      <c r="M8" s="1637">
        <v>0</v>
      </c>
      <c r="N8" s="1638" t="e">
        <f>M8/M$7</f>
        <v>#DIV/0!</v>
      </c>
      <c r="O8" s="1640" t="str">
        <f>IF(ABS(J8)&gt;0.01,(M8-J8)/J8,"")</f>
        <v/>
      </c>
      <c r="P8" s="1652"/>
      <c r="Q8" s="1561"/>
      <c r="R8" s="1561"/>
      <c r="S8" s="1561"/>
      <c r="T8" s="1561"/>
      <c r="U8" s="1561"/>
      <c r="V8" s="1561"/>
      <c r="W8" s="1561"/>
      <c r="X8" s="1561"/>
      <c r="Y8" s="1561"/>
      <c r="Z8" s="1561"/>
      <c r="AA8" s="1561"/>
      <c r="AB8" s="1561"/>
      <c r="AC8" s="1561"/>
      <c r="AD8" s="1561"/>
      <c r="AE8" s="1561"/>
      <c r="AF8" s="1561"/>
      <c r="AG8" s="1561"/>
      <c r="AH8" s="1561"/>
      <c r="AI8" s="1561"/>
      <c r="AJ8" s="1561"/>
      <c r="AK8" s="1561"/>
      <c r="AL8" s="1561"/>
      <c r="AM8" s="1561"/>
      <c r="AN8" s="1561"/>
      <c r="AO8" s="1561"/>
      <c r="AP8" s="1561"/>
      <c r="AQ8" s="1561"/>
      <c r="AR8" s="1561"/>
      <c r="AS8" s="1561"/>
      <c r="AT8" s="1561"/>
      <c r="AU8" s="1561"/>
      <c r="AV8" s="1561"/>
      <c r="AW8" s="1561"/>
      <c r="AX8" s="1561"/>
      <c r="AY8" s="1561"/>
      <c r="AZ8" s="1561"/>
      <c r="BA8" s="1561"/>
      <c r="BB8" s="1561"/>
      <c r="BC8" s="1561"/>
      <c r="BD8" s="1561"/>
      <c r="BE8" s="1561"/>
      <c r="BF8" s="1561"/>
      <c r="BG8" s="1561"/>
      <c r="BH8" s="1561"/>
      <c r="BI8" s="1561"/>
      <c r="BJ8" s="1561"/>
      <c r="BK8" s="1561"/>
      <c r="BL8" s="1561"/>
      <c r="BM8" s="1561"/>
      <c r="BN8" s="1561"/>
      <c r="BO8" s="1561"/>
      <c r="BP8" s="1561"/>
      <c r="BQ8" s="1561"/>
      <c r="BR8" s="1561"/>
      <c r="BS8" s="1561"/>
      <c r="BT8" s="1561"/>
      <c r="BU8" s="1561"/>
      <c r="BV8" s="1561"/>
      <c r="BW8" s="1561"/>
      <c r="BX8" s="1561"/>
      <c r="BY8" s="1561"/>
      <c r="BZ8" s="1561"/>
      <c r="CA8" s="1561"/>
      <c r="CB8" s="1561"/>
      <c r="CC8" s="1561"/>
      <c r="CD8" s="1561"/>
      <c r="CE8" s="1561"/>
      <c r="CF8" s="1561"/>
      <c r="CG8" s="1561"/>
      <c r="CH8" s="1561"/>
      <c r="CI8" s="1561"/>
      <c r="CJ8" s="1561"/>
      <c r="CK8" s="1561"/>
      <c r="CL8" s="1561"/>
      <c r="CM8" s="1561"/>
      <c r="CN8" s="1561"/>
      <c r="CO8" s="1561"/>
      <c r="CP8" s="1561"/>
      <c r="CQ8" s="1561"/>
      <c r="CR8" s="1561"/>
      <c r="CS8" s="1561"/>
      <c r="CT8" s="1561"/>
      <c r="CU8" s="1561"/>
      <c r="CV8" s="1561"/>
      <c r="CW8" s="1561"/>
      <c r="CX8" s="1561"/>
      <c r="CY8" s="1561"/>
      <c r="CZ8" s="1561"/>
      <c r="DA8" s="1561"/>
      <c r="DB8" s="1561"/>
      <c r="DC8" s="1561"/>
      <c r="DD8" s="1561"/>
      <c r="DE8" s="1561"/>
      <c r="DF8" s="1561"/>
      <c r="DG8" s="1561"/>
      <c r="DH8" s="1561"/>
      <c r="DI8" s="1561"/>
      <c r="DJ8" s="1561"/>
      <c r="DK8" s="1561"/>
      <c r="DL8" s="1561"/>
      <c r="DM8" s="1561"/>
      <c r="DN8" s="1561"/>
      <c r="DO8" s="1561"/>
      <c r="DP8" s="1561"/>
      <c r="DQ8" s="1561"/>
      <c r="DR8" s="1561"/>
      <c r="DS8" s="1561"/>
      <c r="DT8" s="1561"/>
      <c r="DU8" s="1561"/>
      <c r="DV8" s="1561"/>
      <c r="DW8" s="1561"/>
      <c r="DX8" s="1561"/>
      <c r="DY8" s="1561"/>
      <c r="DZ8" s="1561"/>
      <c r="EA8" s="1561"/>
      <c r="EB8" s="1561"/>
      <c r="EC8" s="1561"/>
      <c r="ED8" s="1561"/>
      <c r="EE8" s="1561"/>
      <c r="EF8" s="1561"/>
      <c r="EG8" s="1561"/>
      <c r="EH8" s="1561"/>
      <c r="EI8" s="1561"/>
      <c r="EJ8" s="1561"/>
      <c r="EK8" s="1561"/>
      <c r="EL8" s="1561"/>
      <c r="EM8" s="1561"/>
      <c r="EN8" s="1561"/>
      <c r="EO8" s="1561"/>
      <c r="EP8" s="1561"/>
      <c r="EQ8" s="1561"/>
      <c r="ER8" s="1561"/>
      <c r="ES8" s="1561"/>
      <c r="ET8" s="1561"/>
      <c r="EU8" s="1561"/>
      <c r="EV8" s="1561"/>
      <c r="EW8" s="1561"/>
      <c r="EX8" s="1561"/>
      <c r="EY8" s="1561"/>
      <c r="EZ8" s="1561"/>
      <c r="FA8" s="1561"/>
      <c r="FB8" s="1561"/>
      <c r="FC8" s="1561"/>
      <c r="FD8" s="1561"/>
      <c r="FE8" s="1561"/>
      <c r="FF8" s="1561"/>
      <c r="FG8" s="1561"/>
      <c r="FH8" s="1561"/>
      <c r="FI8" s="1561"/>
      <c r="FJ8" s="1561"/>
      <c r="FK8" s="1561"/>
      <c r="FL8" s="1561"/>
      <c r="FM8" s="1561"/>
      <c r="FN8" s="1561"/>
      <c r="FO8" s="1561"/>
      <c r="FP8" s="1561"/>
      <c r="FQ8" s="1561"/>
      <c r="FR8" s="1561"/>
      <c r="FS8" s="1561"/>
      <c r="FT8" s="1561"/>
      <c r="FU8" s="1561"/>
      <c r="FV8" s="1561"/>
      <c r="FW8" s="1561"/>
      <c r="FX8" s="1561"/>
      <c r="FY8" s="1561"/>
      <c r="FZ8" s="1561"/>
      <c r="GA8" s="1561"/>
      <c r="GB8" s="1561"/>
      <c r="GC8" s="1561"/>
      <c r="GD8" s="1561"/>
      <c r="GE8" s="1561"/>
      <c r="GF8" s="1561"/>
      <c r="GG8" s="1561"/>
      <c r="GH8" s="1561"/>
      <c r="GI8" s="1561"/>
      <c r="GJ8" s="1561"/>
      <c r="GK8" s="1561"/>
      <c r="GL8" s="1561"/>
      <c r="GM8" s="1561"/>
      <c r="GN8" s="1561"/>
    </row>
    <row r="9" spans="1:196" s="303" customFormat="1" ht="17.25" customHeight="1" x14ac:dyDescent="0.3">
      <c r="A9" s="1641" t="s">
        <v>743</v>
      </c>
      <c r="B9" s="1642">
        <f>+B8+B7</f>
        <v>0</v>
      </c>
      <c r="C9" s="1643" t="e">
        <f>B9/B$7</f>
        <v>#DIV/0!</v>
      </c>
      <c r="D9" s="1642">
        <f>+D8+D7</f>
        <v>0</v>
      </c>
      <c r="E9" s="1643" t="e">
        <f>D9/D$7</f>
        <v>#DIV/0!</v>
      </c>
      <c r="F9" s="1642" t="str">
        <f>IF(ABS(B9)&gt;0.01,(D9-B9)/B9,"")</f>
        <v/>
      </c>
      <c r="G9" s="1642">
        <f>+G8+G7</f>
        <v>0</v>
      </c>
      <c r="H9" s="1643" t="e">
        <f>G9/G$7</f>
        <v>#DIV/0!</v>
      </c>
      <c r="I9" s="1642" t="str">
        <f>IF(ABS(D9)&gt;0.01,(G9-D9)/D9,"")</f>
        <v/>
      </c>
      <c r="J9" s="1642">
        <f>+J8+J7</f>
        <v>0</v>
      </c>
      <c r="K9" s="1643" t="e">
        <f>J9/J$7</f>
        <v>#DIV/0!</v>
      </c>
      <c r="L9" s="1642" t="str">
        <f>IF(ABS(G9)&gt;0.01,(J9-G9)/G9,"")</f>
        <v/>
      </c>
      <c r="M9" s="1642">
        <f>+M8+M7</f>
        <v>0</v>
      </c>
      <c r="N9" s="1643" t="e">
        <f>M9/M$7</f>
        <v>#DIV/0!</v>
      </c>
      <c r="O9" s="1644" t="str">
        <f>IF(ABS(J9)&gt;0.01,(M9-J9)/J9,"")</f>
        <v/>
      </c>
      <c r="P9" s="1662"/>
      <c r="Q9" s="1561"/>
      <c r="R9" s="1561"/>
      <c r="S9" s="1561"/>
      <c r="T9" s="1561"/>
      <c r="U9" s="1561"/>
      <c r="V9" s="1561"/>
      <c r="W9" s="1561"/>
      <c r="X9" s="1561"/>
      <c r="Y9" s="1561"/>
      <c r="Z9" s="1561"/>
      <c r="AA9" s="1561"/>
      <c r="AB9" s="1561"/>
      <c r="AC9" s="1561"/>
      <c r="AD9" s="1561"/>
      <c r="AE9" s="1561"/>
      <c r="AF9" s="1561"/>
      <c r="AG9" s="1561"/>
      <c r="AH9" s="1561"/>
      <c r="AI9" s="1561"/>
      <c r="AJ9" s="1561"/>
      <c r="AK9" s="1561"/>
      <c r="AL9" s="1561"/>
      <c r="AM9" s="1561"/>
      <c r="AN9" s="1561"/>
      <c r="AO9" s="1561"/>
      <c r="AP9" s="1561"/>
      <c r="AQ9" s="1561"/>
      <c r="AR9" s="1561"/>
      <c r="AS9" s="1561"/>
      <c r="AT9" s="1561"/>
      <c r="AU9" s="1561"/>
      <c r="AV9" s="1561"/>
      <c r="AW9" s="1561"/>
      <c r="AX9" s="1561"/>
      <c r="AY9" s="1561"/>
      <c r="AZ9" s="1561"/>
      <c r="BA9" s="1561"/>
      <c r="BB9" s="1561"/>
      <c r="BC9" s="1561"/>
      <c r="BD9" s="1561"/>
      <c r="BE9" s="1561"/>
      <c r="BF9" s="1561"/>
      <c r="BG9" s="1561"/>
      <c r="BH9" s="1561"/>
      <c r="BI9" s="1561"/>
      <c r="BJ9" s="1561"/>
      <c r="BK9" s="1561"/>
      <c r="BL9" s="1561"/>
      <c r="BM9" s="1561"/>
      <c r="BN9" s="1561"/>
      <c r="BO9" s="1561"/>
      <c r="BP9" s="1561"/>
      <c r="BQ9" s="1561"/>
      <c r="BR9" s="1561"/>
      <c r="BS9" s="1561"/>
      <c r="BT9" s="1561"/>
      <c r="BU9" s="1561"/>
      <c r="BV9" s="1561"/>
      <c r="BW9" s="1561"/>
      <c r="BX9" s="1561"/>
      <c r="BY9" s="1561"/>
      <c r="BZ9" s="1561"/>
      <c r="CA9" s="1561"/>
      <c r="CB9" s="1561"/>
      <c r="CC9" s="1561"/>
      <c r="CD9" s="1561"/>
      <c r="CE9" s="1561"/>
      <c r="CF9" s="1561"/>
      <c r="CG9" s="1561"/>
      <c r="CH9" s="1561"/>
      <c r="CI9" s="1561"/>
      <c r="CJ9" s="1561"/>
      <c r="CK9" s="1561"/>
      <c r="CL9" s="1561"/>
      <c r="CM9" s="1561"/>
      <c r="CN9" s="1561"/>
      <c r="CO9" s="1561"/>
      <c r="CP9" s="1561"/>
      <c r="CQ9" s="1561"/>
      <c r="CR9" s="1561"/>
      <c r="CS9" s="1561"/>
      <c r="CT9" s="1561"/>
      <c r="CU9" s="1561"/>
      <c r="CV9" s="1561"/>
      <c r="CW9" s="1561"/>
      <c r="CX9" s="1561"/>
      <c r="CY9" s="1561"/>
      <c r="CZ9" s="1561"/>
      <c r="DA9" s="1561"/>
      <c r="DB9" s="1561"/>
      <c r="DC9" s="1561"/>
      <c r="DD9" s="1561"/>
      <c r="DE9" s="1561"/>
      <c r="DF9" s="1561"/>
      <c r="DG9" s="1561"/>
      <c r="DH9" s="1561"/>
      <c r="DI9" s="1561"/>
      <c r="DJ9" s="1561"/>
      <c r="DK9" s="1561"/>
      <c r="DL9" s="1561"/>
      <c r="DM9" s="1561"/>
      <c r="DN9" s="1561"/>
      <c r="DO9" s="1561"/>
      <c r="DP9" s="1561"/>
      <c r="DQ9" s="1561"/>
      <c r="DR9" s="1561"/>
      <c r="DS9" s="1561"/>
      <c r="DT9" s="1561"/>
      <c r="DU9" s="1561"/>
      <c r="DV9" s="1561"/>
      <c r="DW9" s="1561"/>
      <c r="DX9" s="1561"/>
      <c r="DY9" s="1561"/>
      <c r="DZ9" s="1561"/>
      <c r="EA9" s="1561"/>
      <c r="EB9" s="1561"/>
      <c r="EC9" s="1561"/>
      <c r="ED9" s="1561"/>
      <c r="EE9" s="1561"/>
      <c r="EF9" s="1561"/>
      <c r="EG9" s="1561"/>
      <c r="EH9" s="1561"/>
      <c r="EI9" s="1561"/>
      <c r="EJ9" s="1561"/>
      <c r="EK9" s="1561"/>
      <c r="EL9" s="1561"/>
      <c r="EM9" s="1561"/>
      <c r="EN9" s="1561"/>
      <c r="EO9" s="1561"/>
      <c r="EP9" s="1561"/>
      <c r="EQ9" s="1561"/>
      <c r="ER9" s="1561"/>
      <c r="ES9" s="1561"/>
      <c r="ET9" s="1561"/>
      <c r="EU9" s="1561"/>
      <c r="EV9" s="1561"/>
      <c r="EW9" s="1561"/>
      <c r="EX9" s="1561"/>
      <c r="EY9" s="1561"/>
      <c r="EZ9" s="1561"/>
      <c r="FA9" s="1561"/>
      <c r="FB9" s="1561"/>
      <c r="FC9" s="1561"/>
      <c r="FD9" s="1561"/>
      <c r="FE9" s="1561"/>
      <c r="FF9" s="1561"/>
      <c r="FG9" s="1561"/>
      <c r="FH9" s="1561"/>
      <c r="FI9" s="1561"/>
      <c r="FJ9" s="1561"/>
      <c r="FK9" s="1561"/>
      <c r="FL9" s="1561"/>
      <c r="FM9" s="1561"/>
      <c r="FN9" s="1561"/>
      <c r="FO9" s="1561"/>
      <c r="FP9" s="1561"/>
      <c r="FQ9" s="1561"/>
      <c r="FR9" s="1561"/>
      <c r="FS9" s="1561"/>
      <c r="FT9" s="1561"/>
      <c r="FU9" s="1561"/>
      <c r="FV9" s="1561"/>
      <c r="FW9" s="1561"/>
      <c r="FX9" s="1561"/>
      <c r="FY9" s="1561"/>
      <c r="FZ9" s="1561"/>
      <c r="GA9" s="1561"/>
      <c r="GB9" s="1561"/>
      <c r="GC9" s="1561"/>
      <c r="GD9" s="1561"/>
      <c r="GE9" s="1561"/>
      <c r="GF9" s="1561"/>
      <c r="GG9" s="1561"/>
      <c r="GH9" s="1561"/>
      <c r="GI9" s="1561"/>
      <c r="GJ9" s="1561"/>
      <c r="GK9" s="1561"/>
      <c r="GL9" s="1561"/>
      <c r="GM9" s="1561"/>
      <c r="GN9" s="1561"/>
    </row>
    <row r="10" spans="1:196" s="303" customFormat="1" ht="17.25" customHeight="1" x14ac:dyDescent="0.3">
      <c r="A10" s="1645"/>
      <c r="B10" s="1646"/>
      <c r="C10" s="1647"/>
      <c r="D10" s="1646"/>
      <c r="E10" s="1647"/>
      <c r="F10" s="1648"/>
      <c r="G10" s="1646"/>
      <c r="H10" s="1647"/>
      <c r="I10" s="1648"/>
      <c r="J10" s="1646"/>
      <c r="K10" s="1647"/>
      <c r="L10" s="1648"/>
      <c r="M10" s="1646"/>
      <c r="N10" s="1647"/>
      <c r="O10" s="1649"/>
      <c r="P10" s="1663"/>
      <c r="Q10" s="1561"/>
      <c r="R10" s="1561"/>
      <c r="S10" s="1561"/>
      <c r="T10" s="1561"/>
      <c r="U10" s="1561"/>
      <c r="V10" s="1561"/>
      <c r="W10" s="1561"/>
      <c r="X10" s="1561"/>
      <c r="Y10" s="1561"/>
      <c r="Z10" s="1561"/>
      <c r="AA10" s="1561"/>
      <c r="AB10" s="1561"/>
      <c r="AC10" s="1561"/>
      <c r="AD10" s="1561"/>
      <c r="AE10" s="1561"/>
      <c r="AF10" s="1561"/>
      <c r="AG10" s="1561"/>
      <c r="AH10" s="1561"/>
      <c r="AI10" s="1561"/>
      <c r="AJ10" s="1561"/>
      <c r="AK10" s="1561"/>
      <c r="AL10" s="1561"/>
      <c r="AM10" s="1561"/>
      <c r="AN10" s="1561"/>
      <c r="AO10" s="1561"/>
      <c r="AP10" s="1561"/>
      <c r="AQ10" s="1561"/>
      <c r="AR10" s="1561"/>
      <c r="AS10" s="1561"/>
      <c r="AT10" s="1561"/>
      <c r="AU10" s="1561"/>
      <c r="AV10" s="1561"/>
      <c r="AW10" s="1561"/>
      <c r="AX10" s="1561"/>
      <c r="AY10" s="1561"/>
      <c r="AZ10" s="1561"/>
      <c r="BA10" s="1561"/>
      <c r="BB10" s="1561"/>
      <c r="BC10" s="1561"/>
      <c r="BD10" s="1561"/>
      <c r="BE10" s="1561"/>
      <c r="BF10" s="1561"/>
      <c r="BG10" s="1561"/>
      <c r="BH10" s="1561"/>
      <c r="BI10" s="1561"/>
      <c r="BJ10" s="1561"/>
      <c r="BK10" s="1561"/>
      <c r="BL10" s="1561"/>
      <c r="BM10" s="1561"/>
      <c r="BN10" s="1561"/>
      <c r="BO10" s="1561"/>
      <c r="BP10" s="1561"/>
      <c r="BQ10" s="1561"/>
      <c r="BR10" s="1561"/>
      <c r="BS10" s="1561"/>
      <c r="BT10" s="1561"/>
      <c r="BU10" s="1561"/>
      <c r="BV10" s="1561"/>
      <c r="BW10" s="1561"/>
      <c r="BX10" s="1561"/>
      <c r="BY10" s="1561"/>
      <c r="BZ10" s="1561"/>
      <c r="CA10" s="1561"/>
      <c r="CB10" s="1561"/>
      <c r="CC10" s="1561"/>
      <c r="CD10" s="1561"/>
      <c r="CE10" s="1561"/>
      <c r="CF10" s="1561"/>
      <c r="CG10" s="1561"/>
      <c r="CH10" s="1561"/>
      <c r="CI10" s="1561"/>
      <c r="CJ10" s="1561"/>
      <c r="CK10" s="1561"/>
      <c r="CL10" s="1561"/>
      <c r="CM10" s="1561"/>
      <c r="CN10" s="1561"/>
      <c r="CO10" s="1561"/>
      <c r="CP10" s="1561"/>
      <c r="CQ10" s="1561"/>
      <c r="CR10" s="1561"/>
      <c r="CS10" s="1561"/>
      <c r="CT10" s="1561"/>
      <c r="CU10" s="1561"/>
      <c r="CV10" s="1561"/>
      <c r="CW10" s="1561"/>
      <c r="CX10" s="1561"/>
      <c r="CY10" s="1561"/>
      <c r="CZ10" s="1561"/>
      <c r="DA10" s="1561"/>
      <c r="DB10" s="1561"/>
      <c r="DC10" s="1561"/>
      <c r="DD10" s="1561"/>
      <c r="DE10" s="1561"/>
      <c r="DF10" s="1561"/>
      <c r="DG10" s="1561"/>
      <c r="DH10" s="1561"/>
      <c r="DI10" s="1561"/>
      <c r="DJ10" s="1561"/>
      <c r="DK10" s="1561"/>
      <c r="DL10" s="1561"/>
      <c r="DM10" s="1561"/>
      <c r="DN10" s="1561"/>
      <c r="DO10" s="1561"/>
      <c r="DP10" s="1561"/>
      <c r="DQ10" s="1561"/>
      <c r="DR10" s="1561"/>
      <c r="DS10" s="1561"/>
      <c r="DT10" s="1561"/>
      <c r="DU10" s="1561"/>
      <c r="DV10" s="1561"/>
      <c r="DW10" s="1561"/>
      <c r="DX10" s="1561"/>
      <c r="DY10" s="1561"/>
      <c r="DZ10" s="1561"/>
      <c r="EA10" s="1561"/>
      <c r="EB10" s="1561"/>
      <c r="EC10" s="1561"/>
      <c r="ED10" s="1561"/>
      <c r="EE10" s="1561"/>
      <c r="EF10" s="1561"/>
      <c r="EG10" s="1561"/>
      <c r="EH10" s="1561"/>
      <c r="EI10" s="1561"/>
      <c r="EJ10" s="1561"/>
      <c r="EK10" s="1561"/>
      <c r="EL10" s="1561"/>
      <c r="EM10" s="1561"/>
      <c r="EN10" s="1561"/>
      <c r="EO10" s="1561"/>
      <c r="EP10" s="1561"/>
      <c r="EQ10" s="1561"/>
      <c r="ER10" s="1561"/>
      <c r="ES10" s="1561"/>
      <c r="ET10" s="1561"/>
      <c r="EU10" s="1561"/>
      <c r="EV10" s="1561"/>
      <c r="EW10" s="1561"/>
      <c r="EX10" s="1561"/>
      <c r="EY10" s="1561"/>
      <c r="EZ10" s="1561"/>
      <c r="FA10" s="1561"/>
      <c r="FB10" s="1561"/>
      <c r="FC10" s="1561"/>
      <c r="FD10" s="1561"/>
      <c r="FE10" s="1561"/>
      <c r="FF10" s="1561"/>
      <c r="FG10" s="1561"/>
      <c r="FH10" s="1561"/>
      <c r="FI10" s="1561"/>
      <c r="FJ10" s="1561"/>
      <c r="FK10" s="1561"/>
      <c r="FL10" s="1561"/>
      <c r="FM10" s="1561"/>
      <c r="FN10" s="1561"/>
      <c r="FO10" s="1561"/>
      <c r="FP10" s="1561"/>
      <c r="FQ10" s="1561"/>
      <c r="FR10" s="1561"/>
      <c r="FS10" s="1561"/>
      <c r="FT10" s="1561"/>
      <c r="FU10" s="1561"/>
      <c r="FV10" s="1561"/>
      <c r="FW10" s="1561"/>
      <c r="FX10" s="1561"/>
      <c r="FY10" s="1561"/>
      <c r="FZ10" s="1561"/>
      <c r="GA10" s="1561"/>
      <c r="GB10" s="1561"/>
      <c r="GC10" s="1561"/>
      <c r="GD10" s="1561"/>
      <c r="GE10" s="1561"/>
      <c r="GF10" s="1561"/>
      <c r="GG10" s="1561"/>
      <c r="GH10" s="1561"/>
      <c r="GI10" s="1561"/>
      <c r="GJ10" s="1561"/>
      <c r="GK10" s="1561"/>
      <c r="GL10" s="1561"/>
      <c r="GM10" s="1561"/>
      <c r="GN10" s="1561"/>
    </row>
    <row r="11" spans="1:196" ht="17.25" customHeight="1" x14ac:dyDescent="0.3">
      <c r="A11" s="1636" t="str">
        <f>'PyG 0'!A9</f>
        <v>Costes variables (directos)</v>
      </c>
      <c r="B11" s="1637">
        <v>0</v>
      </c>
      <c r="C11" s="1638" t="e">
        <f>B11/B$7</f>
        <v>#DIV/0!</v>
      </c>
      <c r="D11" s="1637">
        <v>0</v>
      </c>
      <c r="E11" s="1638" t="e">
        <f>D11/D$7</f>
        <v>#DIV/0!</v>
      </c>
      <c r="F11" s="1639" t="str">
        <f>IF(ABS(B11)&gt;0.01,(D11-B11)/B11,"")</f>
        <v/>
      </c>
      <c r="G11" s="1637">
        <v>0</v>
      </c>
      <c r="H11" s="1638" t="e">
        <f>G11/G$7</f>
        <v>#DIV/0!</v>
      </c>
      <c r="I11" s="1639" t="str">
        <f>IF(ABS(D11)&gt;0.01,(G11-D11)/D11,"")</f>
        <v/>
      </c>
      <c r="J11" s="1637">
        <v>0</v>
      </c>
      <c r="K11" s="1638" t="e">
        <f>J11/J$7</f>
        <v>#DIV/0!</v>
      </c>
      <c r="L11" s="1639" t="str">
        <f>IF(ABS(G11)&gt;0.01,(J11-G11)/G11,"")</f>
        <v/>
      </c>
      <c r="M11" s="1637">
        <v>0</v>
      </c>
      <c r="N11" s="1638" t="e">
        <f>M11/M$7</f>
        <v>#DIV/0!</v>
      </c>
      <c r="O11" s="1640" t="str">
        <f>IF(ABS(J11)&gt;0.01,(M11-J11)/J11,"")</f>
        <v/>
      </c>
      <c r="P11" s="1652"/>
    </row>
    <row r="12" spans="1:196" s="303" customFormat="1" ht="17.25" customHeight="1" x14ac:dyDescent="0.3">
      <c r="A12" s="1641" t="s">
        <v>866</v>
      </c>
      <c r="B12" s="1642">
        <f>B9-B11</f>
        <v>0</v>
      </c>
      <c r="C12" s="1643" t="e">
        <f>B12/B$7</f>
        <v>#DIV/0!</v>
      </c>
      <c r="D12" s="1642">
        <f>D9-D11</f>
        <v>0</v>
      </c>
      <c r="E12" s="1643" t="e">
        <f>D12/D$7</f>
        <v>#DIV/0!</v>
      </c>
      <c r="F12" s="1642" t="str">
        <f>IF(ABS(B12)&gt;0.01,(D12-B12)/B12,"")</f>
        <v/>
      </c>
      <c r="G12" s="1642">
        <f>G9-G11</f>
        <v>0</v>
      </c>
      <c r="H12" s="1643" t="e">
        <f>G12/G$7</f>
        <v>#DIV/0!</v>
      </c>
      <c r="I12" s="1642" t="str">
        <f>IF(ABS(D12)&gt;0.01,(G12-D12)/D12,"")</f>
        <v/>
      </c>
      <c r="J12" s="1642">
        <f>J9-J11</f>
        <v>0</v>
      </c>
      <c r="K12" s="1643" t="e">
        <f>J12/J$7</f>
        <v>#DIV/0!</v>
      </c>
      <c r="L12" s="1642" t="str">
        <f>IF(ABS(G12)&gt;0.01,(J12-G12)/G12,"")</f>
        <v/>
      </c>
      <c r="M12" s="1642">
        <f>M9-M11</f>
        <v>0</v>
      </c>
      <c r="N12" s="1643" t="e">
        <f>M12/M$7</f>
        <v>#DIV/0!</v>
      </c>
      <c r="O12" s="1644" t="str">
        <f>IF(ABS(J12)&gt;0.01,(M12-J12)/J12,"")</f>
        <v/>
      </c>
      <c r="P12" s="1662"/>
      <c r="Q12" s="1561"/>
      <c r="R12" s="1561"/>
      <c r="S12" s="1561"/>
      <c r="T12" s="1561"/>
      <c r="U12" s="1561"/>
      <c r="V12" s="1561"/>
      <c r="W12" s="1561"/>
      <c r="X12" s="1561"/>
      <c r="Y12" s="1561"/>
      <c r="Z12" s="1561"/>
      <c r="AA12" s="1561"/>
      <c r="AB12" s="1561"/>
      <c r="AC12" s="1561"/>
      <c r="AD12" s="1561"/>
      <c r="AE12" s="1561"/>
      <c r="AF12" s="1561"/>
      <c r="AG12" s="1561"/>
      <c r="AH12" s="1561"/>
      <c r="AI12" s="1561"/>
      <c r="AJ12" s="1561"/>
      <c r="AK12" s="1561"/>
      <c r="AL12" s="1561"/>
      <c r="AM12" s="1561"/>
      <c r="AN12" s="1561"/>
      <c r="AO12" s="1561"/>
      <c r="AP12" s="1561"/>
      <c r="AQ12" s="1561"/>
      <c r="AR12" s="1561"/>
      <c r="AS12" s="1561"/>
      <c r="AT12" s="1561"/>
      <c r="AU12" s="1561"/>
      <c r="AV12" s="1561"/>
      <c r="AW12" s="1561"/>
      <c r="AX12" s="1561"/>
      <c r="AY12" s="1561"/>
      <c r="AZ12" s="1561"/>
      <c r="BA12" s="1561"/>
      <c r="BB12" s="1561"/>
      <c r="BC12" s="1561"/>
      <c r="BD12" s="1561"/>
      <c r="BE12" s="1561"/>
      <c r="BF12" s="1561"/>
      <c r="BG12" s="1561"/>
      <c r="BH12" s="1561"/>
      <c r="BI12" s="1561"/>
      <c r="BJ12" s="1561"/>
      <c r="BK12" s="1561"/>
      <c r="BL12" s="1561"/>
      <c r="BM12" s="1561"/>
      <c r="BN12" s="1561"/>
      <c r="BO12" s="1561"/>
      <c r="BP12" s="1561"/>
      <c r="BQ12" s="1561"/>
      <c r="BR12" s="1561"/>
      <c r="BS12" s="1561"/>
      <c r="BT12" s="1561"/>
      <c r="BU12" s="1561"/>
      <c r="BV12" s="1561"/>
      <c r="BW12" s="1561"/>
      <c r="BX12" s="1561"/>
      <c r="BY12" s="1561"/>
      <c r="BZ12" s="1561"/>
      <c r="CA12" s="1561"/>
      <c r="CB12" s="1561"/>
      <c r="CC12" s="1561"/>
      <c r="CD12" s="1561"/>
      <c r="CE12" s="1561"/>
      <c r="CF12" s="1561"/>
      <c r="CG12" s="1561"/>
      <c r="CH12" s="1561"/>
      <c r="CI12" s="1561"/>
      <c r="CJ12" s="1561"/>
      <c r="CK12" s="1561"/>
      <c r="CL12" s="1561"/>
      <c r="CM12" s="1561"/>
      <c r="CN12" s="1561"/>
      <c r="CO12" s="1561"/>
      <c r="CP12" s="1561"/>
      <c r="CQ12" s="1561"/>
      <c r="CR12" s="1561"/>
      <c r="CS12" s="1561"/>
      <c r="CT12" s="1561"/>
      <c r="CU12" s="1561"/>
      <c r="CV12" s="1561"/>
      <c r="CW12" s="1561"/>
      <c r="CX12" s="1561"/>
      <c r="CY12" s="1561"/>
      <c r="CZ12" s="1561"/>
      <c r="DA12" s="1561"/>
      <c r="DB12" s="1561"/>
      <c r="DC12" s="1561"/>
      <c r="DD12" s="1561"/>
      <c r="DE12" s="1561"/>
      <c r="DF12" s="1561"/>
      <c r="DG12" s="1561"/>
      <c r="DH12" s="1561"/>
      <c r="DI12" s="1561"/>
      <c r="DJ12" s="1561"/>
      <c r="DK12" s="1561"/>
      <c r="DL12" s="1561"/>
      <c r="DM12" s="1561"/>
      <c r="DN12" s="1561"/>
      <c r="DO12" s="1561"/>
      <c r="DP12" s="1561"/>
      <c r="DQ12" s="1561"/>
      <c r="DR12" s="1561"/>
      <c r="DS12" s="1561"/>
      <c r="DT12" s="1561"/>
      <c r="DU12" s="1561"/>
      <c r="DV12" s="1561"/>
      <c r="DW12" s="1561"/>
      <c r="DX12" s="1561"/>
      <c r="DY12" s="1561"/>
      <c r="DZ12" s="1561"/>
      <c r="EA12" s="1561"/>
      <c r="EB12" s="1561"/>
      <c r="EC12" s="1561"/>
      <c r="ED12" s="1561"/>
      <c r="EE12" s="1561"/>
      <c r="EF12" s="1561"/>
      <c r="EG12" s="1561"/>
      <c r="EH12" s="1561"/>
      <c r="EI12" s="1561"/>
      <c r="EJ12" s="1561"/>
      <c r="EK12" s="1561"/>
      <c r="EL12" s="1561"/>
      <c r="EM12" s="1561"/>
      <c r="EN12" s="1561"/>
      <c r="EO12" s="1561"/>
      <c r="EP12" s="1561"/>
      <c r="EQ12" s="1561"/>
      <c r="ER12" s="1561"/>
      <c r="ES12" s="1561"/>
      <c r="ET12" s="1561"/>
      <c r="EU12" s="1561"/>
      <c r="EV12" s="1561"/>
      <c r="EW12" s="1561"/>
      <c r="EX12" s="1561"/>
      <c r="EY12" s="1561"/>
      <c r="EZ12" s="1561"/>
      <c r="FA12" s="1561"/>
      <c r="FB12" s="1561"/>
      <c r="FC12" s="1561"/>
      <c r="FD12" s="1561"/>
      <c r="FE12" s="1561"/>
      <c r="FF12" s="1561"/>
      <c r="FG12" s="1561"/>
      <c r="FH12" s="1561"/>
      <c r="FI12" s="1561"/>
      <c r="FJ12" s="1561"/>
      <c r="FK12" s="1561"/>
      <c r="FL12" s="1561"/>
      <c r="FM12" s="1561"/>
      <c r="FN12" s="1561"/>
      <c r="FO12" s="1561"/>
      <c r="FP12" s="1561"/>
      <c r="FQ12" s="1561"/>
      <c r="FR12" s="1561"/>
      <c r="FS12" s="1561"/>
      <c r="FT12" s="1561"/>
      <c r="FU12" s="1561"/>
      <c r="FV12" s="1561"/>
      <c r="FW12" s="1561"/>
      <c r="FX12" s="1561"/>
      <c r="FY12" s="1561"/>
      <c r="FZ12" s="1561"/>
      <c r="GA12" s="1561"/>
      <c r="GB12" s="1561"/>
      <c r="GC12" s="1561"/>
      <c r="GD12" s="1561"/>
      <c r="GE12" s="1561"/>
      <c r="GF12" s="1561"/>
      <c r="GG12" s="1561"/>
      <c r="GH12" s="1561"/>
      <c r="GI12" s="1561"/>
      <c r="GJ12" s="1561"/>
      <c r="GK12" s="1561"/>
      <c r="GL12" s="1561"/>
      <c r="GM12" s="1561"/>
      <c r="GN12" s="1561"/>
    </row>
    <row r="13" spans="1:196" s="303" customFormat="1" ht="17.25" customHeight="1" x14ac:dyDescent="0.3">
      <c r="A13" s="1650"/>
      <c r="B13" s="1557"/>
      <c r="C13" s="1651"/>
      <c r="D13" s="1557"/>
      <c r="E13" s="1651"/>
      <c r="F13" s="1652"/>
      <c r="G13" s="1557"/>
      <c r="H13" s="1651"/>
      <c r="I13" s="1652"/>
      <c r="J13" s="1557"/>
      <c r="K13" s="1651"/>
      <c r="L13" s="1652"/>
      <c r="M13" s="1557"/>
      <c r="N13" s="1651"/>
      <c r="O13" s="1653"/>
      <c r="P13" s="1663"/>
      <c r="Q13" s="1561"/>
      <c r="R13" s="1561"/>
      <c r="S13" s="1561"/>
      <c r="T13" s="1561"/>
      <c r="U13" s="1561"/>
      <c r="V13" s="1561"/>
      <c r="W13" s="1561"/>
      <c r="X13" s="1561"/>
      <c r="Y13" s="1561"/>
      <c r="Z13" s="1561"/>
      <c r="AA13" s="1561"/>
      <c r="AB13" s="1561"/>
      <c r="AC13" s="1561"/>
      <c r="AD13" s="1561"/>
      <c r="AE13" s="1561"/>
      <c r="AF13" s="1561"/>
      <c r="AG13" s="1561"/>
      <c r="AH13" s="1561"/>
      <c r="AI13" s="1561"/>
      <c r="AJ13" s="1561"/>
      <c r="AK13" s="1561"/>
      <c r="AL13" s="1561"/>
      <c r="AM13" s="1561"/>
      <c r="AN13" s="1561"/>
      <c r="AO13" s="1561"/>
      <c r="AP13" s="1561"/>
      <c r="AQ13" s="1561"/>
      <c r="AR13" s="1561"/>
      <c r="AS13" s="1561"/>
      <c r="AT13" s="1561"/>
      <c r="AU13" s="1561"/>
      <c r="AV13" s="1561"/>
      <c r="AW13" s="1561"/>
      <c r="AX13" s="1561"/>
      <c r="AY13" s="1561"/>
      <c r="AZ13" s="1561"/>
      <c r="BA13" s="1561"/>
      <c r="BB13" s="1561"/>
      <c r="BC13" s="1561"/>
      <c r="BD13" s="1561"/>
      <c r="BE13" s="1561"/>
      <c r="BF13" s="1561"/>
      <c r="BG13" s="1561"/>
      <c r="BH13" s="1561"/>
      <c r="BI13" s="1561"/>
      <c r="BJ13" s="1561"/>
      <c r="BK13" s="1561"/>
      <c r="BL13" s="1561"/>
      <c r="BM13" s="1561"/>
      <c r="BN13" s="1561"/>
      <c r="BO13" s="1561"/>
      <c r="BP13" s="1561"/>
      <c r="BQ13" s="1561"/>
      <c r="BR13" s="1561"/>
      <c r="BS13" s="1561"/>
      <c r="BT13" s="1561"/>
      <c r="BU13" s="1561"/>
      <c r="BV13" s="1561"/>
      <c r="BW13" s="1561"/>
      <c r="BX13" s="1561"/>
      <c r="BY13" s="1561"/>
      <c r="BZ13" s="1561"/>
      <c r="CA13" s="1561"/>
      <c r="CB13" s="1561"/>
      <c r="CC13" s="1561"/>
      <c r="CD13" s="1561"/>
      <c r="CE13" s="1561"/>
      <c r="CF13" s="1561"/>
      <c r="CG13" s="1561"/>
      <c r="CH13" s="1561"/>
      <c r="CI13" s="1561"/>
      <c r="CJ13" s="1561"/>
      <c r="CK13" s="1561"/>
      <c r="CL13" s="1561"/>
      <c r="CM13" s="1561"/>
      <c r="CN13" s="1561"/>
      <c r="CO13" s="1561"/>
      <c r="CP13" s="1561"/>
      <c r="CQ13" s="1561"/>
      <c r="CR13" s="1561"/>
      <c r="CS13" s="1561"/>
      <c r="CT13" s="1561"/>
      <c r="CU13" s="1561"/>
      <c r="CV13" s="1561"/>
      <c r="CW13" s="1561"/>
      <c r="CX13" s="1561"/>
      <c r="CY13" s="1561"/>
      <c r="CZ13" s="1561"/>
      <c r="DA13" s="1561"/>
      <c r="DB13" s="1561"/>
      <c r="DC13" s="1561"/>
      <c r="DD13" s="1561"/>
      <c r="DE13" s="1561"/>
      <c r="DF13" s="1561"/>
      <c r="DG13" s="1561"/>
      <c r="DH13" s="1561"/>
      <c r="DI13" s="1561"/>
      <c r="DJ13" s="1561"/>
      <c r="DK13" s="1561"/>
      <c r="DL13" s="1561"/>
      <c r="DM13" s="1561"/>
      <c r="DN13" s="1561"/>
      <c r="DO13" s="1561"/>
      <c r="DP13" s="1561"/>
      <c r="DQ13" s="1561"/>
      <c r="DR13" s="1561"/>
      <c r="DS13" s="1561"/>
      <c r="DT13" s="1561"/>
      <c r="DU13" s="1561"/>
      <c r="DV13" s="1561"/>
      <c r="DW13" s="1561"/>
      <c r="DX13" s="1561"/>
      <c r="DY13" s="1561"/>
      <c r="DZ13" s="1561"/>
      <c r="EA13" s="1561"/>
      <c r="EB13" s="1561"/>
      <c r="EC13" s="1561"/>
      <c r="ED13" s="1561"/>
      <c r="EE13" s="1561"/>
      <c r="EF13" s="1561"/>
      <c r="EG13" s="1561"/>
      <c r="EH13" s="1561"/>
      <c r="EI13" s="1561"/>
      <c r="EJ13" s="1561"/>
      <c r="EK13" s="1561"/>
      <c r="EL13" s="1561"/>
      <c r="EM13" s="1561"/>
      <c r="EN13" s="1561"/>
      <c r="EO13" s="1561"/>
      <c r="EP13" s="1561"/>
      <c r="EQ13" s="1561"/>
      <c r="ER13" s="1561"/>
      <c r="ES13" s="1561"/>
      <c r="ET13" s="1561"/>
      <c r="EU13" s="1561"/>
      <c r="EV13" s="1561"/>
      <c r="EW13" s="1561"/>
      <c r="EX13" s="1561"/>
      <c r="EY13" s="1561"/>
      <c r="EZ13" s="1561"/>
      <c r="FA13" s="1561"/>
      <c r="FB13" s="1561"/>
      <c r="FC13" s="1561"/>
      <c r="FD13" s="1561"/>
      <c r="FE13" s="1561"/>
      <c r="FF13" s="1561"/>
      <c r="FG13" s="1561"/>
      <c r="FH13" s="1561"/>
      <c r="FI13" s="1561"/>
      <c r="FJ13" s="1561"/>
      <c r="FK13" s="1561"/>
      <c r="FL13" s="1561"/>
      <c r="FM13" s="1561"/>
      <c r="FN13" s="1561"/>
      <c r="FO13" s="1561"/>
      <c r="FP13" s="1561"/>
      <c r="FQ13" s="1561"/>
      <c r="FR13" s="1561"/>
      <c r="FS13" s="1561"/>
      <c r="FT13" s="1561"/>
      <c r="FU13" s="1561"/>
      <c r="FV13" s="1561"/>
      <c r="FW13" s="1561"/>
      <c r="FX13" s="1561"/>
      <c r="FY13" s="1561"/>
      <c r="FZ13" s="1561"/>
      <c r="GA13" s="1561"/>
      <c r="GB13" s="1561"/>
      <c r="GC13" s="1561"/>
      <c r="GD13" s="1561"/>
      <c r="GE13" s="1561"/>
      <c r="GF13" s="1561"/>
      <c r="GG13" s="1561"/>
      <c r="GH13" s="1561"/>
      <c r="GI13" s="1561"/>
      <c r="GJ13" s="1561"/>
      <c r="GK13" s="1561"/>
      <c r="GL13" s="1561"/>
      <c r="GM13" s="1561"/>
      <c r="GN13" s="1561"/>
    </row>
    <row r="14" spans="1:196" ht="17.25" customHeight="1" x14ac:dyDescent="0.3">
      <c r="A14" s="1636" t="s">
        <v>91</v>
      </c>
      <c r="B14" s="1637">
        <v>0</v>
      </c>
      <c r="C14" s="1638" t="e">
        <f>B14/B$7</f>
        <v>#DIV/0!</v>
      </c>
      <c r="D14" s="1637">
        <v>0</v>
      </c>
      <c r="E14" s="1638" t="e">
        <f>D14/D$7</f>
        <v>#DIV/0!</v>
      </c>
      <c r="F14" s="1639" t="str">
        <f>IF(ABS(B14)&gt;0.01,(D14-B14)/B14,"")</f>
        <v/>
      </c>
      <c r="G14" s="1637">
        <v>0</v>
      </c>
      <c r="H14" s="1638" t="e">
        <f>G14/G$7</f>
        <v>#DIV/0!</v>
      </c>
      <c r="I14" s="1639" t="str">
        <f>IF(ABS(D14)&gt;0.01,(G14-D14)/D14,"")</f>
        <v/>
      </c>
      <c r="J14" s="1637">
        <v>0</v>
      </c>
      <c r="K14" s="1638" t="e">
        <f>J14/J$7</f>
        <v>#DIV/0!</v>
      </c>
      <c r="L14" s="1639" t="str">
        <f>IF(ABS(G14)&gt;0.01,(J14-G14)/G14,"")</f>
        <v/>
      </c>
      <c r="M14" s="1637">
        <v>0</v>
      </c>
      <c r="N14" s="1638" t="e">
        <f>M14/M$7</f>
        <v>#DIV/0!</v>
      </c>
      <c r="O14" s="1640" t="str">
        <f>IF(ABS(J14)&gt;0.01,(M14-J14)/J14,"")</f>
        <v/>
      </c>
      <c r="P14" s="1652"/>
    </row>
    <row r="15" spans="1:196" ht="17.25" customHeight="1" x14ac:dyDescent="0.3">
      <c r="A15" s="1636" t="s">
        <v>119</v>
      </c>
      <c r="B15" s="1637">
        <v>0</v>
      </c>
      <c r="C15" s="1638" t="e">
        <f>B15/B$7</f>
        <v>#DIV/0!</v>
      </c>
      <c r="D15" s="1637">
        <v>0</v>
      </c>
      <c r="E15" s="1638" t="e">
        <f>D15/D$7</f>
        <v>#DIV/0!</v>
      </c>
      <c r="F15" s="1639" t="str">
        <f>IF(ABS(B15)&gt;0.01,(D15-B15)/B15,"")</f>
        <v/>
      </c>
      <c r="G15" s="1637">
        <v>0</v>
      </c>
      <c r="H15" s="1638" t="e">
        <f>G15/G$7</f>
        <v>#DIV/0!</v>
      </c>
      <c r="I15" s="1639" t="str">
        <f>IF(ABS(D15)&gt;0.01,(G15-D15)/D15,"")</f>
        <v/>
      </c>
      <c r="J15" s="1637">
        <v>0</v>
      </c>
      <c r="K15" s="1638" t="e">
        <f>J15/J$7</f>
        <v>#DIV/0!</v>
      </c>
      <c r="L15" s="1639" t="str">
        <f>IF(ABS(G15)&gt;0.01,(J15-G15)/G15,"")</f>
        <v/>
      </c>
      <c r="M15" s="1637">
        <v>0</v>
      </c>
      <c r="N15" s="1638" t="e">
        <f>M15/M$7</f>
        <v>#DIV/0!</v>
      </c>
      <c r="O15" s="1640" t="str">
        <f>IF(ABS(J15)&gt;0.01,(M15-J15)/J15,"")</f>
        <v/>
      </c>
      <c r="P15" s="1652"/>
    </row>
    <row r="16" spans="1:196" ht="17.25" customHeight="1" x14ac:dyDescent="0.3">
      <c r="A16" s="1636" t="s">
        <v>90</v>
      </c>
      <c r="B16" s="1637">
        <v>0</v>
      </c>
      <c r="C16" s="1638" t="e">
        <f>B16/B$7</f>
        <v>#DIV/0!</v>
      </c>
      <c r="D16" s="1637">
        <v>0</v>
      </c>
      <c r="E16" s="1638" t="e">
        <f>D16/D$7</f>
        <v>#DIV/0!</v>
      </c>
      <c r="F16" s="1639" t="str">
        <f>IF(ABS(B16)&gt;0.01,(D16-B16)/B16,"")</f>
        <v/>
      </c>
      <c r="G16" s="1637">
        <v>0</v>
      </c>
      <c r="H16" s="1638" t="e">
        <f>G16/G$7</f>
        <v>#DIV/0!</v>
      </c>
      <c r="I16" s="1639" t="str">
        <f>IF(ABS(D16)&gt;0.01,(G16-D16)/D16,"")</f>
        <v/>
      </c>
      <c r="J16" s="1637">
        <v>0</v>
      </c>
      <c r="K16" s="1638" t="e">
        <f>J16/J$7</f>
        <v>#DIV/0!</v>
      </c>
      <c r="L16" s="1639" t="str">
        <f>IF(ABS(G16)&gt;0.01,(J16-G16)/G16,"")</f>
        <v/>
      </c>
      <c r="M16" s="1637">
        <v>0</v>
      </c>
      <c r="N16" s="1638" t="e">
        <f>M16/M$7</f>
        <v>#DIV/0!</v>
      </c>
      <c r="O16" s="1640" t="str">
        <f>IF(ABS(J16)&gt;0.01,(M16-J16)/J16,"")</f>
        <v/>
      </c>
      <c r="P16" s="1652"/>
    </row>
    <row r="17" spans="1:196" ht="17.25" customHeight="1" x14ac:dyDescent="0.3">
      <c r="A17" s="1636" t="str">
        <f>'PyG 0'!A15</f>
        <v>Dotación Amortizaciones</v>
      </c>
      <c r="B17" s="1637">
        <v>0</v>
      </c>
      <c r="C17" s="1638" t="e">
        <f>B17/B$7</f>
        <v>#DIV/0!</v>
      </c>
      <c r="D17" s="1637">
        <v>0</v>
      </c>
      <c r="E17" s="1638" t="e">
        <f>D17/D$7</f>
        <v>#DIV/0!</v>
      </c>
      <c r="F17" s="1639" t="str">
        <f>IF(ABS(B17)&gt;0.01,(D17-B17)/B17,"")</f>
        <v/>
      </c>
      <c r="G17" s="1637">
        <v>0</v>
      </c>
      <c r="H17" s="1638" t="e">
        <f>G17/G$7</f>
        <v>#DIV/0!</v>
      </c>
      <c r="I17" s="1639" t="str">
        <f>IF(ABS(D17)&gt;0.01,(G17-D17)/D17,"")</f>
        <v/>
      </c>
      <c r="J17" s="1637">
        <v>0</v>
      </c>
      <c r="K17" s="1638" t="e">
        <f>J17/J$7</f>
        <v>#DIV/0!</v>
      </c>
      <c r="L17" s="1639" t="str">
        <f>IF(ABS(G17)&gt;0.01,(J17-G17)/G17,"")</f>
        <v/>
      </c>
      <c r="M17" s="1637">
        <v>0</v>
      </c>
      <c r="N17" s="1638" t="e">
        <f>M17/M$7</f>
        <v>#DIV/0!</v>
      </c>
      <c r="O17" s="1640" t="str">
        <f>IF(ABS(J17)&gt;0.01,(M17-J17)/J17,"")</f>
        <v/>
      </c>
      <c r="P17" s="1652"/>
    </row>
    <row r="18" spans="1:196" s="1089" customFormat="1" ht="17.25" customHeight="1" x14ac:dyDescent="0.3">
      <c r="A18" s="1641" t="s">
        <v>871</v>
      </c>
      <c r="B18" s="1642">
        <f>SUM(B14:B17)</f>
        <v>0</v>
      </c>
      <c r="C18" s="1643" t="e">
        <f>B18/B$7</f>
        <v>#DIV/0!</v>
      </c>
      <c r="D18" s="1642">
        <f>SUM(D14:D17)</f>
        <v>0</v>
      </c>
      <c r="E18" s="1643" t="e">
        <f>D18/D$7</f>
        <v>#DIV/0!</v>
      </c>
      <c r="F18" s="1642" t="str">
        <f>IF(ABS(B18)&gt;0.01,(D18-B18)/B18,"")</f>
        <v/>
      </c>
      <c r="G18" s="1642">
        <f>SUM(G14:G17)</f>
        <v>0</v>
      </c>
      <c r="H18" s="1643" t="e">
        <f>G18/G$7</f>
        <v>#DIV/0!</v>
      </c>
      <c r="I18" s="1642" t="str">
        <f>IF(ABS(D18)&gt;0.01,(G18-D18)/D18,"")</f>
        <v/>
      </c>
      <c r="J18" s="1642">
        <f>SUM(J14:J17)</f>
        <v>0</v>
      </c>
      <c r="K18" s="1643" t="e">
        <f>J18/J$7</f>
        <v>#DIV/0!</v>
      </c>
      <c r="L18" s="1642" t="str">
        <f>IF(ABS(G18)&gt;0.01,(J18-G18)/G18,"")</f>
        <v/>
      </c>
      <c r="M18" s="1642">
        <f>SUM(M14:M17)</f>
        <v>0</v>
      </c>
      <c r="N18" s="1643" t="e">
        <f>M18/M$7</f>
        <v>#DIV/0!</v>
      </c>
      <c r="O18" s="1644" t="str">
        <f>IF(ABS(J18)&gt;0.01,(M18-J18)/J18,"")</f>
        <v/>
      </c>
      <c r="P18" s="1664"/>
      <c r="Q18" s="1665"/>
      <c r="R18" s="1665"/>
      <c r="S18" s="1665"/>
      <c r="T18" s="1665"/>
      <c r="U18" s="1665"/>
      <c r="V18" s="1665"/>
      <c r="W18" s="1665"/>
      <c r="X18" s="1665"/>
      <c r="Y18" s="1665"/>
      <c r="Z18" s="1665"/>
      <c r="AA18" s="1665"/>
      <c r="AB18" s="1665"/>
      <c r="AC18" s="1665"/>
      <c r="AD18" s="1665"/>
      <c r="AE18" s="1665"/>
      <c r="AF18" s="1665"/>
      <c r="AG18" s="1665"/>
      <c r="AH18" s="1665"/>
      <c r="AI18" s="1665"/>
      <c r="AJ18" s="1665"/>
      <c r="AK18" s="1665"/>
      <c r="AL18" s="1665"/>
      <c r="AM18" s="1665"/>
      <c r="AN18" s="1665"/>
      <c r="AO18" s="1665"/>
      <c r="AP18" s="1665"/>
      <c r="AQ18" s="1665"/>
      <c r="AR18" s="1665"/>
      <c r="AS18" s="1665"/>
      <c r="AT18" s="1665"/>
      <c r="AU18" s="1665"/>
      <c r="AV18" s="1665"/>
      <c r="AW18" s="1665"/>
      <c r="AX18" s="1665"/>
      <c r="AY18" s="1665"/>
      <c r="AZ18" s="1665"/>
      <c r="BA18" s="1665"/>
      <c r="BB18" s="1665"/>
      <c r="BC18" s="1665"/>
      <c r="BD18" s="1665"/>
      <c r="BE18" s="1665"/>
      <c r="BF18" s="1665"/>
      <c r="BG18" s="1665"/>
      <c r="BH18" s="1665"/>
      <c r="BI18" s="1665"/>
      <c r="BJ18" s="1665"/>
      <c r="BK18" s="1665"/>
      <c r="BL18" s="1665"/>
      <c r="BM18" s="1665"/>
      <c r="BN18" s="1665"/>
      <c r="BO18" s="1665"/>
      <c r="BP18" s="1665"/>
      <c r="BQ18" s="1665"/>
      <c r="BR18" s="1665"/>
      <c r="BS18" s="1665"/>
      <c r="BT18" s="1665"/>
      <c r="BU18" s="1665"/>
      <c r="BV18" s="1665"/>
      <c r="BW18" s="1665"/>
      <c r="BX18" s="1665"/>
      <c r="BY18" s="1665"/>
      <c r="BZ18" s="1665"/>
      <c r="CA18" s="1665"/>
      <c r="CB18" s="1665"/>
      <c r="CC18" s="1665"/>
      <c r="CD18" s="1665"/>
      <c r="CE18" s="1665"/>
      <c r="CF18" s="1665"/>
      <c r="CG18" s="1665"/>
      <c r="CH18" s="1665"/>
      <c r="CI18" s="1665"/>
      <c r="CJ18" s="1665"/>
      <c r="CK18" s="1665"/>
      <c r="CL18" s="1665"/>
      <c r="CM18" s="1665"/>
      <c r="CN18" s="1665"/>
      <c r="CO18" s="1665"/>
      <c r="CP18" s="1665"/>
      <c r="CQ18" s="1665"/>
      <c r="CR18" s="1665"/>
      <c r="CS18" s="1665"/>
      <c r="CT18" s="1665"/>
      <c r="CU18" s="1665"/>
      <c r="CV18" s="1665"/>
      <c r="CW18" s="1665"/>
      <c r="CX18" s="1665"/>
      <c r="CY18" s="1665"/>
      <c r="CZ18" s="1665"/>
      <c r="DA18" s="1665"/>
      <c r="DB18" s="1665"/>
      <c r="DC18" s="1665"/>
      <c r="DD18" s="1665"/>
      <c r="DE18" s="1665"/>
      <c r="DF18" s="1665"/>
      <c r="DG18" s="1665"/>
      <c r="DH18" s="1665"/>
      <c r="DI18" s="1665"/>
      <c r="DJ18" s="1665"/>
      <c r="DK18" s="1665"/>
      <c r="DL18" s="1665"/>
      <c r="DM18" s="1665"/>
      <c r="DN18" s="1665"/>
      <c r="DO18" s="1665"/>
      <c r="DP18" s="1665"/>
      <c r="DQ18" s="1665"/>
      <c r="DR18" s="1665"/>
      <c r="DS18" s="1665"/>
      <c r="DT18" s="1665"/>
      <c r="DU18" s="1665"/>
      <c r="DV18" s="1665"/>
      <c r="DW18" s="1665"/>
      <c r="DX18" s="1665"/>
      <c r="DY18" s="1665"/>
      <c r="DZ18" s="1665"/>
      <c r="EA18" s="1665"/>
      <c r="EB18" s="1665"/>
      <c r="EC18" s="1665"/>
      <c r="ED18" s="1665"/>
      <c r="EE18" s="1665"/>
      <c r="EF18" s="1665"/>
      <c r="EG18" s="1665"/>
      <c r="EH18" s="1665"/>
      <c r="EI18" s="1665"/>
      <c r="EJ18" s="1665"/>
      <c r="EK18" s="1665"/>
      <c r="EL18" s="1665"/>
      <c r="EM18" s="1665"/>
      <c r="EN18" s="1665"/>
      <c r="EO18" s="1665"/>
      <c r="EP18" s="1665"/>
      <c r="EQ18" s="1665"/>
      <c r="ER18" s="1665"/>
      <c r="ES18" s="1665"/>
      <c r="ET18" s="1665"/>
      <c r="EU18" s="1665"/>
      <c r="EV18" s="1665"/>
      <c r="EW18" s="1665"/>
      <c r="EX18" s="1665"/>
      <c r="EY18" s="1665"/>
      <c r="EZ18" s="1665"/>
      <c r="FA18" s="1665"/>
      <c r="FB18" s="1665"/>
      <c r="FC18" s="1665"/>
      <c r="FD18" s="1665"/>
      <c r="FE18" s="1665"/>
      <c r="FF18" s="1665"/>
      <c r="FG18" s="1665"/>
      <c r="FH18" s="1665"/>
      <c r="FI18" s="1665"/>
      <c r="FJ18" s="1665"/>
      <c r="FK18" s="1665"/>
      <c r="FL18" s="1665"/>
      <c r="FM18" s="1665"/>
      <c r="FN18" s="1665"/>
      <c r="FO18" s="1665"/>
      <c r="FP18" s="1665"/>
      <c r="FQ18" s="1665"/>
      <c r="FR18" s="1665"/>
      <c r="FS18" s="1665"/>
      <c r="FT18" s="1665"/>
      <c r="FU18" s="1665"/>
      <c r="FV18" s="1665"/>
      <c r="FW18" s="1665"/>
      <c r="FX18" s="1665"/>
      <c r="FY18" s="1665"/>
      <c r="FZ18" s="1665"/>
      <c r="GA18" s="1665"/>
      <c r="GB18" s="1665"/>
      <c r="GC18" s="1665"/>
      <c r="GD18" s="1665"/>
      <c r="GE18" s="1665"/>
      <c r="GF18" s="1665"/>
      <c r="GG18" s="1665"/>
      <c r="GH18" s="1665"/>
      <c r="GI18" s="1665"/>
      <c r="GJ18" s="1665"/>
      <c r="GK18" s="1665"/>
      <c r="GL18" s="1665"/>
      <c r="GM18" s="1665"/>
      <c r="GN18" s="1665"/>
    </row>
    <row r="19" spans="1:196" s="303" customFormat="1" ht="17.25" customHeight="1" x14ac:dyDescent="0.3">
      <c r="A19" s="1650"/>
      <c r="B19" s="1557"/>
      <c r="C19" s="1651"/>
      <c r="D19" s="1557"/>
      <c r="E19" s="1651"/>
      <c r="F19" s="1652"/>
      <c r="G19" s="1557"/>
      <c r="H19" s="1651"/>
      <c r="I19" s="1652"/>
      <c r="J19" s="1557"/>
      <c r="K19" s="1651"/>
      <c r="L19" s="1652"/>
      <c r="M19" s="1557"/>
      <c r="N19" s="1651"/>
      <c r="O19" s="1653"/>
      <c r="P19" s="1663"/>
      <c r="Q19" s="1561"/>
      <c r="R19" s="1561"/>
      <c r="S19" s="1561"/>
      <c r="T19" s="1561"/>
      <c r="U19" s="1561"/>
      <c r="V19" s="1561"/>
      <c r="W19" s="1561"/>
      <c r="X19" s="1561"/>
      <c r="Y19" s="1561"/>
      <c r="Z19" s="1561"/>
      <c r="AA19" s="1561"/>
      <c r="AB19" s="1561"/>
      <c r="AC19" s="1561"/>
      <c r="AD19" s="1561"/>
      <c r="AE19" s="1561"/>
      <c r="AF19" s="1561"/>
      <c r="AG19" s="1561"/>
      <c r="AH19" s="1561"/>
      <c r="AI19" s="1561"/>
      <c r="AJ19" s="1561"/>
      <c r="AK19" s="1561"/>
      <c r="AL19" s="1561"/>
      <c r="AM19" s="1561"/>
      <c r="AN19" s="1561"/>
      <c r="AO19" s="1561"/>
      <c r="AP19" s="1561"/>
      <c r="AQ19" s="1561"/>
      <c r="AR19" s="1561"/>
      <c r="AS19" s="1561"/>
      <c r="AT19" s="1561"/>
      <c r="AU19" s="1561"/>
      <c r="AV19" s="1561"/>
      <c r="AW19" s="1561"/>
      <c r="AX19" s="1561"/>
      <c r="AY19" s="1561"/>
      <c r="AZ19" s="1561"/>
      <c r="BA19" s="1561"/>
      <c r="BB19" s="1561"/>
      <c r="BC19" s="1561"/>
      <c r="BD19" s="1561"/>
      <c r="BE19" s="1561"/>
      <c r="BF19" s="1561"/>
      <c r="BG19" s="1561"/>
      <c r="BH19" s="1561"/>
      <c r="BI19" s="1561"/>
      <c r="BJ19" s="1561"/>
      <c r="BK19" s="1561"/>
      <c r="BL19" s="1561"/>
      <c r="BM19" s="1561"/>
      <c r="BN19" s="1561"/>
      <c r="BO19" s="1561"/>
      <c r="BP19" s="1561"/>
      <c r="BQ19" s="1561"/>
      <c r="BR19" s="1561"/>
      <c r="BS19" s="1561"/>
      <c r="BT19" s="1561"/>
      <c r="BU19" s="1561"/>
      <c r="BV19" s="1561"/>
      <c r="BW19" s="1561"/>
      <c r="BX19" s="1561"/>
      <c r="BY19" s="1561"/>
      <c r="BZ19" s="1561"/>
      <c r="CA19" s="1561"/>
      <c r="CB19" s="1561"/>
      <c r="CC19" s="1561"/>
      <c r="CD19" s="1561"/>
      <c r="CE19" s="1561"/>
      <c r="CF19" s="1561"/>
      <c r="CG19" s="1561"/>
      <c r="CH19" s="1561"/>
      <c r="CI19" s="1561"/>
      <c r="CJ19" s="1561"/>
      <c r="CK19" s="1561"/>
      <c r="CL19" s="1561"/>
      <c r="CM19" s="1561"/>
      <c r="CN19" s="1561"/>
      <c r="CO19" s="1561"/>
      <c r="CP19" s="1561"/>
      <c r="CQ19" s="1561"/>
      <c r="CR19" s="1561"/>
      <c r="CS19" s="1561"/>
      <c r="CT19" s="1561"/>
      <c r="CU19" s="1561"/>
      <c r="CV19" s="1561"/>
      <c r="CW19" s="1561"/>
      <c r="CX19" s="1561"/>
      <c r="CY19" s="1561"/>
      <c r="CZ19" s="1561"/>
      <c r="DA19" s="1561"/>
      <c r="DB19" s="1561"/>
      <c r="DC19" s="1561"/>
      <c r="DD19" s="1561"/>
      <c r="DE19" s="1561"/>
      <c r="DF19" s="1561"/>
      <c r="DG19" s="1561"/>
      <c r="DH19" s="1561"/>
      <c r="DI19" s="1561"/>
      <c r="DJ19" s="1561"/>
      <c r="DK19" s="1561"/>
      <c r="DL19" s="1561"/>
      <c r="DM19" s="1561"/>
      <c r="DN19" s="1561"/>
      <c r="DO19" s="1561"/>
      <c r="DP19" s="1561"/>
      <c r="DQ19" s="1561"/>
      <c r="DR19" s="1561"/>
      <c r="DS19" s="1561"/>
      <c r="DT19" s="1561"/>
      <c r="DU19" s="1561"/>
      <c r="DV19" s="1561"/>
      <c r="DW19" s="1561"/>
      <c r="DX19" s="1561"/>
      <c r="DY19" s="1561"/>
      <c r="DZ19" s="1561"/>
      <c r="EA19" s="1561"/>
      <c r="EB19" s="1561"/>
      <c r="EC19" s="1561"/>
      <c r="ED19" s="1561"/>
      <c r="EE19" s="1561"/>
      <c r="EF19" s="1561"/>
      <c r="EG19" s="1561"/>
      <c r="EH19" s="1561"/>
      <c r="EI19" s="1561"/>
      <c r="EJ19" s="1561"/>
      <c r="EK19" s="1561"/>
      <c r="EL19" s="1561"/>
      <c r="EM19" s="1561"/>
      <c r="EN19" s="1561"/>
      <c r="EO19" s="1561"/>
      <c r="EP19" s="1561"/>
      <c r="EQ19" s="1561"/>
      <c r="ER19" s="1561"/>
      <c r="ES19" s="1561"/>
      <c r="ET19" s="1561"/>
      <c r="EU19" s="1561"/>
      <c r="EV19" s="1561"/>
      <c r="EW19" s="1561"/>
      <c r="EX19" s="1561"/>
      <c r="EY19" s="1561"/>
      <c r="EZ19" s="1561"/>
      <c r="FA19" s="1561"/>
      <c r="FB19" s="1561"/>
      <c r="FC19" s="1561"/>
      <c r="FD19" s="1561"/>
      <c r="FE19" s="1561"/>
      <c r="FF19" s="1561"/>
      <c r="FG19" s="1561"/>
      <c r="FH19" s="1561"/>
      <c r="FI19" s="1561"/>
      <c r="FJ19" s="1561"/>
      <c r="FK19" s="1561"/>
      <c r="FL19" s="1561"/>
      <c r="FM19" s="1561"/>
      <c r="FN19" s="1561"/>
      <c r="FO19" s="1561"/>
      <c r="FP19" s="1561"/>
      <c r="FQ19" s="1561"/>
      <c r="FR19" s="1561"/>
      <c r="FS19" s="1561"/>
      <c r="FT19" s="1561"/>
      <c r="FU19" s="1561"/>
      <c r="FV19" s="1561"/>
      <c r="FW19" s="1561"/>
      <c r="FX19" s="1561"/>
      <c r="FY19" s="1561"/>
      <c r="FZ19" s="1561"/>
      <c r="GA19" s="1561"/>
      <c r="GB19" s="1561"/>
      <c r="GC19" s="1561"/>
      <c r="GD19" s="1561"/>
      <c r="GE19" s="1561"/>
      <c r="GF19" s="1561"/>
      <c r="GG19" s="1561"/>
      <c r="GH19" s="1561"/>
      <c r="GI19" s="1561"/>
      <c r="GJ19" s="1561"/>
      <c r="GK19" s="1561"/>
      <c r="GL19" s="1561"/>
      <c r="GM19" s="1561"/>
      <c r="GN19" s="1561"/>
    </row>
    <row r="20" spans="1:196" s="303" customFormat="1" ht="17.25" customHeight="1" x14ac:dyDescent="0.3">
      <c r="A20" s="1641" t="s">
        <v>766</v>
      </c>
      <c r="B20" s="1642">
        <f>B12-B18</f>
        <v>0</v>
      </c>
      <c r="C20" s="1643" t="e">
        <f>B20/B$7</f>
        <v>#DIV/0!</v>
      </c>
      <c r="D20" s="1642">
        <f>D12-D18</f>
        <v>0</v>
      </c>
      <c r="E20" s="1643" t="e">
        <f>D20/D$7</f>
        <v>#DIV/0!</v>
      </c>
      <c r="F20" s="1642" t="str">
        <f>IF(ABS(B20)&gt;0.01,(D20-B20)/B20,"")</f>
        <v/>
      </c>
      <c r="G20" s="1642">
        <f>G12-G18</f>
        <v>0</v>
      </c>
      <c r="H20" s="1643" t="e">
        <f>G20/G$7</f>
        <v>#DIV/0!</v>
      </c>
      <c r="I20" s="1642" t="str">
        <f>IF(ABS(D20)&gt;0.01,(G20-D20)/D20,"")</f>
        <v/>
      </c>
      <c r="J20" s="1642">
        <f>J12-J18</f>
        <v>0</v>
      </c>
      <c r="K20" s="1643" t="e">
        <f>J20/J$7</f>
        <v>#DIV/0!</v>
      </c>
      <c r="L20" s="1642" t="str">
        <f>IF(ABS(G20)&gt;0.01,(J20-G20)/G20,"")</f>
        <v/>
      </c>
      <c r="M20" s="1642">
        <f>M12-M18</f>
        <v>0</v>
      </c>
      <c r="N20" s="1643" t="e">
        <f>M20/M$7</f>
        <v>#DIV/0!</v>
      </c>
      <c r="O20" s="1644" t="str">
        <f>IF(ABS(J20)&gt;0.01,(M20-J20)/J20,"")</f>
        <v/>
      </c>
      <c r="P20" s="1664"/>
      <c r="Q20" s="1561"/>
      <c r="R20" s="1561"/>
      <c r="S20" s="1561"/>
      <c r="T20" s="1561"/>
      <c r="U20" s="1561"/>
      <c r="V20" s="1561"/>
      <c r="W20" s="1561"/>
      <c r="X20" s="1561"/>
      <c r="Y20" s="1561"/>
      <c r="Z20" s="1561"/>
      <c r="AA20" s="1561"/>
      <c r="AB20" s="1561"/>
      <c r="AC20" s="1561"/>
      <c r="AD20" s="1561"/>
      <c r="AE20" s="1561"/>
      <c r="AF20" s="1561"/>
      <c r="AG20" s="1561"/>
      <c r="AH20" s="1561"/>
      <c r="AI20" s="1561"/>
      <c r="AJ20" s="1561"/>
      <c r="AK20" s="1561"/>
      <c r="AL20" s="1561"/>
      <c r="AM20" s="1561"/>
      <c r="AN20" s="1561"/>
      <c r="AO20" s="1561"/>
      <c r="AP20" s="1561"/>
      <c r="AQ20" s="1561"/>
      <c r="AR20" s="1561"/>
      <c r="AS20" s="1561"/>
      <c r="AT20" s="1561"/>
      <c r="AU20" s="1561"/>
      <c r="AV20" s="1561"/>
      <c r="AW20" s="1561"/>
      <c r="AX20" s="1561"/>
      <c r="AY20" s="1561"/>
      <c r="AZ20" s="1561"/>
      <c r="BA20" s="1561"/>
      <c r="BB20" s="1561"/>
      <c r="BC20" s="1561"/>
      <c r="BD20" s="1561"/>
      <c r="BE20" s="1561"/>
      <c r="BF20" s="1561"/>
      <c r="BG20" s="1561"/>
      <c r="BH20" s="1561"/>
      <c r="BI20" s="1561"/>
      <c r="BJ20" s="1561"/>
      <c r="BK20" s="1561"/>
      <c r="BL20" s="1561"/>
      <c r="BM20" s="1561"/>
      <c r="BN20" s="1561"/>
      <c r="BO20" s="1561"/>
      <c r="BP20" s="1561"/>
      <c r="BQ20" s="1561"/>
      <c r="BR20" s="1561"/>
      <c r="BS20" s="1561"/>
      <c r="BT20" s="1561"/>
      <c r="BU20" s="1561"/>
      <c r="BV20" s="1561"/>
      <c r="BW20" s="1561"/>
      <c r="BX20" s="1561"/>
      <c r="BY20" s="1561"/>
      <c r="BZ20" s="1561"/>
      <c r="CA20" s="1561"/>
      <c r="CB20" s="1561"/>
      <c r="CC20" s="1561"/>
      <c r="CD20" s="1561"/>
      <c r="CE20" s="1561"/>
      <c r="CF20" s="1561"/>
      <c r="CG20" s="1561"/>
      <c r="CH20" s="1561"/>
      <c r="CI20" s="1561"/>
      <c r="CJ20" s="1561"/>
      <c r="CK20" s="1561"/>
      <c r="CL20" s="1561"/>
      <c r="CM20" s="1561"/>
      <c r="CN20" s="1561"/>
      <c r="CO20" s="1561"/>
      <c r="CP20" s="1561"/>
      <c r="CQ20" s="1561"/>
      <c r="CR20" s="1561"/>
      <c r="CS20" s="1561"/>
      <c r="CT20" s="1561"/>
      <c r="CU20" s="1561"/>
      <c r="CV20" s="1561"/>
      <c r="CW20" s="1561"/>
      <c r="CX20" s="1561"/>
      <c r="CY20" s="1561"/>
      <c r="CZ20" s="1561"/>
      <c r="DA20" s="1561"/>
      <c r="DB20" s="1561"/>
      <c r="DC20" s="1561"/>
      <c r="DD20" s="1561"/>
      <c r="DE20" s="1561"/>
      <c r="DF20" s="1561"/>
      <c r="DG20" s="1561"/>
      <c r="DH20" s="1561"/>
      <c r="DI20" s="1561"/>
      <c r="DJ20" s="1561"/>
      <c r="DK20" s="1561"/>
      <c r="DL20" s="1561"/>
      <c r="DM20" s="1561"/>
      <c r="DN20" s="1561"/>
      <c r="DO20" s="1561"/>
      <c r="DP20" s="1561"/>
      <c r="DQ20" s="1561"/>
      <c r="DR20" s="1561"/>
      <c r="DS20" s="1561"/>
      <c r="DT20" s="1561"/>
      <c r="DU20" s="1561"/>
      <c r="DV20" s="1561"/>
      <c r="DW20" s="1561"/>
      <c r="DX20" s="1561"/>
      <c r="DY20" s="1561"/>
      <c r="DZ20" s="1561"/>
      <c r="EA20" s="1561"/>
      <c r="EB20" s="1561"/>
      <c r="EC20" s="1561"/>
      <c r="ED20" s="1561"/>
      <c r="EE20" s="1561"/>
      <c r="EF20" s="1561"/>
      <c r="EG20" s="1561"/>
      <c r="EH20" s="1561"/>
      <c r="EI20" s="1561"/>
      <c r="EJ20" s="1561"/>
      <c r="EK20" s="1561"/>
      <c r="EL20" s="1561"/>
      <c r="EM20" s="1561"/>
      <c r="EN20" s="1561"/>
      <c r="EO20" s="1561"/>
      <c r="EP20" s="1561"/>
      <c r="EQ20" s="1561"/>
      <c r="ER20" s="1561"/>
      <c r="ES20" s="1561"/>
      <c r="ET20" s="1561"/>
      <c r="EU20" s="1561"/>
      <c r="EV20" s="1561"/>
      <c r="EW20" s="1561"/>
      <c r="EX20" s="1561"/>
      <c r="EY20" s="1561"/>
      <c r="EZ20" s="1561"/>
      <c r="FA20" s="1561"/>
      <c r="FB20" s="1561"/>
      <c r="FC20" s="1561"/>
      <c r="FD20" s="1561"/>
      <c r="FE20" s="1561"/>
      <c r="FF20" s="1561"/>
      <c r="FG20" s="1561"/>
      <c r="FH20" s="1561"/>
      <c r="FI20" s="1561"/>
      <c r="FJ20" s="1561"/>
      <c r="FK20" s="1561"/>
      <c r="FL20" s="1561"/>
      <c r="FM20" s="1561"/>
      <c r="FN20" s="1561"/>
      <c r="FO20" s="1561"/>
      <c r="FP20" s="1561"/>
      <c r="FQ20" s="1561"/>
      <c r="FR20" s="1561"/>
      <c r="FS20" s="1561"/>
      <c r="FT20" s="1561"/>
      <c r="FU20" s="1561"/>
      <c r="FV20" s="1561"/>
      <c r="FW20" s="1561"/>
      <c r="FX20" s="1561"/>
      <c r="FY20" s="1561"/>
      <c r="FZ20" s="1561"/>
      <c r="GA20" s="1561"/>
      <c r="GB20" s="1561"/>
      <c r="GC20" s="1561"/>
      <c r="GD20" s="1561"/>
      <c r="GE20" s="1561"/>
      <c r="GF20" s="1561"/>
      <c r="GG20" s="1561"/>
      <c r="GH20" s="1561"/>
      <c r="GI20" s="1561"/>
      <c r="GJ20" s="1561"/>
      <c r="GK20" s="1561"/>
      <c r="GL20" s="1561"/>
      <c r="GM20" s="1561"/>
      <c r="GN20" s="1561"/>
    </row>
    <row r="21" spans="1:196" s="303" customFormat="1" ht="17.25" customHeight="1" x14ac:dyDescent="0.3">
      <c r="A21" s="1650"/>
      <c r="B21" s="1557"/>
      <c r="C21" s="1651"/>
      <c r="D21" s="1557"/>
      <c r="E21" s="1651"/>
      <c r="F21" s="1652"/>
      <c r="G21" s="1557"/>
      <c r="H21" s="1651"/>
      <c r="I21" s="1652"/>
      <c r="J21" s="1557"/>
      <c r="K21" s="1651"/>
      <c r="L21" s="1652"/>
      <c r="M21" s="1557"/>
      <c r="N21" s="1651"/>
      <c r="O21" s="1653"/>
      <c r="P21" s="1663"/>
      <c r="Q21" s="1561"/>
      <c r="R21" s="1561"/>
      <c r="S21" s="1561"/>
      <c r="T21" s="1561"/>
      <c r="U21" s="1561"/>
      <c r="V21" s="1561"/>
      <c r="W21" s="1561"/>
      <c r="X21" s="1561"/>
      <c r="Y21" s="1561"/>
      <c r="Z21" s="1561"/>
      <c r="AA21" s="1561"/>
      <c r="AB21" s="1561"/>
      <c r="AC21" s="1561"/>
      <c r="AD21" s="1561"/>
      <c r="AE21" s="1561"/>
      <c r="AF21" s="1561"/>
      <c r="AG21" s="1561"/>
      <c r="AH21" s="1561"/>
      <c r="AI21" s="1561"/>
      <c r="AJ21" s="1561"/>
      <c r="AK21" s="1561"/>
      <c r="AL21" s="1561"/>
      <c r="AM21" s="1561"/>
      <c r="AN21" s="1561"/>
      <c r="AO21" s="1561"/>
      <c r="AP21" s="1561"/>
      <c r="AQ21" s="1561"/>
      <c r="AR21" s="1561"/>
      <c r="AS21" s="1561"/>
      <c r="AT21" s="1561"/>
      <c r="AU21" s="1561"/>
      <c r="AV21" s="1561"/>
      <c r="AW21" s="1561"/>
      <c r="AX21" s="1561"/>
      <c r="AY21" s="1561"/>
      <c r="AZ21" s="1561"/>
      <c r="BA21" s="1561"/>
      <c r="BB21" s="1561"/>
      <c r="BC21" s="1561"/>
      <c r="BD21" s="1561"/>
      <c r="BE21" s="1561"/>
      <c r="BF21" s="1561"/>
      <c r="BG21" s="1561"/>
      <c r="BH21" s="1561"/>
      <c r="BI21" s="1561"/>
      <c r="BJ21" s="1561"/>
      <c r="BK21" s="1561"/>
      <c r="BL21" s="1561"/>
      <c r="BM21" s="1561"/>
      <c r="BN21" s="1561"/>
      <c r="BO21" s="1561"/>
      <c r="BP21" s="1561"/>
      <c r="BQ21" s="1561"/>
      <c r="BR21" s="1561"/>
      <c r="BS21" s="1561"/>
      <c r="BT21" s="1561"/>
      <c r="BU21" s="1561"/>
      <c r="BV21" s="1561"/>
      <c r="BW21" s="1561"/>
      <c r="BX21" s="1561"/>
      <c r="BY21" s="1561"/>
      <c r="BZ21" s="1561"/>
      <c r="CA21" s="1561"/>
      <c r="CB21" s="1561"/>
      <c r="CC21" s="1561"/>
      <c r="CD21" s="1561"/>
      <c r="CE21" s="1561"/>
      <c r="CF21" s="1561"/>
      <c r="CG21" s="1561"/>
      <c r="CH21" s="1561"/>
      <c r="CI21" s="1561"/>
      <c r="CJ21" s="1561"/>
      <c r="CK21" s="1561"/>
      <c r="CL21" s="1561"/>
      <c r="CM21" s="1561"/>
      <c r="CN21" s="1561"/>
      <c r="CO21" s="1561"/>
      <c r="CP21" s="1561"/>
      <c r="CQ21" s="1561"/>
      <c r="CR21" s="1561"/>
      <c r="CS21" s="1561"/>
      <c r="CT21" s="1561"/>
      <c r="CU21" s="1561"/>
      <c r="CV21" s="1561"/>
      <c r="CW21" s="1561"/>
      <c r="CX21" s="1561"/>
      <c r="CY21" s="1561"/>
      <c r="CZ21" s="1561"/>
      <c r="DA21" s="1561"/>
      <c r="DB21" s="1561"/>
      <c r="DC21" s="1561"/>
      <c r="DD21" s="1561"/>
      <c r="DE21" s="1561"/>
      <c r="DF21" s="1561"/>
      <c r="DG21" s="1561"/>
      <c r="DH21" s="1561"/>
      <c r="DI21" s="1561"/>
      <c r="DJ21" s="1561"/>
      <c r="DK21" s="1561"/>
      <c r="DL21" s="1561"/>
      <c r="DM21" s="1561"/>
      <c r="DN21" s="1561"/>
      <c r="DO21" s="1561"/>
      <c r="DP21" s="1561"/>
      <c r="DQ21" s="1561"/>
      <c r="DR21" s="1561"/>
      <c r="DS21" s="1561"/>
      <c r="DT21" s="1561"/>
      <c r="DU21" s="1561"/>
      <c r="DV21" s="1561"/>
      <c r="DW21" s="1561"/>
      <c r="DX21" s="1561"/>
      <c r="DY21" s="1561"/>
      <c r="DZ21" s="1561"/>
      <c r="EA21" s="1561"/>
      <c r="EB21" s="1561"/>
      <c r="EC21" s="1561"/>
      <c r="ED21" s="1561"/>
      <c r="EE21" s="1561"/>
      <c r="EF21" s="1561"/>
      <c r="EG21" s="1561"/>
      <c r="EH21" s="1561"/>
      <c r="EI21" s="1561"/>
      <c r="EJ21" s="1561"/>
      <c r="EK21" s="1561"/>
      <c r="EL21" s="1561"/>
      <c r="EM21" s="1561"/>
      <c r="EN21" s="1561"/>
      <c r="EO21" s="1561"/>
      <c r="EP21" s="1561"/>
      <c r="EQ21" s="1561"/>
      <c r="ER21" s="1561"/>
      <c r="ES21" s="1561"/>
      <c r="ET21" s="1561"/>
      <c r="EU21" s="1561"/>
      <c r="EV21" s="1561"/>
      <c r="EW21" s="1561"/>
      <c r="EX21" s="1561"/>
      <c r="EY21" s="1561"/>
      <c r="EZ21" s="1561"/>
      <c r="FA21" s="1561"/>
      <c r="FB21" s="1561"/>
      <c r="FC21" s="1561"/>
      <c r="FD21" s="1561"/>
      <c r="FE21" s="1561"/>
      <c r="FF21" s="1561"/>
      <c r="FG21" s="1561"/>
      <c r="FH21" s="1561"/>
      <c r="FI21" s="1561"/>
      <c r="FJ21" s="1561"/>
      <c r="FK21" s="1561"/>
      <c r="FL21" s="1561"/>
      <c r="FM21" s="1561"/>
      <c r="FN21" s="1561"/>
      <c r="FO21" s="1561"/>
      <c r="FP21" s="1561"/>
      <c r="FQ21" s="1561"/>
      <c r="FR21" s="1561"/>
      <c r="FS21" s="1561"/>
      <c r="FT21" s="1561"/>
      <c r="FU21" s="1561"/>
      <c r="FV21" s="1561"/>
      <c r="FW21" s="1561"/>
      <c r="FX21" s="1561"/>
      <c r="FY21" s="1561"/>
      <c r="FZ21" s="1561"/>
      <c r="GA21" s="1561"/>
      <c r="GB21" s="1561"/>
      <c r="GC21" s="1561"/>
      <c r="GD21" s="1561"/>
      <c r="GE21" s="1561"/>
      <c r="GF21" s="1561"/>
      <c r="GG21" s="1561"/>
      <c r="GH21" s="1561"/>
      <c r="GI21" s="1561"/>
      <c r="GJ21" s="1561"/>
      <c r="GK21" s="1561"/>
      <c r="GL21" s="1561"/>
      <c r="GM21" s="1561"/>
      <c r="GN21" s="1561"/>
    </row>
    <row r="22" spans="1:196" ht="17.25" customHeight="1" x14ac:dyDescent="0.3">
      <c r="A22" s="1636" t="s">
        <v>872</v>
      </c>
      <c r="B22" s="1637">
        <v>0</v>
      </c>
      <c r="C22" s="1638" t="e">
        <f>B22/B$7</f>
        <v>#DIV/0!</v>
      </c>
      <c r="D22" s="1637">
        <v>0</v>
      </c>
      <c r="E22" s="1638" t="e">
        <f>D22/D$7</f>
        <v>#DIV/0!</v>
      </c>
      <c r="F22" s="1639" t="str">
        <f>IF(ABS(B22)&gt;0.01,(D22-B22)/B22,"")</f>
        <v/>
      </c>
      <c r="G22" s="1637">
        <v>0</v>
      </c>
      <c r="H22" s="1638" t="e">
        <f>G22/G$7</f>
        <v>#DIV/0!</v>
      </c>
      <c r="I22" s="1639" t="str">
        <f>IF(ABS(D22)&gt;0.01,(G22-D22)/D22,"")</f>
        <v/>
      </c>
      <c r="J22" s="1637">
        <v>0</v>
      </c>
      <c r="K22" s="1638" t="e">
        <f>J22/J$7</f>
        <v>#DIV/0!</v>
      </c>
      <c r="L22" s="1639" t="str">
        <f>IF(ABS(G22)&gt;0.01,(J22-G22)/G22,"")</f>
        <v/>
      </c>
      <c r="M22" s="1637">
        <v>0</v>
      </c>
      <c r="N22" s="1638" t="e">
        <f>M22/M$7</f>
        <v>#DIV/0!</v>
      </c>
      <c r="O22" s="1640" t="str">
        <f>IF(ABS(J22)&gt;0.01,(M22-J22)/J22,"")</f>
        <v/>
      </c>
      <c r="P22" s="1652"/>
    </row>
    <row r="23" spans="1:196" ht="17.25" customHeight="1" x14ac:dyDescent="0.3">
      <c r="A23" s="1636" t="s">
        <v>873</v>
      </c>
      <c r="B23" s="1637">
        <v>0</v>
      </c>
      <c r="C23" s="1638" t="e">
        <f>B23/B$7</f>
        <v>#DIV/0!</v>
      </c>
      <c r="D23" s="1637">
        <v>0</v>
      </c>
      <c r="E23" s="1638" t="e">
        <f>D23/D$7</f>
        <v>#DIV/0!</v>
      </c>
      <c r="F23" s="1639" t="str">
        <f>IF(ABS(B23)&gt;0.01,(D23-B23)/B23,"")</f>
        <v/>
      </c>
      <c r="G23" s="1637">
        <v>0</v>
      </c>
      <c r="H23" s="1638" t="e">
        <f>G23/G$7</f>
        <v>#DIV/0!</v>
      </c>
      <c r="I23" s="1639" t="str">
        <f>IF(ABS(D23)&gt;0.01,(G23-D23)/D23,"")</f>
        <v/>
      </c>
      <c r="J23" s="1637">
        <v>0</v>
      </c>
      <c r="K23" s="1638" t="e">
        <f>J23/J$7</f>
        <v>#DIV/0!</v>
      </c>
      <c r="L23" s="1639" t="str">
        <f>IF(ABS(G23)&gt;0.01,(J23-G23)/G23,"")</f>
        <v/>
      </c>
      <c r="M23" s="1637">
        <v>0</v>
      </c>
      <c r="N23" s="1638" t="e">
        <f>M23/M$7</f>
        <v>#DIV/0!</v>
      </c>
      <c r="O23" s="1640" t="str">
        <f>IF(ABS(J23)&gt;0.01,(M23-J23)/J23,"")</f>
        <v/>
      </c>
      <c r="P23" s="1652"/>
    </row>
    <row r="24" spans="1:196" s="303" customFormat="1" ht="17.25" customHeight="1" x14ac:dyDescent="0.3">
      <c r="A24" s="1641" t="s">
        <v>874</v>
      </c>
      <c r="B24" s="1642">
        <f>B22-B23</f>
        <v>0</v>
      </c>
      <c r="C24" s="1643" t="e">
        <f>B24/B$7</f>
        <v>#DIV/0!</v>
      </c>
      <c r="D24" s="1642">
        <f>D22-D23</f>
        <v>0</v>
      </c>
      <c r="E24" s="1643" t="e">
        <f>D24/D$7</f>
        <v>#DIV/0!</v>
      </c>
      <c r="F24" s="1642" t="str">
        <f>IF(ABS(B24)&gt;0.01,(D24-B24)/B24,"")</f>
        <v/>
      </c>
      <c r="G24" s="1642">
        <f>G22-G23</f>
        <v>0</v>
      </c>
      <c r="H24" s="1643" t="e">
        <f>G24/G$7</f>
        <v>#DIV/0!</v>
      </c>
      <c r="I24" s="1642" t="str">
        <f>IF(ABS(D24)&gt;0.01,(G24-D24)/D24,"")</f>
        <v/>
      </c>
      <c r="J24" s="1642">
        <f>J22-J23</f>
        <v>0</v>
      </c>
      <c r="K24" s="1643" t="e">
        <f>J24/J$7</f>
        <v>#DIV/0!</v>
      </c>
      <c r="L24" s="1642" t="str">
        <f>IF(ABS(G24)&gt;0.01,(J24-G24)/G24,"")</f>
        <v/>
      </c>
      <c r="M24" s="1642">
        <f>M22-M23</f>
        <v>0</v>
      </c>
      <c r="N24" s="1643" t="e">
        <f>M24/M$7</f>
        <v>#DIV/0!</v>
      </c>
      <c r="O24" s="1644" t="str">
        <f>IF(ABS(J24)&gt;0.01,(M24-J24)/J24,"")</f>
        <v/>
      </c>
      <c r="P24" s="1664"/>
      <c r="Q24" s="1561"/>
      <c r="R24" s="1561"/>
      <c r="S24" s="1561"/>
      <c r="T24" s="1561"/>
      <c r="U24" s="1561"/>
      <c r="V24" s="1561"/>
      <c r="W24" s="1561"/>
      <c r="X24" s="1561"/>
      <c r="Y24" s="1561"/>
      <c r="Z24" s="1561"/>
      <c r="AA24" s="1561"/>
      <c r="AB24" s="1561"/>
      <c r="AC24" s="1561"/>
      <c r="AD24" s="1561"/>
      <c r="AE24" s="1561"/>
      <c r="AF24" s="1561"/>
      <c r="AG24" s="1561"/>
      <c r="AH24" s="1561"/>
      <c r="AI24" s="1561"/>
      <c r="AJ24" s="1561"/>
      <c r="AK24" s="1561"/>
      <c r="AL24" s="1561"/>
      <c r="AM24" s="1561"/>
      <c r="AN24" s="1561"/>
      <c r="AO24" s="1561"/>
      <c r="AP24" s="1561"/>
      <c r="AQ24" s="1561"/>
      <c r="AR24" s="1561"/>
      <c r="AS24" s="1561"/>
      <c r="AT24" s="1561"/>
      <c r="AU24" s="1561"/>
      <c r="AV24" s="1561"/>
      <c r="AW24" s="1561"/>
      <c r="AX24" s="1561"/>
      <c r="AY24" s="1561"/>
      <c r="AZ24" s="1561"/>
      <c r="BA24" s="1561"/>
      <c r="BB24" s="1561"/>
      <c r="BC24" s="1561"/>
      <c r="BD24" s="1561"/>
      <c r="BE24" s="1561"/>
      <c r="BF24" s="1561"/>
      <c r="BG24" s="1561"/>
      <c r="BH24" s="1561"/>
      <c r="BI24" s="1561"/>
      <c r="BJ24" s="1561"/>
      <c r="BK24" s="1561"/>
      <c r="BL24" s="1561"/>
      <c r="BM24" s="1561"/>
      <c r="BN24" s="1561"/>
      <c r="BO24" s="1561"/>
      <c r="BP24" s="1561"/>
      <c r="BQ24" s="1561"/>
      <c r="BR24" s="1561"/>
      <c r="BS24" s="1561"/>
      <c r="BT24" s="1561"/>
      <c r="BU24" s="1561"/>
      <c r="BV24" s="1561"/>
      <c r="BW24" s="1561"/>
      <c r="BX24" s="1561"/>
      <c r="BY24" s="1561"/>
      <c r="BZ24" s="1561"/>
      <c r="CA24" s="1561"/>
      <c r="CB24" s="1561"/>
      <c r="CC24" s="1561"/>
      <c r="CD24" s="1561"/>
      <c r="CE24" s="1561"/>
      <c r="CF24" s="1561"/>
      <c r="CG24" s="1561"/>
      <c r="CH24" s="1561"/>
      <c r="CI24" s="1561"/>
      <c r="CJ24" s="1561"/>
      <c r="CK24" s="1561"/>
      <c r="CL24" s="1561"/>
      <c r="CM24" s="1561"/>
      <c r="CN24" s="1561"/>
      <c r="CO24" s="1561"/>
      <c r="CP24" s="1561"/>
      <c r="CQ24" s="1561"/>
      <c r="CR24" s="1561"/>
      <c r="CS24" s="1561"/>
      <c r="CT24" s="1561"/>
      <c r="CU24" s="1561"/>
      <c r="CV24" s="1561"/>
      <c r="CW24" s="1561"/>
      <c r="CX24" s="1561"/>
      <c r="CY24" s="1561"/>
      <c r="CZ24" s="1561"/>
      <c r="DA24" s="1561"/>
      <c r="DB24" s="1561"/>
      <c r="DC24" s="1561"/>
      <c r="DD24" s="1561"/>
      <c r="DE24" s="1561"/>
      <c r="DF24" s="1561"/>
      <c r="DG24" s="1561"/>
      <c r="DH24" s="1561"/>
      <c r="DI24" s="1561"/>
      <c r="DJ24" s="1561"/>
      <c r="DK24" s="1561"/>
      <c r="DL24" s="1561"/>
      <c r="DM24" s="1561"/>
      <c r="DN24" s="1561"/>
      <c r="DO24" s="1561"/>
      <c r="DP24" s="1561"/>
      <c r="DQ24" s="1561"/>
      <c r="DR24" s="1561"/>
      <c r="DS24" s="1561"/>
      <c r="DT24" s="1561"/>
      <c r="DU24" s="1561"/>
      <c r="DV24" s="1561"/>
      <c r="DW24" s="1561"/>
      <c r="DX24" s="1561"/>
      <c r="DY24" s="1561"/>
      <c r="DZ24" s="1561"/>
      <c r="EA24" s="1561"/>
      <c r="EB24" s="1561"/>
      <c r="EC24" s="1561"/>
      <c r="ED24" s="1561"/>
      <c r="EE24" s="1561"/>
      <c r="EF24" s="1561"/>
      <c r="EG24" s="1561"/>
      <c r="EH24" s="1561"/>
      <c r="EI24" s="1561"/>
      <c r="EJ24" s="1561"/>
      <c r="EK24" s="1561"/>
      <c r="EL24" s="1561"/>
      <c r="EM24" s="1561"/>
      <c r="EN24" s="1561"/>
      <c r="EO24" s="1561"/>
      <c r="EP24" s="1561"/>
      <c r="EQ24" s="1561"/>
      <c r="ER24" s="1561"/>
      <c r="ES24" s="1561"/>
      <c r="ET24" s="1561"/>
      <c r="EU24" s="1561"/>
      <c r="EV24" s="1561"/>
      <c r="EW24" s="1561"/>
      <c r="EX24" s="1561"/>
      <c r="EY24" s="1561"/>
      <c r="EZ24" s="1561"/>
      <c r="FA24" s="1561"/>
      <c r="FB24" s="1561"/>
      <c r="FC24" s="1561"/>
      <c r="FD24" s="1561"/>
      <c r="FE24" s="1561"/>
      <c r="FF24" s="1561"/>
      <c r="FG24" s="1561"/>
      <c r="FH24" s="1561"/>
      <c r="FI24" s="1561"/>
      <c r="FJ24" s="1561"/>
      <c r="FK24" s="1561"/>
      <c r="FL24" s="1561"/>
      <c r="FM24" s="1561"/>
      <c r="FN24" s="1561"/>
      <c r="FO24" s="1561"/>
      <c r="FP24" s="1561"/>
      <c r="FQ24" s="1561"/>
      <c r="FR24" s="1561"/>
      <c r="FS24" s="1561"/>
      <c r="FT24" s="1561"/>
      <c r="FU24" s="1561"/>
      <c r="FV24" s="1561"/>
      <c r="FW24" s="1561"/>
      <c r="FX24" s="1561"/>
      <c r="FY24" s="1561"/>
      <c r="FZ24" s="1561"/>
      <c r="GA24" s="1561"/>
      <c r="GB24" s="1561"/>
      <c r="GC24" s="1561"/>
      <c r="GD24" s="1561"/>
      <c r="GE24" s="1561"/>
      <c r="GF24" s="1561"/>
      <c r="GG24" s="1561"/>
      <c r="GH24" s="1561"/>
      <c r="GI24" s="1561"/>
      <c r="GJ24" s="1561"/>
      <c r="GK24" s="1561"/>
      <c r="GL24" s="1561"/>
      <c r="GM24" s="1561"/>
      <c r="GN24" s="1561"/>
    </row>
    <row r="25" spans="1:196" s="303" customFormat="1" ht="17.25" customHeight="1" x14ac:dyDescent="0.3">
      <c r="A25" s="1650"/>
      <c r="B25" s="1557"/>
      <c r="C25" s="1651"/>
      <c r="D25" s="1557"/>
      <c r="E25" s="1651"/>
      <c r="F25" s="1652"/>
      <c r="G25" s="1557"/>
      <c r="H25" s="1651"/>
      <c r="I25" s="1652"/>
      <c r="J25" s="1557"/>
      <c r="K25" s="1651"/>
      <c r="L25" s="1652"/>
      <c r="M25" s="1557"/>
      <c r="N25" s="1651"/>
      <c r="O25" s="1653"/>
      <c r="P25" s="1663"/>
      <c r="Q25" s="1561"/>
      <c r="R25" s="1561"/>
      <c r="S25" s="1561"/>
      <c r="T25" s="1561"/>
      <c r="U25" s="1561"/>
      <c r="V25" s="1561"/>
      <c r="W25" s="1561"/>
      <c r="X25" s="1561"/>
      <c r="Y25" s="1561"/>
      <c r="Z25" s="1561"/>
      <c r="AA25" s="1561"/>
      <c r="AB25" s="1561"/>
      <c r="AC25" s="1561"/>
      <c r="AD25" s="1561"/>
      <c r="AE25" s="1561"/>
      <c r="AF25" s="1561"/>
      <c r="AG25" s="1561"/>
      <c r="AH25" s="1561"/>
      <c r="AI25" s="1561"/>
      <c r="AJ25" s="1561"/>
      <c r="AK25" s="1561"/>
      <c r="AL25" s="1561"/>
      <c r="AM25" s="1561"/>
      <c r="AN25" s="1561"/>
      <c r="AO25" s="1561"/>
      <c r="AP25" s="1561"/>
      <c r="AQ25" s="1561"/>
      <c r="AR25" s="1561"/>
      <c r="AS25" s="1561"/>
      <c r="AT25" s="1561"/>
      <c r="AU25" s="1561"/>
      <c r="AV25" s="1561"/>
      <c r="AW25" s="1561"/>
      <c r="AX25" s="1561"/>
      <c r="AY25" s="1561"/>
      <c r="AZ25" s="1561"/>
      <c r="BA25" s="1561"/>
      <c r="BB25" s="1561"/>
      <c r="BC25" s="1561"/>
      <c r="BD25" s="1561"/>
      <c r="BE25" s="1561"/>
      <c r="BF25" s="1561"/>
      <c r="BG25" s="1561"/>
      <c r="BH25" s="1561"/>
      <c r="BI25" s="1561"/>
      <c r="BJ25" s="1561"/>
      <c r="BK25" s="1561"/>
      <c r="BL25" s="1561"/>
      <c r="BM25" s="1561"/>
      <c r="BN25" s="1561"/>
      <c r="BO25" s="1561"/>
      <c r="BP25" s="1561"/>
      <c r="BQ25" s="1561"/>
      <c r="BR25" s="1561"/>
      <c r="BS25" s="1561"/>
      <c r="BT25" s="1561"/>
      <c r="BU25" s="1561"/>
      <c r="BV25" s="1561"/>
      <c r="BW25" s="1561"/>
      <c r="BX25" s="1561"/>
      <c r="BY25" s="1561"/>
      <c r="BZ25" s="1561"/>
      <c r="CA25" s="1561"/>
      <c r="CB25" s="1561"/>
      <c r="CC25" s="1561"/>
      <c r="CD25" s="1561"/>
      <c r="CE25" s="1561"/>
      <c r="CF25" s="1561"/>
      <c r="CG25" s="1561"/>
      <c r="CH25" s="1561"/>
      <c r="CI25" s="1561"/>
      <c r="CJ25" s="1561"/>
      <c r="CK25" s="1561"/>
      <c r="CL25" s="1561"/>
      <c r="CM25" s="1561"/>
      <c r="CN25" s="1561"/>
      <c r="CO25" s="1561"/>
      <c r="CP25" s="1561"/>
      <c r="CQ25" s="1561"/>
      <c r="CR25" s="1561"/>
      <c r="CS25" s="1561"/>
      <c r="CT25" s="1561"/>
      <c r="CU25" s="1561"/>
      <c r="CV25" s="1561"/>
      <c r="CW25" s="1561"/>
      <c r="CX25" s="1561"/>
      <c r="CY25" s="1561"/>
      <c r="CZ25" s="1561"/>
      <c r="DA25" s="1561"/>
      <c r="DB25" s="1561"/>
      <c r="DC25" s="1561"/>
      <c r="DD25" s="1561"/>
      <c r="DE25" s="1561"/>
      <c r="DF25" s="1561"/>
      <c r="DG25" s="1561"/>
      <c r="DH25" s="1561"/>
      <c r="DI25" s="1561"/>
      <c r="DJ25" s="1561"/>
      <c r="DK25" s="1561"/>
      <c r="DL25" s="1561"/>
      <c r="DM25" s="1561"/>
      <c r="DN25" s="1561"/>
      <c r="DO25" s="1561"/>
      <c r="DP25" s="1561"/>
      <c r="DQ25" s="1561"/>
      <c r="DR25" s="1561"/>
      <c r="DS25" s="1561"/>
      <c r="DT25" s="1561"/>
      <c r="DU25" s="1561"/>
      <c r="DV25" s="1561"/>
      <c r="DW25" s="1561"/>
      <c r="DX25" s="1561"/>
      <c r="DY25" s="1561"/>
      <c r="DZ25" s="1561"/>
      <c r="EA25" s="1561"/>
      <c r="EB25" s="1561"/>
      <c r="EC25" s="1561"/>
      <c r="ED25" s="1561"/>
      <c r="EE25" s="1561"/>
      <c r="EF25" s="1561"/>
      <c r="EG25" s="1561"/>
      <c r="EH25" s="1561"/>
      <c r="EI25" s="1561"/>
      <c r="EJ25" s="1561"/>
      <c r="EK25" s="1561"/>
      <c r="EL25" s="1561"/>
      <c r="EM25" s="1561"/>
      <c r="EN25" s="1561"/>
      <c r="EO25" s="1561"/>
      <c r="EP25" s="1561"/>
      <c r="EQ25" s="1561"/>
      <c r="ER25" s="1561"/>
      <c r="ES25" s="1561"/>
      <c r="ET25" s="1561"/>
      <c r="EU25" s="1561"/>
      <c r="EV25" s="1561"/>
      <c r="EW25" s="1561"/>
      <c r="EX25" s="1561"/>
      <c r="EY25" s="1561"/>
      <c r="EZ25" s="1561"/>
      <c r="FA25" s="1561"/>
      <c r="FB25" s="1561"/>
      <c r="FC25" s="1561"/>
      <c r="FD25" s="1561"/>
      <c r="FE25" s="1561"/>
      <c r="FF25" s="1561"/>
      <c r="FG25" s="1561"/>
      <c r="FH25" s="1561"/>
      <c r="FI25" s="1561"/>
      <c r="FJ25" s="1561"/>
      <c r="FK25" s="1561"/>
      <c r="FL25" s="1561"/>
      <c r="FM25" s="1561"/>
      <c r="FN25" s="1561"/>
      <c r="FO25" s="1561"/>
      <c r="FP25" s="1561"/>
      <c r="FQ25" s="1561"/>
      <c r="FR25" s="1561"/>
      <c r="FS25" s="1561"/>
      <c r="FT25" s="1561"/>
      <c r="FU25" s="1561"/>
      <c r="FV25" s="1561"/>
      <c r="FW25" s="1561"/>
      <c r="FX25" s="1561"/>
      <c r="FY25" s="1561"/>
      <c r="FZ25" s="1561"/>
      <c r="GA25" s="1561"/>
      <c r="GB25" s="1561"/>
      <c r="GC25" s="1561"/>
      <c r="GD25" s="1561"/>
      <c r="GE25" s="1561"/>
      <c r="GF25" s="1561"/>
      <c r="GG25" s="1561"/>
      <c r="GH25" s="1561"/>
      <c r="GI25" s="1561"/>
      <c r="GJ25" s="1561"/>
      <c r="GK25" s="1561"/>
      <c r="GL25" s="1561"/>
      <c r="GM25" s="1561"/>
      <c r="GN25" s="1561"/>
    </row>
    <row r="26" spans="1:196" s="303" customFormat="1" ht="17.25" customHeight="1" x14ac:dyDescent="0.3">
      <c r="A26" s="1641" t="s">
        <v>767</v>
      </c>
      <c r="B26" s="1642">
        <f>B20+B24</f>
        <v>0</v>
      </c>
      <c r="C26" s="1643" t="e">
        <f>B26/B$7</f>
        <v>#DIV/0!</v>
      </c>
      <c r="D26" s="1642">
        <f>D20+D24</f>
        <v>0</v>
      </c>
      <c r="E26" s="1643" t="e">
        <f>D26/D$7</f>
        <v>#DIV/0!</v>
      </c>
      <c r="F26" s="1642" t="str">
        <f>IF(ABS(B26)&gt;0.01,(D26-B26)/B26,"")</f>
        <v/>
      </c>
      <c r="G26" s="1642">
        <f>G20+G24</f>
        <v>0</v>
      </c>
      <c r="H26" s="1643" t="e">
        <f>G26/G$7</f>
        <v>#DIV/0!</v>
      </c>
      <c r="I26" s="1642" t="str">
        <f>IF(ABS(D26)&gt;0.01,(G26-D26)/D26,"")</f>
        <v/>
      </c>
      <c r="J26" s="1642">
        <f>J20+J24</f>
        <v>0</v>
      </c>
      <c r="K26" s="1643" t="e">
        <f>J26/J$7</f>
        <v>#DIV/0!</v>
      </c>
      <c r="L26" s="1642" t="str">
        <f>IF(ABS(G26)&gt;0.01,(J26-G26)/G26,"")</f>
        <v/>
      </c>
      <c r="M26" s="1642">
        <f>M20+M24</f>
        <v>0</v>
      </c>
      <c r="N26" s="1643" t="e">
        <f>M26/M$7</f>
        <v>#DIV/0!</v>
      </c>
      <c r="O26" s="1644" t="str">
        <f>IF(ABS(J26)&gt;0.01,(M26-J26)/J26,"")</f>
        <v/>
      </c>
      <c r="P26" s="1664"/>
      <c r="Q26" s="1561"/>
      <c r="R26" s="1561"/>
      <c r="S26" s="1561"/>
      <c r="T26" s="1561"/>
      <c r="U26" s="1561"/>
      <c r="V26" s="1561"/>
      <c r="W26" s="1561"/>
      <c r="X26" s="1561"/>
      <c r="Y26" s="1561"/>
      <c r="Z26" s="1561"/>
      <c r="AA26" s="1561"/>
      <c r="AB26" s="1561"/>
      <c r="AC26" s="1561"/>
      <c r="AD26" s="1561"/>
      <c r="AE26" s="1561"/>
      <c r="AF26" s="1561"/>
      <c r="AG26" s="1561"/>
      <c r="AH26" s="1561"/>
      <c r="AI26" s="1561"/>
      <c r="AJ26" s="1561"/>
      <c r="AK26" s="1561"/>
      <c r="AL26" s="1561"/>
      <c r="AM26" s="1561"/>
      <c r="AN26" s="1561"/>
      <c r="AO26" s="1561"/>
      <c r="AP26" s="1561"/>
      <c r="AQ26" s="1561"/>
      <c r="AR26" s="1561"/>
      <c r="AS26" s="1561"/>
      <c r="AT26" s="1561"/>
      <c r="AU26" s="1561"/>
      <c r="AV26" s="1561"/>
      <c r="AW26" s="1561"/>
      <c r="AX26" s="1561"/>
      <c r="AY26" s="1561"/>
      <c r="AZ26" s="1561"/>
      <c r="BA26" s="1561"/>
      <c r="BB26" s="1561"/>
      <c r="BC26" s="1561"/>
      <c r="BD26" s="1561"/>
      <c r="BE26" s="1561"/>
      <c r="BF26" s="1561"/>
      <c r="BG26" s="1561"/>
      <c r="BH26" s="1561"/>
      <c r="BI26" s="1561"/>
      <c r="BJ26" s="1561"/>
      <c r="BK26" s="1561"/>
      <c r="BL26" s="1561"/>
      <c r="BM26" s="1561"/>
      <c r="BN26" s="1561"/>
      <c r="BO26" s="1561"/>
      <c r="BP26" s="1561"/>
      <c r="BQ26" s="1561"/>
      <c r="BR26" s="1561"/>
      <c r="BS26" s="1561"/>
      <c r="BT26" s="1561"/>
      <c r="BU26" s="1561"/>
      <c r="BV26" s="1561"/>
      <c r="BW26" s="1561"/>
      <c r="BX26" s="1561"/>
      <c r="BY26" s="1561"/>
      <c r="BZ26" s="1561"/>
      <c r="CA26" s="1561"/>
      <c r="CB26" s="1561"/>
      <c r="CC26" s="1561"/>
      <c r="CD26" s="1561"/>
      <c r="CE26" s="1561"/>
      <c r="CF26" s="1561"/>
      <c r="CG26" s="1561"/>
      <c r="CH26" s="1561"/>
      <c r="CI26" s="1561"/>
      <c r="CJ26" s="1561"/>
      <c r="CK26" s="1561"/>
      <c r="CL26" s="1561"/>
      <c r="CM26" s="1561"/>
      <c r="CN26" s="1561"/>
      <c r="CO26" s="1561"/>
      <c r="CP26" s="1561"/>
      <c r="CQ26" s="1561"/>
      <c r="CR26" s="1561"/>
      <c r="CS26" s="1561"/>
      <c r="CT26" s="1561"/>
      <c r="CU26" s="1561"/>
      <c r="CV26" s="1561"/>
      <c r="CW26" s="1561"/>
      <c r="CX26" s="1561"/>
      <c r="CY26" s="1561"/>
      <c r="CZ26" s="1561"/>
      <c r="DA26" s="1561"/>
      <c r="DB26" s="1561"/>
      <c r="DC26" s="1561"/>
      <c r="DD26" s="1561"/>
      <c r="DE26" s="1561"/>
      <c r="DF26" s="1561"/>
      <c r="DG26" s="1561"/>
      <c r="DH26" s="1561"/>
      <c r="DI26" s="1561"/>
      <c r="DJ26" s="1561"/>
      <c r="DK26" s="1561"/>
      <c r="DL26" s="1561"/>
      <c r="DM26" s="1561"/>
      <c r="DN26" s="1561"/>
      <c r="DO26" s="1561"/>
      <c r="DP26" s="1561"/>
      <c r="DQ26" s="1561"/>
      <c r="DR26" s="1561"/>
      <c r="DS26" s="1561"/>
      <c r="DT26" s="1561"/>
      <c r="DU26" s="1561"/>
      <c r="DV26" s="1561"/>
      <c r="DW26" s="1561"/>
      <c r="DX26" s="1561"/>
      <c r="DY26" s="1561"/>
      <c r="DZ26" s="1561"/>
      <c r="EA26" s="1561"/>
      <c r="EB26" s="1561"/>
      <c r="EC26" s="1561"/>
      <c r="ED26" s="1561"/>
      <c r="EE26" s="1561"/>
      <c r="EF26" s="1561"/>
      <c r="EG26" s="1561"/>
      <c r="EH26" s="1561"/>
      <c r="EI26" s="1561"/>
      <c r="EJ26" s="1561"/>
      <c r="EK26" s="1561"/>
      <c r="EL26" s="1561"/>
      <c r="EM26" s="1561"/>
      <c r="EN26" s="1561"/>
      <c r="EO26" s="1561"/>
      <c r="EP26" s="1561"/>
      <c r="EQ26" s="1561"/>
      <c r="ER26" s="1561"/>
      <c r="ES26" s="1561"/>
      <c r="ET26" s="1561"/>
      <c r="EU26" s="1561"/>
      <c r="EV26" s="1561"/>
      <c r="EW26" s="1561"/>
      <c r="EX26" s="1561"/>
      <c r="EY26" s="1561"/>
      <c r="EZ26" s="1561"/>
      <c r="FA26" s="1561"/>
      <c r="FB26" s="1561"/>
      <c r="FC26" s="1561"/>
      <c r="FD26" s="1561"/>
      <c r="FE26" s="1561"/>
      <c r="FF26" s="1561"/>
      <c r="FG26" s="1561"/>
      <c r="FH26" s="1561"/>
      <c r="FI26" s="1561"/>
      <c r="FJ26" s="1561"/>
      <c r="FK26" s="1561"/>
      <c r="FL26" s="1561"/>
      <c r="FM26" s="1561"/>
      <c r="FN26" s="1561"/>
      <c r="FO26" s="1561"/>
      <c r="FP26" s="1561"/>
      <c r="FQ26" s="1561"/>
      <c r="FR26" s="1561"/>
      <c r="FS26" s="1561"/>
      <c r="FT26" s="1561"/>
      <c r="FU26" s="1561"/>
      <c r="FV26" s="1561"/>
      <c r="FW26" s="1561"/>
      <c r="FX26" s="1561"/>
      <c r="FY26" s="1561"/>
      <c r="FZ26" s="1561"/>
      <c r="GA26" s="1561"/>
      <c r="GB26" s="1561"/>
      <c r="GC26" s="1561"/>
      <c r="GD26" s="1561"/>
      <c r="GE26" s="1561"/>
      <c r="GF26" s="1561"/>
      <c r="GG26" s="1561"/>
      <c r="GH26" s="1561"/>
      <c r="GI26" s="1561"/>
      <c r="GJ26" s="1561"/>
      <c r="GK26" s="1561"/>
      <c r="GL26" s="1561"/>
      <c r="GM26" s="1561"/>
      <c r="GN26" s="1561"/>
    </row>
    <row r="27" spans="1:196" s="303" customFormat="1" ht="17.25" customHeight="1" x14ac:dyDescent="0.3">
      <c r="A27" s="1650"/>
      <c r="B27" s="1557"/>
      <c r="C27" s="1651"/>
      <c r="D27" s="1557"/>
      <c r="E27" s="1651"/>
      <c r="F27" s="1652"/>
      <c r="G27" s="1557"/>
      <c r="H27" s="1651"/>
      <c r="I27" s="1652"/>
      <c r="J27" s="1557"/>
      <c r="K27" s="1651"/>
      <c r="L27" s="1652"/>
      <c r="M27" s="1557"/>
      <c r="N27" s="1651"/>
      <c r="O27" s="1653"/>
      <c r="P27" s="1666"/>
      <c r="Q27" s="1561"/>
      <c r="R27" s="1561"/>
      <c r="S27" s="1561"/>
      <c r="T27" s="1561"/>
      <c r="U27" s="1561"/>
      <c r="V27" s="1561"/>
      <c r="W27" s="1561"/>
      <c r="X27" s="1561"/>
      <c r="Y27" s="1561"/>
      <c r="Z27" s="1561"/>
      <c r="AA27" s="1561"/>
      <c r="AB27" s="1561"/>
      <c r="AC27" s="1561"/>
      <c r="AD27" s="1561"/>
      <c r="AE27" s="1561"/>
      <c r="AF27" s="1561"/>
      <c r="AG27" s="1561"/>
      <c r="AH27" s="1561"/>
      <c r="AI27" s="1561"/>
      <c r="AJ27" s="1561"/>
      <c r="AK27" s="1561"/>
      <c r="AL27" s="1561"/>
      <c r="AM27" s="1561"/>
      <c r="AN27" s="1561"/>
      <c r="AO27" s="1561"/>
      <c r="AP27" s="1561"/>
      <c r="AQ27" s="1561"/>
      <c r="AR27" s="1561"/>
      <c r="AS27" s="1561"/>
      <c r="AT27" s="1561"/>
      <c r="AU27" s="1561"/>
      <c r="AV27" s="1561"/>
      <c r="AW27" s="1561"/>
      <c r="AX27" s="1561"/>
      <c r="AY27" s="1561"/>
      <c r="AZ27" s="1561"/>
      <c r="BA27" s="1561"/>
      <c r="BB27" s="1561"/>
      <c r="BC27" s="1561"/>
      <c r="BD27" s="1561"/>
      <c r="BE27" s="1561"/>
      <c r="BF27" s="1561"/>
      <c r="BG27" s="1561"/>
      <c r="BH27" s="1561"/>
      <c r="BI27" s="1561"/>
      <c r="BJ27" s="1561"/>
      <c r="BK27" s="1561"/>
      <c r="BL27" s="1561"/>
      <c r="BM27" s="1561"/>
      <c r="BN27" s="1561"/>
      <c r="BO27" s="1561"/>
      <c r="BP27" s="1561"/>
      <c r="BQ27" s="1561"/>
      <c r="BR27" s="1561"/>
      <c r="BS27" s="1561"/>
      <c r="BT27" s="1561"/>
      <c r="BU27" s="1561"/>
      <c r="BV27" s="1561"/>
      <c r="BW27" s="1561"/>
      <c r="BX27" s="1561"/>
      <c r="BY27" s="1561"/>
      <c r="BZ27" s="1561"/>
      <c r="CA27" s="1561"/>
      <c r="CB27" s="1561"/>
      <c r="CC27" s="1561"/>
      <c r="CD27" s="1561"/>
      <c r="CE27" s="1561"/>
      <c r="CF27" s="1561"/>
      <c r="CG27" s="1561"/>
      <c r="CH27" s="1561"/>
      <c r="CI27" s="1561"/>
      <c r="CJ27" s="1561"/>
      <c r="CK27" s="1561"/>
      <c r="CL27" s="1561"/>
      <c r="CM27" s="1561"/>
      <c r="CN27" s="1561"/>
      <c r="CO27" s="1561"/>
      <c r="CP27" s="1561"/>
      <c r="CQ27" s="1561"/>
      <c r="CR27" s="1561"/>
      <c r="CS27" s="1561"/>
      <c r="CT27" s="1561"/>
      <c r="CU27" s="1561"/>
      <c r="CV27" s="1561"/>
      <c r="CW27" s="1561"/>
      <c r="CX27" s="1561"/>
      <c r="CY27" s="1561"/>
      <c r="CZ27" s="1561"/>
      <c r="DA27" s="1561"/>
      <c r="DB27" s="1561"/>
      <c r="DC27" s="1561"/>
      <c r="DD27" s="1561"/>
      <c r="DE27" s="1561"/>
      <c r="DF27" s="1561"/>
      <c r="DG27" s="1561"/>
      <c r="DH27" s="1561"/>
      <c r="DI27" s="1561"/>
      <c r="DJ27" s="1561"/>
      <c r="DK27" s="1561"/>
      <c r="DL27" s="1561"/>
      <c r="DM27" s="1561"/>
      <c r="DN27" s="1561"/>
      <c r="DO27" s="1561"/>
      <c r="DP27" s="1561"/>
      <c r="DQ27" s="1561"/>
      <c r="DR27" s="1561"/>
      <c r="DS27" s="1561"/>
      <c r="DT27" s="1561"/>
      <c r="DU27" s="1561"/>
      <c r="DV27" s="1561"/>
      <c r="DW27" s="1561"/>
      <c r="DX27" s="1561"/>
      <c r="DY27" s="1561"/>
      <c r="DZ27" s="1561"/>
      <c r="EA27" s="1561"/>
      <c r="EB27" s="1561"/>
      <c r="EC27" s="1561"/>
      <c r="ED27" s="1561"/>
      <c r="EE27" s="1561"/>
      <c r="EF27" s="1561"/>
      <c r="EG27" s="1561"/>
      <c r="EH27" s="1561"/>
      <c r="EI27" s="1561"/>
      <c r="EJ27" s="1561"/>
      <c r="EK27" s="1561"/>
      <c r="EL27" s="1561"/>
      <c r="EM27" s="1561"/>
      <c r="EN27" s="1561"/>
      <c r="EO27" s="1561"/>
      <c r="EP27" s="1561"/>
      <c r="EQ27" s="1561"/>
      <c r="ER27" s="1561"/>
      <c r="ES27" s="1561"/>
      <c r="ET27" s="1561"/>
      <c r="EU27" s="1561"/>
      <c r="EV27" s="1561"/>
      <c r="EW27" s="1561"/>
      <c r="EX27" s="1561"/>
      <c r="EY27" s="1561"/>
      <c r="EZ27" s="1561"/>
      <c r="FA27" s="1561"/>
      <c r="FB27" s="1561"/>
      <c r="FC27" s="1561"/>
      <c r="FD27" s="1561"/>
      <c r="FE27" s="1561"/>
      <c r="FF27" s="1561"/>
      <c r="FG27" s="1561"/>
      <c r="FH27" s="1561"/>
      <c r="FI27" s="1561"/>
      <c r="FJ27" s="1561"/>
      <c r="FK27" s="1561"/>
      <c r="FL27" s="1561"/>
      <c r="FM27" s="1561"/>
      <c r="FN27" s="1561"/>
      <c r="FO27" s="1561"/>
      <c r="FP27" s="1561"/>
      <c r="FQ27" s="1561"/>
      <c r="FR27" s="1561"/>
      <c r="FS27" s="1561"/>
      <c r="FT27" s="1561"/>
      <c r="FU27" s="1561"/>
      <c r="FV27" s="1561"/>
      <c r="FW27" s="1561"/>
      <c r="FX27" s="1561"/>
      <c r="FY27" s="1561"/>
      <c r="FZ27" s="1561"/>
      <c r="GA27" s="1561"/>
      <c r="GB27" s="1561"/>
      <c r="GC27" s="1561"/>
      <c r="GD27" s="1561"/>
      <c r="GE27" s="1561"/>
      <c r="GF27" s="1561"/>
      <c r="GG27" s="1561"/>
      <c r="GH27" s="1561"/>
      <c r="GI27" s="1561"/>
      <c r="GJ27" s="1561"/>
      <c r="GK27" s="1561"/>
      <c r="GL27" s="1561"/>
      <c r="GM27" s="1561"/>
      <c r="GN27" s="1561"/>
    </row>
    <row r="28" spans="1:196" ht="17.25" customHeight="1" x14ac:dyDescent="0.3">
      <c r="A28" s="1636" t="str">
        <f>IF(isoc=0,"Impuestos:  I.R.P.F.","Impuesto de Sociedades")</f>
        <v>Impuestos:  I.R.P.F.</v>
      </c>
      <c r="B28" s="1637">
        <v>0</v>
      </c>
      <c r="C28" s="1638" t="e">
        <f>B28/B$7</f>
        <v>#DIV/0!</v>
      </c>
      <c r="D28" s="1637">
        <v>0</v>
      </c>
      <c r="E28" s="1638" t="e">
        <f>D28/D$7</f>
        <v>#DIV/0!</v>
      </c>
      <c r="F28" s="1639" t="str">
        <f>IF(ABS(B28)&gt;0.01,(D28-B28)/B28,"")</f>
        <v/>
      </c>
      <c r="G28" s="1637">
        <v>0</v>
      </c>
      <c r="H28" s="1638" t="e">
        <f>G28/G$7</f>
        <v>#DIV/0!</v>
      </c>
      <c r="I28" s="1639" t="str">
        <f>IF(ABS(D28)&gt;0.01,(G28-D28)/D28,"")</f>
        <v/>
      </c>
      <c r="J28" s="1637">
        <v>0</v>
      </c>
      <c r="K28" s="1638" t="e">
        <f>J28/J$7</f>
        <v>#DIV/0!</v>
      </c>
      <c r="L28" s="1639" t="str">
        <f>IF(ABS(G28)&gt;0.01,(J28-G28)/G28,"")</f>
        <v/>
      </c>
      <c r="M28" s="1637">
        <v>0</v>
      </c>
      <c r="N28" s="1638" t="e">
        <f>M28/M$7</f>
        <v>#DIV/0!</v>
      </c>
      <c r="O28" s="1640" t="str">
        <f>IF(ABS(J28)&gt;0.01,(M28-J28)/J28,"")</f>
        <v/>
      </c>
      <c r="P28" s="1666"/>
    </row>
    <row r="29" spans="1:196" ht="18" thickBot="1" x14ac:dyDescent="0.35">
      <c r="A29" s="1650"/>
      <c r="B29" s="1557"/>
      <c r="C29" s="1651"/>
      <c r="D29" s="1557"/>
      <c r="E29" s="1651"/>
      <c r="F29" s="1652"/>
      <c r="G29" s="1557"/>
      <c r="H29" s="1651"/>
      <c r="I29" s="1652"/>
      <c r="J29" s="1557"/>
      <c r="K29" s="1651"/>
      <c r="L29" s="1652"/>
      <c r="M29" s="1557"/>
      <c r="N29" s="1651"/>
      <c r="O29" s="1653"/>
      <c r="P29" s="1667"/>
    </row>
    <row r="30" spans="1:196" ht="18" thickBot="1" x14ac:dyDescent="0.35">
      <c r="A30" s="2116" t="s">
        <v>237</v>
      </c>
      <c r="B30" s="2117">
        <f>B26-B28</f>
        <v>0</v>
      </c>
      <c r="C30" s="2118" t="e">
        <f>B30/B$7</f>
        <v>#DIV/0!</v>
      </c>
      <c r="D30" s="2117">
        <f>D26-D28</f>
        <v>0</v>
      </c>
      <c r="E30" s="2119" t="e">
        <f>D30/D$7</f>
        <v>#DIV/0!</v>
      </c>
      <c r="F30" s="2120" t="str">
        <f>IF(ABS(B30)&gt;0.01,(D30-B30)/B30,"")</f>
        <v/>
      </c>
      <c r="G30" s="2117">
        <f>G26-G28</f>
        <v>0</v>
      </c>
      <c r="H30" s="2119" t="e">
        <f>G30/G$7</f>
        <v>#DIV/0!</v>
      </c>
      <c r="I30" s="2120" t="str">
        <f>IF(ABS(D30)&gt;0.01,(G30-D30)/D30,"")</f>
        <v/>
      </c>
      <c r="J30" s="2117">
        <f>J26-J28</f>
        <v>0</v>
      </c>
      <c r="K30" s="2119" t="e">
        <f>J30/J$7</f>
        <v>#DIV/0!</v>
      </c>
      <c r="L30" s="2120" t="str">
        <f>IF(ABS(G30)&gt;0.01,(J30-G30)/G30,"")</f>
        <v/>
      </c>
      <c r="M30" s="2117">
        <f>M26-M28</f>
        <v>0</v>
      </c>
      <c r="N30" s="2119" t="e">
        <f>M30/M$7</f>
        <v>#DIV/0!</v>
      </c>
      <c r="O30" s="2121" t="str">
        <f>IF(ABS(J30)&gt;0.01,(M30-J30)/J30,"")</f>
        <v/>
      </c>
      <c r="P30" s="1668"/>
    </row>
    <row r="31" spans="1:196" s="1559" customFormat="1" x14ac:dyDescent="0.3">
      <c r="D31" s="1556"/>
    </row>
    <row r="32" spans="1:196" s="1559" customFormat="1" x14ac:dyDescent="0.3">
      <c r="D32" s="1556"/>
    </row>
    <row r="33" spans="1:4" s="1559" customFormat="1" x14ac:dyDescent="0.3">
      <c r="A33" s="1658" t="str">
        <f>Imp.Sociedades!A34</f>
        <v>Todas las cantidades están expresadas en Euros</v>
      </c>
      <c r="D33" s="1556"/>
    </row>
    <row r="34" spans="1:4" s="1559" customFormat="1" x14ac:dyDescent="0.3">
      <c r="A34" s="1658" t="str">
        <f>IF(mes0=1,"",CONCATENATE("* Sólo ",12-mes0+1," meses de actividad en año 0: ",B6," (de ",'Datos Básicos'!G19," a diciembre de "&amp;'Datos Básicos'!B17&amp;")"))</f>
        <v/>
      </c>
      <c r="D34" s="1556"/>
    </row>
    <row r="35" spans="1:4" s="1559" customFormat="1" x14ac:dyDescent="0.3">
      <c r="A35" s="1658" t="str">
        <f>IF(irpf&lt;&gt;0,CONCATENATE("Forma jurídica: ",'Datos Básicos'!B22,"  No sujeto a Imp. de Sociedades sino a I.R.P.F."),"")</f>
        <v>Forma jurídica: Empr. Individual (Reg. General)  No sujeto a Imp. de Sociedades sino a I.R.P.F.</v>
      </c>
      <c r="D35" s="1556"/>
    </row>
    <row r="36" spans="1:4" s="1559" customFormat="1" x14ac:dyDescent="0.3">
      <c r="A36" s="1658" t="str">
        <f>IF(irpf&lt;&gt;0,"Las cuentas de resultados reflejan el resultado contable, NO el computable para el IRPF","")</f>
        <v>Las cuentas de resultados reflejan el resultado contable, NO el computable para el IRPF</v>
      </c>
      <c r="D36" s="1556"/>
    </row>
    <row r="37" spans="1:4" s="1559" customFormat="1" x14ac:dyDescent="0.3">
      <c r="D37" s="1556"/>
    </row>
    <row r="38" spans="1:4" s="1559" customFormat="1" x14ac:dyDescent="0.3">
      <c r="D38" s="1556"/>
    </row>
    <row r="39" spans="1:4" s="1559" customFormat="1" x14ac:dyDescent="0.3">
      <c r="D39" s="1556"/>
    </row>
    <row r="40" spans="1:4" s="1559" customFormat="1" x14ac:dyDescent="0.3">
      <c r="D40" s="1556"/>
    </row>
    <row r="41" spans="1:4" s="1559" customFormat="1" x14ac:dyDescent="0.3"/>
    <row r="42" spans="1:4" s="1559" customFormat="1" x14ac:dyDescent="0.3"/>
    <row r="43" spans="1:4" s="1559" customFormat="1" x14ac:dyDescent="0.3"/>
    <row r="44" spans="1:4" s="1559" customFormat="1" x14ac:dyDescent="0.3"/>
    <row r="45" spans="1:4" s="1559" customFormat="1" x14ac:dyDescent="0.3"/>
    <row r="46" spans="1:4" s="1559" customFormat="1" x14ac:dyDescent="0.3"/>
    <row r="47" spans="1:4" s="1559" customFormat="1" x14ac:dyDescent="0.3"/>
    <row r="48" spans="1:4" s="1559" customFormat="1" x14ac:dyDescent="0.3"/>
    <row r="49" s="1559" customFormat="1" x14ac:dyDescent="0.3"/>
    <row r="50" s="1559" customFormat="1" x14ac:dyDescent="0.3"/>
    <row r="51" s="1559" customFormat="1" x14ac:dyDescent="0.3"/>
    <row r="52" s="1559" customFormat="1" x14ac:dyDescent="0.3"/>
    <row r="53" s="1559" customFormat="1" x14ac:dyDescent="0.3"/>
    <row r="54" s="1559" customFormat="1" x14ac:dyDescent="0.3"/>
    <row r="55" s="1559" customFormat="1" x14ac:dyDescent="0.3"/>
    <row r="56" s="1559" customFormat="1" x14ac:dyDescent="0.3"/>
    <row r="57" s="1559" customFormat="1" x14ac:dyDescent="0.3"/>
    <row r="58" s="1559" customFormat="1" x14ac:dyDescent="0.3"/>
    <row r="59" s="1559" customFormat="1" x14ac:dyDescent="0.3"/>
    <row r="60" s="1559" customFormat="1" x14ac:dyDescent="0.3"/>
    <row r="61" s="1559" customFormat="1" x14ac:dyDescent="0.3"/>
    <row r="62" s="1559" customFormat="1" x14ac:dyDescent="0.3"/>
    <row r="63" s="1559" customFormat="1" x14ac:dyDescent="0.3"/>
    <row r="64" s="1559" customFormat="1" x14ac:dyDescent="0.3"/>
    <row r="65" s="1559" customFormat="1" x14ac:dyDescent="0.3"/>
    <row r="66" s="1559" customFormat="1" x14ac:dyDescent="0.3"/>
    <row r="67" s="1559" customFormat="1" x14ac:dyDescent="0.3"/>
    <row r="68" s="1559" customFormat="1" x14ac:dyDescent="0.3"/>
    <row r="69" s="1559" customFormat="1" x14ac:dyDescent="0.3"/>
    <row r="70" s="1559" customFormat="1" x14ac:dyDescent="0.3"/>
    <row r="71" s="1559" customFormat="1" x14ac:dyDescent="0.3"/>
    <row r="72" s="1559" customFormat="1" x14ac:dyDescent="0.3"/>
    <row r="73" s="1559" customFormat="1" x14ac:dyDescent="0.3"/>
    <row r="74" s="1559" customFormat="1" x14ac:dyDescent="0.3"/>
    <row r="75" s="1559" customFormat="1" x14ac:dyDescent="0.3"/>
    <row r="76" s="1559" customFormat="1" x14ac:dyDescent="0.3"/>
    <row r="77" s="1559" customFormat="1" x14ac:dyDescent="0.3"/>
    <row r="78" s="1559" customFormat="1" x14ac:dyDescent="0.3"/>
    <row r="79" s="1559" customFormat="1" x14ac:dyDescent="0.3"/>
    <row r="80" s="1559" customFormat="1" x14ac:dyDescent="0.3"/>
    <row r="81" s="1559" customFormat="1" x14ac:dyDescent="0.3"/>
    <row r="82" s="1559" customFormat="1" x14ac:dyDescent="0.3"/>
    <row r="83" s="1559" customFormat="1" x14ac:dyDescent="0.3"/>
    <row r="84" s="1559" customFormat="1" x14ac:dyDescent="0.3"/>
    <row r="85" s="1559" customFormat="1" x14ac:dyDescent="0.3"/>
    <row r="86" s="1559" customFormat="1" x14ac:dyDescent="0.3"/>
    <row r="87" s="1559" customFormat="1" x14ac:dyDescent="0.3"/>
    <row r="88" s="1559" customFormat="1" x14ac:dyDescent="0.3"/>
    <row r="89" s="1559" customFormat="1" x14ac:dyDescent="0.3"/>
    <row r="90" s="1559" customFormat="1" x14ac:dyDescent="0.3"/>
    <row r="91" s="1559" customFormat="1" x14ac:dyDescent="0.3"/>
    <row r="92" s="1559" customFormat="1" x14ac:dyDescent="0.3"/>
    <row r="93" s="1559" customFormat="1" x14ac:dyDescent="0.3"/>
    <row r="94" s="1559" customFormat="1" x14ac:dyDescent="0.3"/>
    <row r="95" s="1559" customFormat="1" x14ac:dyDescent="0.3"/>
    <row r="96" s="1559" customFormat="1" x14ac:dyDescent="0.3"/>
    <row r="97" s="1559" customFormat="1" x14ac:dyDescent="0.3"/>
    <row r="98" s="1559" customFormat="1" x14ac:dyDescent="0.3"/>
    <row r="99" s="1559" customFormat="1" x14ac:dyDescent="0.3"/>
    <row r="100" s="1559" customFormat="1" x14ac:dyDescent="0.3"/>
    <row r="101" s="1559" customFormat="1" x14ac:dyDescent="0.3"/>
    <row r="102" s="1559" customFormat="1" x14ac:dyDescent="0.3"/>
    <row r="103" s="1559" customFormat="1" x14ac:dyDescent="0.3"/>
    <row r="104" s="1559" customFormat="1" x14ac:dyDescent="0.3"/>
    <row r="105" s="1559" customFormat="1" x14ac:dyDescent="0.3"/>
    <row r="106" s="1559" customFormat="1" x14ac:dyDescent="0.3"/>
    <row r="107" s="1559" customFormat="1" x14ac:dyDescent="0.3"/>
    <row r="108" s="1559" customFormat="1" x14ac:dyDescent="0.3"/>
    <row r="109" s="1559" customFormat="1" x14ac:dyDescent="0.3"/>
    <row r="110" s="1559" customFormat="1" x14ac:dyDescent="0.3"/>
    <row r="111" s="1559" customFormat="1" x14ac:dyDescent="0.3"/>
    <row r="112" s="1559" customFormat="1" x14ac:dyDescent="0.3"/>
    <row r="113" s="1559" customFormat="1" x14ac:dyDescent="0.3"/>
    <row r="114" s="1559" customFormat="1" x14ac:dyDescent="0.3"/>
    <row r="115" s="1559" customFormat="1" x14ac:dyDescent="0.3"/>
    <row r="116" s="1559" customFormat="1" x14ac:dyDescent="0.3"/>
    <row r="117" s="1559" customFormat="1" x14ac:dyDescent="0.3"/>
    <row r="118" s="1559" customFormat="1" x14ac:dyDescent="0.3"/>
    <row r="119" s="1559" customFormat="1" x14ac:dyDescent="0.3"/>
    <row r="120" s="1559" customFormat="1" x14ac:dyDescent="0.3"/>
    <row r="121" s="1559" customFormat="1" x14ac:dyDescent="0.3"/>
    <row r="122" s="1559" customFormat="1" x14ac:dyDescent="0.3"/>
    <row r="123" s="1559" customFormat="1" x14ac:dyDescent="0.3"/>
    <row r="124" s="1559" customFormat="1" x14ac:dyDescent="0.3"/>
    <row r="125" s="1559" customFormat="1" x14ac:dyDescent="0.3"/>
    <row r="126" s="1559" customFormat="1" x14ac:dyDescent="0.3"/>
    <row r="127" s="1559" customFormat="1" x14ac:dyDescent="0.3"/>
    <row r="128" s="1559" customFormat="1" x14ac:dyDescent="0.3"/>
    <row r="129" s="1559" customFormat="1" x14ac:dyDescent="0.3"/>
    <row r="130" s="1559" customFormat="1" x14ac:dyDescent="0.3"/>
    <row r="131" s="1559" customFormat="1" x14ac:dyDescent="0.3"/>
    <row r="132" s="1559" customFormat="1" x14ac:dyDescent="0.3"/>
    <row r="133" s="1559" customFormat="1" x14ac:dyDescent="0.3"/>
    <row r="134" s="1559" customFormat="1" x14ac:dyDescent="0.3"/>
    <row r="135" s="1559" customFormat="1" x14ac:dyDescent="0.3"/>
    <row r="136" s="1559" customFormat="1" x14ac:dyDescent="0.3"/>
    <row r="137" s="1559" customFormat="1" x14ac:dyDescent="0.3"/>
    <row r="138" s="1559" customFormat="1" x14ac:dyDescent="0.3"/>
    <row r="139" s="1559" customFormat="1" x14ac:dyDescent="0.3"/>
    <row r="140" s="1559" customFormat="1" x14ac:dyDescent="0.3"/>
    <row r="141" s="1559" customFormat="1" x14ac:dyDescent="0.3"/>
    <row r="142" s="1559" customFormat="1" x14ac:dyDescent="0.3"/>
    <row r="143" s="1559" customFormat="1" x14ac:dyDescent="0.3"/>
    <row r="144" s="1559" customFormat="1" x14ac:dyDescent="0.3"/>
    <row r="145" s="1559" customFormat="1" x14ac:dyDescent="0.3"/>
    <row r="146" s="1559" customFormat="1" x14ac:dyDescent="0.3"/>
    <row r="147" s="1559" customFormat="1" x14ac:dyDescent="0.3"/>
    <row r="148" s="1559" customFormat="1" x14ac:dyDescent="0.3"/>
    <row r="149" s="1559" customFormat="1" x14ac:dyDescent="0.3"/>
    <row r="150" s="1559" customFormat="1" x14ac:dyDescent="0.3"/>
    <row r="151" s="1559" customFormat="1" x14ac:dyDescent="0.3"/>
    <row r="152" s="1559" customFormat="1" x14ac:dyDescent="0.3"/>
    <row r="153" s="1559" customFormat="1" x14ac:dyDescent="0.3"/>
    <row r="154" s="1559" customFormat="1" x14ac:dyDescent="0.3"/>
    <row r="155" s="1559" customFormat="1" x14ac:dyDescent="0.3"/>
    <row r="156" s="1559" customFormat="1" x14ac:dyDescent="0.3"/>
    <row r="157" s="1559" customFormat="1" x14ac:dyDescent="0.3"/>
    <row r="158" s="1559" customFormat="1" x14ac:dyDescent="0.3"/>
    <row r="159" s="1559" customFormat="1" x14ac:dyDescent="0.3"/>
    <row r="160" s="1559" customFormat="1" x14ac:dyDescent="0.3"/>
    <row r="161" s="1559" customFormat="1" x14ac:dyDescent="0.3"/>
    <row r="162" s="1559" customFormat="1" x14ac:dyDescent="0.3"/>
    <row r="163" s="1559" customFormat="1" x14ac:dyDescent="0.3"/>
    <row r="164" s="1559" customFormat="1" x14ac:dyDescent="0.3"/>
    <row r="165" s="1559" customFormat="1" x14ac:dyDescent="0.3"/>
    <row r="166" s="1559" customFormat="1" x14ac:dyDescent="0.3"/>
    <row r="167" s="1559" customFormat="1" x14ac:dyDescent="0.3"/>
    <row r="168" s="1559" customFormat="1" x14ac:dyDescent="0.3"/>
    <row r="169" s="1559" customFormat="1" x14ac:dyDescent="0.3"/>
    <row r="170" s="1559" customFormat="1" x14ac:dyDescent="0.3"/>
    <row r="171" s="1559" customFormat="1" x14ac:dyDescent="0.3"/>
    <row r="172" s="1559" customFormat="1" x14ac:dyDescent="0.3"/>
    <row r="173" s="1559" customFormat="1" x14ac:dyDescent="0.3"/>
    <row r="174" s="1559" customFormat="1" x14ac:dyDescent="0.3"/>
    <row r="175" s="1559" customFormat="1" x14ac:dyDescent="0.3"/>
    <row r="176" s="1559" customFormat="1" x14ac:dyDescent="0.3"/>
    <row r="177" s="1559" customFormat="1" x14ac:dyDescent="0.3"/>
    <row r="178" s="1559" customFormat="1" x14ac:dyDescent="0.3"/>
    <row r="179" s="1559" customFormat="1" x14ac:dyDescent="0.3"/>
    <row r="180" s="1559" customFormat="1" x14ac:dyDescent="0.3"/>
    <row r="181" s="1559" customFormat="1" x14ac:dyDescent="0.3"/>
    <row r="182" s="1559" customFormat="1" x14ac:dyDescent="0.3"/>
    <row r="183" s="1559" customFormat="1" x14ac:dyDescent="0.3"/>
    <row r="184" s="1559" customFormat="1" x14ac:dyDescent="0.3"/>
    <row r="185" s="1559" customFormat="1" x14ac:dyDescent="0.3"/>
    <row r="186" s="1559" customFormat="1" x14ac:dyDescent="0.3"/>
    <row r="187" s="1559" customFormat="1" x14ac:dyDescent="0.3"/>
    <row r="188" s="1559" customFormat="1" x14ac:dyDescent="0.3"/>
    <row r="189" s="1559" customFormat="1" x14ac:dyDescent="0.3"/>
    <row r="190" s="1559" customFormat="1" x14ac:dyDescent="0.3"/>
    <row r="191" s="1559" customFormat="1" x14ac:dyDescent="0.3"/>
    <row r="192" s="1559" customFormat="1" x14ac:dyDescent="0.3"/>
    <row r="193" s="1559" customFormat="1" x14ac:dyDescent="0.3"/>
    <row r="194" s="1559" customFormat="1" x14ac:dyDescent="0.3"/>
    <row r="195" s="1559" customFormat="1" x14ac:dyDescent="0.3"/>
    <row r="196" s="1559" customFormat="1" x14ac:dyDescent="0.3"/>
    <row r="197" s="1559" customFormat="1" x14ac:dyDescent="0.3"/>
    <row r="198" s="1559" customFormat="1" x14ac:dyDescent="0.3"/>
    <row r="199" s="1559" customFormat="1" x14ac:dyDescent="0.3"/>
    <row r="200" s="1559" customFormat="1" x14ac:dyDescent="0.3"/>
    <row r="201" s="1559" customFormat="1" x14ac:dyDescent="0.3"/>
    <row r="202" s="1559" customFormat="1" x14ac:dyDescent="0.3"/>
    <row r="203" s="1559" customFormat="1" x14ac:dyDescent="0.3"/>
    <row r="204" s="1559" customFormat="1" x14ac:dyDescent="0.3"/>
    <row r="205" s="1559" customFormat="1" x14ac:dyDescent="0.3"/>
    <row r="206" s="1559" customFormat="1" x14ac:dyDescent="0.3"/>
    <row r="207" s="1559" customFormat="1" x14ac:dyDescent="0.3"/>
    <row r="208" s="1559" customFormat="1" x14ac:dyDescent="0.3"/>
    <row r="209" s="1559" customFormat="1" x14ac:dyDescent="0.3"/>
    <row r="210" s="1559" customFormat="1" x14ac:dyDescent="0.3"/>
    <row r="211" s="1559" customFormat="1" x14ac:dyDescent="0.3"/>
    <row r="212" s="1559" customFormat="1" x14ac:dyDescent="0.3"/>
    <row r="213" s="1559" customFormat="1" x14ac:dyDescent="0.3"/>
    <row r="214" s="1559" customFormat="1" x14ac:dyDescent="0.3"/>
    <row r="215" s="1559" customFormat="1" x14ac:dyDescent="0.3"/>
    <row r="216" s="1559" customFormat="1" x14ac:dyDescent="0.3"/>
    <row r="217" s="1559" customFormat="1" x14ac:dyDescent="0.3"/>
    <row r="218" s="1559" customFormat="1" x14ac:dyDescent="0.3"/>
    <row r="219" s="1559" customFormat="1" x14ac:dyDescent="0.3"/>
    <row r="220" s="1559" customFormat="1" x14ac:dyDescent="0.3"/>
    <row r="221" s="1559" customFormat="1" x14ac:dyDescent="0.3"/>
    <row r="222" s="1559" customFormat="1" x14ac:dyDescent="0.3"/>
    <row r="223" s="1559" customFormat="1" x14ac:dyDescent="0.3"/>
    <row r="224" s="1559" customFormat="1" x14ac:dyDescent="0.3"/>
    <row r="225" s="1559" customFormat="1" x14ac:dyDescent="0.3"/>
    <row r="226" s="1559" customFormat="1" x14ac:dyDescent="0.3"/>
    <row r="227" s="1559" customFormat="1" x14ac:dyDescent="0.3"/>
    <row r="228" s="1559" customFormat="1" x14ac:dyDescent="0.3"/>
    <row r="229" s="1559" customFormat="1" x14ac:dyDescent="0.3"/>
    <row r="230" s="1559" customFormat="1" x14ac:dyDescent="0.3"/>
    <row r="231" s="1559" customFormat="1" x14ac:dyDescent="0.3"/>
    <row r="232" s="1559" customFormat="1" x14ac:dyDescent="0.3"/>
    <row r="233" s="1559" customFormat="1" x14ac:dyDescent="0.3"/>
    <row r="234" s="1559" customFormat="1" x14ac:dyDescent="0.3"/>
    <row r="235" s="1559" customFormat="1" x14ac:dyDescent="0.3"/>
    <row r="236" s="1559" customFormat="1" x14ac:dyDescent="0.3"/>
    <row r="237" s="1559" customFormat="1" x14ac:dyDescent="0.3"/>
    <row r="238" s="1559" customFormat="1" x14ac:dyDescent="0.3"/>
    <row r="239" s="1559" customFormat="1" x14ac:dyDescent="0.3"/>
    <row r="240" s="1559" customFormat="1" x14ac:dyDescent="0.3"/>
    <row r="241" s="1559" customFormat="1" x14ac:dyDescent="0.3"/>
    <row r="242" s="1559" customFormat="1" x14ac:dyDescent="0.3"/>
    <row r="243" s="1559" customFormat="1" x14ac:dyDescent="0.3"/>
    <row r="244" s="1559" customFormat="1" x14ac:dyDescent="0.3"/>
    <row r="245" s="1559" customFormat="1" x14ac:dyDescent="0.3"/>
    <row r="246" s="1559" customFormat="1" x14ac:dyDescent="0.3"/>
    <row r="247" s="1559" customFormat="1" x14ac:dyDescent="0.3"/>
    <row r="248" s="1559" customFormat="1" x14ac:dyDescent="0.3"/>
    <row r="249" s="1559" customFormat="1" x14ac:dyDescent="0.3"/>
    <row r="250" s="1559" customFormat="1" x14ac:dyDescent="0.3"/>
    <row r="251" s="1559" customFormat="1" x14ac:dyDescent="0.3"/>
    <row r="252" s="1559" customFormat="1" x14ac:dyDescent="0.3"/>
    <row r="253" s="1559" customFormat="1" x14ac:dyDescent="0.3"/>
    <row r="254" s="1559" customFormat="1" x14ac:dyDescent="0.3"/>
    <row r="255" s="1559" customFormat="1" x14ac:dyDescent="0.3"/>
    <row r="256" s="1559" customFormat="1" x14ac:dyDescent="0.3"/>
    <row r="257" s="1559" customFormat="1" x14ac:dyDescent="0.3"/>
    <row r="258" s="1559" customFormat="1" x14ac:dyDescent="0.3"/>
    <row r="259" s="1559" customFormat="1" x14ac:dyDescent="0.3"/>
    <row r="260" s="1559" customFormat="1" x14ac:dyDescent="0.3"/>
    <row r="261" s="1559" customFormat="1" x14ac:dyDescent="0.3"/>
    <row r="262" s="1559" customFormat="1" x14ac:dyDescent="0.3"/>
    <row r="263" s="1559" customFormat="1" x14ac:dyDescent="0.3"/>
    <row r="264" s="1559" customFormat="1" x14ac:dyDescent="0.3"/>
    <row r="265" s="1559" customFormat="1" x14ac:dyDescent="0.3"/>
    <row r="266" s="1559" customFormat="1" x14ac:dyDescent="0.3"/>
    <row r="267" s="1559" customFormat="1" x14ac:dyDescent="0.3"/>
    <row r="268" s="1559" customFormat="1" x14ac:dyDescent="0.3"/>
    <row r="269" s="1559" customFormat="1" x14ac:dyDescent="0.3"/>
    <row r="270" s="1559" customFormat="1" x14ac:dyDescent="0.3"/>
    <row r="271" s="1559" customFormat="1" x14ac:dyDescent="0.3"/>
    <row r="272" s="1559" customFormat="1" x14ac:dyDescent="0.3"/>
    <row r="273" s="1559" customFormat="1" x14ac:dyDescent="0.3"/>
    <row r="274" s="1559" customFormat="1" x14ac:dyDescent="0.3"/>
    <row r="275" s="1559" customFormat="1" x14ac:dyDescent="0.3"/>
    <row r="276" s="1559" customFormat="1" x14ac:dyDescent="0.3"/>
    <row r="277" s="1559" customFormat="1" x14ac:dyDescent="0.3"/>
    <row r="278" s="1559" customFormat="1" x14ac:dyDescent="0.3"/>
    <row r="279" s="1559" customFormat="1" x14ac:dyDescent="0.3"/>
    <row r="280" s="1559" customFormat="1" x14ac:dyDescent="0.3"/>
    <row r="281" s="1559" customFormat="1" x14ac:dyDescent="0.3"/>
    <row r="282" s="1559" customFormat="1" x14ac:dyDescent="0.3"/>
    <row r="283" s="1559" customFormat="1" x14ac:dyDescent="0.3"/>
    <row r="284" s="1559" customFormat="1" x14ac:dyDescent="0.3"/>
    <row r="285" s="1559" customFormat="1" x14ac:dyDescent="0.3"/>
    <row r="286" s="1559" customFormat="1" x14ac:dyDescent="0.3"/>
    <row r="287" s="1559" customFormat="1" x14ac:dyDescent="0.3"/>
    <row r="288" s="1559" customFormat="1" x14ac:dyDescent="0.3"/>
    <row r="289" s="1559" customFormat="1" x14ac:dyDescent="0.3"/>
    <row r="290" s="1559" customFormat="1" x14ac:dyDescent="0.3"/>
    <row r="291" s="1559" customFormat="1" x14ac:dyDescent="0.3"/>
    <row r="292" s="1559" customFormat="1" x14ac:dyDescent="0.3"/>
    <row r="293" s="1559" customFormat="1" x14ac:dyDescent="0.3"/>
    <row r="294" s="1559" customFormat="1" x14ac:dyDescent="0.3"/>
    <row r="295" s="1559" customFormat="1" x14ac:dyDescent="0.3"/>
    <row r="296" s="1559" customFormat="1" x14ac:dyDescent="0.3"/>
    <row r="297" s="1559" customFormat="1" x14ac:dyDescent="0.3"/>
    <row r="298" s="1559" customFormat="1" x14ac:dyDescent="0.3"/>
    <row r="299" s="1559" customFormat="1" x14ac:dyDescent="0.3"/>
    <row r="300" s="1559" customFormat="1" x14ac:dyDescent="0.3"/>
    <row r="301" s="1559" customFormat="1" x14ac:dyDescent="0.3"/>
    <row r="302" s="1559" customFormat="1" x14ac:dyDescent="0.3"/>
    <row r="303" s="1559" customFormat="1" x14ac:dyDescent="0.3"/>
    <row r="304" s="1559" customFormat="1" x14ac:dyDescent="0.3"/>
    <row r="305" s="1559" customFormat="1" x14ac:dyDescent="0.3"/>
    <row r="306" s="1559" customFormat="1" x14ac:dyDescent="0.3"/>
    <row r="307" s="1559" customFormat="1" x14ac:dyDescent="0.3"/>
    <row r="308" s="1559" customFormat="1" x14ac:dyDescent="0.3"/>
    <row r="309" s="1559" customFormat="1" x14ac:dyDescent="0.3"/>
    <row r="310" s="1559" customFormat="1" x14ac:dyDescent="0.3"/>
    <row r="311" s="1559" customFormat="1" x14ac:dyDescent="0.3"/>
    <row r="312" s="1559" customFormat="1" x14ac:dyDescent="0.3"/>
    <row r="313" s="1559" customFormat="1" x14ac:dyDescent="0.3"/>
    <row r="314" s="1559" customFormat="1" x14ac:dyDescent="0.3"/>
    <row r="315" s="1559" customFormat="1" x14ac:dyDescent="0.3"/>
    <row r="316" s="1559" customFormat="1" x14ac:dyDescent="0.3"/>
    <row r="317" s="1559" customFormat="1" x14ac:dyDescent="0.3"/>
    <row r="318" s="1559" customFormat="1" x14ac:dyDescent="0.3"/>
    <row r="319" s="1559" customFormat="1" x14ac:dyDescent="0.3"/>
    <row r="320" s="1559" customFormat="1" x14ac:dyDescent="0.3"/>
    <row r="321" s="1559" customFormat="1" x14ac:dyDescent="0.3"/>
    <row r="322" s="1559" customFormat="1" x14ac:dyDescent="0.3"/>
    <row r="323" s="1559" customFormat="1" x14ac:dyDescent="0.3"/>
    <row r="324" s="1559" customFormat="1" x14ac:dyDescent="0.3"/>
    <row r="325" s="1559" customFormat="1" x14ac:dyDescent="0.3"/>
    <row r="326" s="1559" customFormat="1" x14ac:dyDescent="0.3"/>
    <row r="327" s="1559" customFormat="1" x14ac:dyDescent="0.3"/>
    <row r="328" s="1559" customFormat="1" x14ac:dyDescent="0.3"/>
    <row r="329" s="1559" customFormat="1" x14ac:dyDescent="0.3"/>
    <row r="330" s="1559" customFormat="1" x14ac:dyDescent="0.3"/>
    <row r="331" s="1559" customFormat="1" x14ac:dyDescent="0.3"/>
    <row r="332" s="1559" customFormat="1" x14ac:dyDescent="0.3"/>
    <row r="333" s="1559" customFormat="1" x14ac:dyDescent="0.3"/>
    <row r="334" s="1559" customFormat="1" x14ac:dyDescent="0.3"/>
    <row r="335" s="1559" customFormat="1" x14ac:dyDescent="0.3"/>
    <row r="336" s="1559" customFormat="1" x14ac:dyDescent="0.3"/>
    <row r="337" s="1559" customFormat="1" x14ac:dyDescent="0.3"/>
    <row r="338" s="1559" customFormat="1" x14ac:dyDescent="0.3"/>
    <row r="339" s="1559" customFormat="1" x14ac:dyDescent="0.3"/>
    <row r="340" s="1559" customFormat="1" x14ac:dyDescent="0.3"/>
    <row r="341" s="1559" customFormat="1" x14ac:dyDescent="0.3"/>
    <row r="342" s="1559" customFormat="1" x14ac:dyDescent="0.3"/>
    <row r="343" s="1559" customFormat="1" x14ac:dyDescent="0.3"/>
    <row r="344" s="1559" customFormat="1" x14ac:dyDescent="0.3"/>
    <row r="345" s="1559" customFormat="1" x14ac:dyDescent="0.3"/>
    <row r="346" s="1559" customFormat="1" x14ac:dyDescent="0.3"/>
    <row r="347" s="1559" customFormat="1" x14ac:dyDescent="0.3"/>
    <row r="348" s="1559" customFormat="1" x14ac:dyDescent="0.3"/>
    <row r="349" s="1559" customFormat="1" x14ac:dyDescent="0.3"/>
    <row r="350" s="1559" customFormat="1" x14ac:dyDescent="0.3"/>
    <row r="351" s="1559" customFormat="1" x14ac:dyDescent="0.3"/>
    <row r="352" s="1559" customFormat="1" x14ac:dyDescent="0.3"/>
    <row r="353" s="1559" customFormat="1" x14ac:dyDescent="0.3"/>
    <row r="354" s="1559" customFormat="1" x14ac:dyDescent="0.3"/>
    <row r="355" s="1559" customFormat="1" x14ac:dyDescent="0.3"/>
    <row r="356" s="1559" customFormat="1" x14ac:dyDescent="0.3"/>
    <row r="357" s="1559" customFormat="1" x14ac:dyDescent="0.3"/>
    <row r="358" s="1559" customFormat="1" x14ac:dyDescent="0.3"/>
    <row r="359" s="1559" customFormat="1" x14ac:dyDescent="0.3"/>
    <row r="360" s="1559" customFormat="1" x14ac:dyDescent="0.3"/>
    <row r="361" s="1559" customFormat="1" x14ac:dyDescent="0.3"/>
    <row r="362" s="1559" customFormat="1" x14ac:dyDescent="0.3"/>
    <row r="363" s="1559" customFormat="1" x14ac:dyDescent="0.3"/>
    <row r="364" s="1559" customFormat="1" x14ac:dyDescent="0.3"/>
    <row r="365" s="1559" customFormat="1" x14ac:dyDescent="0.3"/>
    <row r="366" s="1559" customFormat="1" x14ac:dyDescent="0.3"/>
    <row r="367" s="1559" customFormat="1" x14ac:dyDescent="0.3"/>
    <row r="368" s="1559" customFormat="1" x14ac:dyDescent="0.3"/>
    <row r="369" s="1559" customFormat="1" x14ac:dyDescent="0.3"/>
    <row r="370" s="1559" customFormat="1" x14ac:dyDescent="0.3"/>
    <row r="371" s="1559" customFormat="1" x14ac:dyDescent="0.3"/>
    <row r="372" s="1559" customFormat="1" x14ac:dyDescent="0.3"/>
    <row r="373" s="1559" customFormat="1" x14ac:dyDescent="0.3"/>
    <row r="374" s="1559" customFormat="1" x14ac:dyDescent="0.3"/>
    <row r="375" s="1559" customFormat="1" x14ac:dyDescent="0.3"/>
    <row r="376" s="1559" customFormat="1" x14ac:dyDescent="0.3"/>
    <row r="377" s="1559" customFormat="1" x14ac:dyDescent="0.3"/>
    <row r="378" s="1559" customFormat="1" x14ac:dyDescent="0.3"/>
    <row r="379" s="1559" customFormat="1" x14ac:dyDescent="0.3"/>
    <row r="380" s="1559" customFormat="1" x14ac:dyDescent="0.3"/>
    <row r="381" s="1559" customFormat="1" x14ac:dyDescent="0.3"/>
    <row r="382" s="1559" customFormat="1" x14ac:dyDescent="0.3"/>
    <row r="383" s="1559" customFormat="1" x14ac:dyDescent="0.3"/>
    <row r="384" s="1559" customFormat="1" x14ac:dyDescent="0.3"/>
    <row r="385" s="1559" customFormat="1" x14ac:dyDescent="0.3"/>
    <row r="386" s="1559" customFormat="1" x14ac:dyDescent="0.3"/>
    <row r="387" s="1559" customFormat="1" x14ac:dyDescent="0.3"/>
    <row r="388" s="1559" customFormat="1" x14ac:dyDescent="0.3"/>
    <row r="389" s="1559" customFormat="1" x14ac:dyDescent="0.3"/>
    <row r="390" s="1559" customFormat="1" x14ac:dyDescent="0.3"/>
    <row r="391" s="1559" customFormat="1" x14ac:dyDescent="0.3"/>
    <row r="392" s="1559" customFormat="1" x14ac:dyDescent="0.3"/>
    <row r="393" s="1559" customFormat="1" x14ac:dyDescent="0.3"/>
    <row r="394" s="1559" customFormat="1" x14ac:dyDescent="0.3"/>
    <row r="395" s="1559" customFormat="1" x14ac:dyDescent="0.3"/>
    <row r="396" s="1559" customFormat="1" x14ac:dyDescent="0.3"/>
    <row r="397" s="1559" customFormat="1" x14ac:dyDescent="0.3"/>
    <row r="398" s="1559" customFormat="1" x14ac:dyDescent="0.3"/>
    <row r="399" s="1559" customFormat="1" x14ac:dyDescent="0.3"/>
    <row r="400" s="1559" customFormat="1" x14ac:dyDescent="0.3"/>
    <row r="401" s="1559" customFormat="1" x14ac:dyDescent="0.3"/>
    <row r="402" s="1559" customFormat="1" x14ac:dyDescent="0.3"/>
    <row r="403" s="1559" customFormat="1" x14ac:dyDescent="0.3"/>
    <row r="404" s="1559" customFormat="1" x14ac:dyDescent="0.3"/>
    <row r="405" s="1559" customFormat="1" x14ac:dyDescent="0.3"/>
    <row r="406" s="1559" customFormat="1" x14ac:dyDescent="0.3"/>
    <row r="407" s="1559" customFormat="1" x14ac:dyDescent="0.3"/>
    <row r="408" s="1559" customFormat="1" x14ac:dyDescent="0.3"/>
    <row r="409" s="1559" customFormat="1" x14ac:dyDescent="0.3"/>
    <row r="410" s="1559" customFormat="1" x14ac:dyDescent="0.3"/>
    <row r="411" s="1559" customFormat="1" x14ac:dyDescent="0.3"/>
    <row r="412" s="1559" customFormat="1" x14ac:dyDescent="0.3"/>
    <row r="413" s="1559" customFormat="1" x14ac:dyDescent="0.3"/>
    <row r="414" s="1559" customFormat="1" x14ac:dyDescent="0.3"/>
    <row r="415" s="1559" customFormat="1" x14ac:dyDescent="0.3"/>
    <row r="416" s="1559" customFormat="1" x14ac:dyDescent="0.3"/>
    <row r="417" s="1559" customFormat="1" x14ac:dyDescent="0.3"/>
    <row r="418" s="1559" customFormat="1" x14ac:dyDescent="0.3"/>
    <row r="419" s="1559" customFormat="1" x14ac:dyDescent="0.3"/>
    <row r="420" s="1559" customFormat="1" x14ac:dyDescent="0.3"/>
    <row r="421" s="1559" customFormat="1" x14ac:dyDescent="0.3"/>
    <row r="422" s="1559" customFormat="1" x14ac:dyDescent="0.3"/>
    <row r="423" s="1559" customFormat="1" x14ac:dyDescent="0.3"/>
    <row r="424" s="1559" customFormat="1" x14ac:dyDescent="0.3"/>
    <row r="425" s="1559" customFormat="1" x14ac:dyDescent="0.3"/>
    <row r="426" s="1559" customFormat="1" x14ac:dyDescent="0.3"/>
    <row r="427" s="1559" customFormat="1" x14ac:dyDescent="0.3"/>
    <row r="428" s="1559" customFormat="1" x14ac:dyDescent="0.3"/>
    <row r="429" s="1559" customFormat="1" x14ac:dyDescent="0.3"/>
    <row r="430" s="1559" customFormat="1" x14ac:dyDescent="0.3"/>
    <row r="431" s="1559" customFormat="1" x14ac:dyDescent="0.3"/>
    <row r="432" s="1559" customFormat="1" x14ac:dyDescent="0.3"/>
    <row r="433" s="1559" customFormat="1" x14ac:dyDescent="0.3"/>
    <row r="434" s="1559" customFormat="1" x14ac:dyDescent="0.3"/>
    <row r="435" s="1559" customFormat="1" x14ac:dyDescent="0.3"/>
    <row r="436" s="1559" customFormat="1" x14ac:dyDescent="0.3"/>
    <row r="437" s="1559" customFormat="1" x14ac:dyDescent="0.3"/>
    <row r="438" s="1559" customFormat="1" x14ac:dyDescent="0.3"/>
    <row r="439" s="1559" customFormat="1" x14ac:dyDescent="0.3"/>
    <row r="440" s="1559" customFormat="1" x14ac:dyDescent="0.3"/>
    <row r="441" s="1559" customFormat="1" x14ac:dyDescent="0.3"/>
    <row r="442" s="1559" customFormat="1" x14ac:dyDescent="0.3"/>
    <row r="443" s="1559" customFormat="1" x14ac:dyDescent="0.3"/>
    <row r="444" s="1559" customFormat="1" x14ac:dyDescent="0.3"/>
    <row r="445" s="1559" customFormat="1" x14ac:dyDescent="0.3"/>
    <row r="446" s="1559" customFormat="1" x14ac:dyDescent="0.3"/>
    <row r="447" s="1559" customFormat="1" x14ac:dyDescent="0.3"/>
    <row r="448" s="1559" customFormat="1" x14ac:dyDescent="0.3"/>
    <row r="449" s="1559" customFormat="1" x14ac:dyDescent="0.3"/>
    <row r="450" s="1559" customFormat="1" x14ac:dyDescent="0.3"/>
    <row r="451" s="1559" customFormat="1" x14ac:dyDescent="0.3"/>
    <row r="452" s="1559" customFormat="1" x14ac:dyDescent="0.3"/>
    <row r="453" s="1559" customFormat="1" x14ac:dyDescent="0.3"/>
    <row r="454" s="1559" customFormat="1" x14ac:dyDescent="0.3"/>
    <row r="455" s="1559" customFormat="1" x14ac:dyDescent="0.3"/>
    <row r="456" s="1559" customFormat="1" x14ac:dyDescent="0.3"/>
    <row r="457" s="1559" customFormat="1" x14ac:dyDescent="0.3"/>
    <row r="458" s="1559" customFormat="1" x14ac:dyDescent="0.3"/>
    <row r="459" s="1559" customFormat="1" x14ac:dyDescent="0.3"/>
    <row r="460" s="1559" customFormat="1" x14ac:dyDescent="0.3"/>
    <row r="461" s="1559" customFormat="1" x14ac:dyDescent="0.3"/>
    <row r="462" s="1559" customFormat="1" x14ac:dyDescent="0.3"/>
    <row r="463" s="1559" customFormat="1" x14ac:dyDescent="0.3"/>
    <row r="464" s="1559" customFormat="1" x14ac:dyDescent="0.3"/>
    <row r="465" s="1559" customFormat="1" x14ac:dyDescent="0.3"/>
    <row r="466" s="1559" customFormat="1" x14ac:dyDescent="0.3"/>
    <row r="467" s="1559" customFormat="1" x14ac:dyDescent="0.3"/>
    <row r="468" s="1559" customFormat="1" x14ac:dyDescent="0.3"/>
    <row r="469" s="1559" customFormat="1" x14ac:dyDescent="0.3"/>
    <row r="470" s="1559" customFormat="1" x14ac:dyDescent="0.3"/>
    <row r="471" s="1559" customFormat="1" x14ac:dyDescent="0.3"/>
    <row r="472" s="1559" customFormat="1" x14ac:dyDescent="0.3"/>
    <row r="473" s="1559" customFormat="1" x14ac:dyDescent="0.3"/>
    <row r="474" s="1559" customFormat="1" x14ac:dyDescent="0.3"/>
    <row r="475" s="1559" customFormat="1" x14ac:dyDescent="0.3"/>
    <row r="476" s="1559" customFormat="1" x14ac:dyDescent="0.3"/>
    <row r="477" s="1559" customFormat="1" x14ac:dyDescent="0.3"/>
    <row r="478" s="1559" customFormat="1" x14ac:dyDescent="0.3"/>
    <row r="479" s="1559" customFormat="1" x14ac:dyDescent="0.3"/>
    <row r="480" s="1559" customFormat="1" x14ac:dyDescent="0.3"/>
    <row r="481" s="1559" customFormat="1" x14ac:dyDescent="0.3"/>
    <row r="482" s="1559" customFormat="1" x14ac:dyDescent="0.3"/>
    <row r="483" s="1559" customFormat="1" x14ac:dyDescent="0.3"/>
    <row r="484" s="1559" customFormat="1" x14ac:dyDescent="0.3"/>
    <row r="485" s="1559" customFormat="1" x14ac:dyDescent="0.3"/>
    <row r="486" s="1559" customFormat="1" x14ac:dyDescent="0.3"/>
    <row r="487" s="1559" customFormat="1" x14ac:dyDescent="0.3"/>
    <row r="488" s="1559" customFormat="1" x14ac:dyDescent="0.3"/>
    <row r="489" s="1559" customFormat="1" x14ac:dyDescent="0.3"/>
    <row r="490" s="1559" customFormat="1" x14ac:dyDescent="0.3"/>
    <row r="491" s="1559" customFormat="1" x14ac:dyDescent="0.3"/>
    <row r="492" s="1559" customFormat="1" x14ac:dyDescent="0.3"/>
    <row r="493" s="1559" customFormat="1" x14ac:dyDescent="0.3"/>
    <row r="494" s="1559" customFormat="1" x14ac:dyDescent="0.3"/>
    <row r="495" s="1559" customFormat="1" x14ac:dyDescent="0.3"/>
    <row r="496" s="1559" customFormat="1" x14ac:dyDescent="0.3"/>
    <row r="497" s="1559" customFormat="1" x14ac:dyDescent="0.3"/>
    <row r="498" s="1559" customFormat="1" x14ac:dyDescent="0.3"/>
    <row r="499" s="1559" customFormat="1" x14ac:dyDescent="0.3"/>
    <row r="500" s="1559" customFormat="1" x14ac:dyDescent="0.3"/>
    <row r="501" s="1559" customFormat="1" x14ac:dyDescent="0.3"/>
    <row r="502" s="1559" customFormat="1" x14ac:dyDescent="0.3"/>
    <row r="503" s="1559" customFormat="1" x14ac:dyDescent="0.3"/>
    <row r="504" s="1559" customFormat="1" x14ac:dyDescent="0.3"/>
    <row r="505" s="1559" customFormat="1" x14ac:dyDescent="0.3"/>
    <row r="506" s="1559" customFormat="1" x14ac:dyDescent="0.3"/>
    <row r="507" s="1559" customFormat="1" x14ac:dyDescent="0.3"/>
    <row r="508" s="1559" customFormat="1" x14ac:dyDescent="0.3"/>
    <row r="509" s="1559" customFormat="1" x14ac:dyDescent="0.3"/>
    <row r="510" s="1559" customFormat="1" x14ac:dyDescent="0.3"/>
    <row r="511" s="1559" customFormat="1" x14ac:dyDescent="0.3"/>
    <row r="512" s="1559" customFormat="1" x14ac:dyDescent="0.3"/>
    <row r="513" s="1559" customFormat="1" x14ac:dyDescent="0.3"/>
    <row r="514" s="1559" customFormat="1" x14ac:dyDescent="0.3"/>
    <row r="515" s="1559" customFormat="1" x14ac:dyDescent="0.3"/>
    <row r="516" s="1559" customFormat="1" x14ac:dyDescent="0.3"/>
    <row r="517" s="1559" customFormat="1" x14ac:dyDescent="0.3"/>
    <row r="518" s="1559" customFormat="1" x14ac:dyDescent="0.3"/>
    <row r="519" s="1559" customFormat="1" x14ac:dyDescent="0.3"/>
    <row r="520" s="1559" customFormat="1" x14ac:dyDescent="0.3"/>
    <row r="521" s="1559" customFormat="1" x14ac:dyDescent="0.3"/>
    <row r="522" s="1559" customFormat="1" x14ac:dyDescent="0.3"/>
    <row r="523" s="1559" customFormat="1" x14ac:dyDescent="0.3"/>
    <row r="524" s="1559" customFormat="1" x14ac:dyDescent="0.3"/>
    <row r="525" s="1559" customFormat="1" x14ac:dyDescent="0.3"/>
    <row r="526" s="1559" customFormat="1" x14ac:dyDescent="0.3"/>
    <row r="527" s="1559" customFormat="1" x14ac:dyDescent="0.3"/>
    <row r="528" s="1559" customFormat="1" x14ac:dyDescent="0.3"/>
    <row r="529" s="1559" customFormat="1" x14ac:dyDescent="0.3"/>
    <row r="530" s="1559" customFormat="1" x14ac:dyDescent="0.3"/>
    <row r="531" s="1559" customFormat="1" x14ac:dyDescent="0.3"/>
    <row r="532" s="1559" customFormat="1" x14ac:dyDescent="0.3"/>
    <row r="533" s="1559" customFormat="1" x14ac:dyDescent="0.3"/>
    <row r="534" s="1559" customFormat="1" x14ac:dyDescent="0.3"/>
    <row r="535" s="1559" customFormat="1" x14ac:dyDescent="0.3"/>
    <row r="536" s="1559" customFormat="1" x14ac:dyDescent="0.3"/>
    <row r="537" s="1559" customFormat="1" x14ac:dyDescent="0.3"/>
    <row r="538" s="1559" customFormat="1" x14ac:dyDescent="0.3"/>
    <row r="539" s="1559" customFormat="1" x14ac:dyDescent="0.3"/>
    <row r="540" s="1559" customFormat="1" x14ac:dyDescent="0.3"/>
    <row r="541" s="1559" customFormat="1" x14ac:dyDescent="0.3"/>
    <row r="542" s="1559" customFormat="1" x14ac:dyDescent="0.3"/>
    <row r="543" s="1559" customFormat="1" x14ac:dyDescent="0.3"/>
    <row r="544" s="1559" customFormat="1" x14ac:dyDescent="0.3"/>
    <row r="545" s="1559" customFormat="1" x14ac:dyDescent="0.3"/>
    <row r="546" s="1559" customFormat="1" x14ac:dyDescent="0.3"/>
    <row r="547" s="1559" customFormat="1" x14ac:dyDescent="0.3"/>
    <row r="548" s="1559" customFormat="1" x14ac:dyDescent="0.3"/>
    <row r="549" s="1559" customFormat="1" x14ac:dyDescent="0.3"/>
    <row r="550" s="1559" customFormat="1" x14ac:dyDescent="0.3"/>
    <row r="551" s="1559" customFormat="1" x14ac:dyDescent="0.3"/>
    <row r="552" s="1559" customFormat="1" x14ac:dyDescent="0.3"/>
    <row r="553" s="1559" customFormat="1" x14ac:dyDescent="0.3"/>
    <row r="554" s="1559" customFormat="1" x14ac:dyDescent="0.3"/>
    <row r="555" s="1559" customFormat="1" x14ac:dyDescent="0.3"/>
    <row r="556" s="1559" customFormat="1" x14ac:dyDescent="0.3"/>
    <row r="557" s="1559" customFormat="1" x14ac:dyDescent="0.3"/>
    <row r="558" s="1559" customFormat="1" x14ac:dyDescent="0.3"/>
    <row r="559" s="1559" customFormat="1" x14ac:dyDescent="0.3"/>
    <row r="560" s="1559" customFormat="1" x14ac:dyDescent="0.3"/>
    <row r="561" s="1559" customFormat="1" x14ac:dyDescent="0.3"/>
    <row r="562" s="1559" customFormat="1" x14ac:dyDescent="0.3"/>
    <row r="563" s="1559" customFormat="1" x14ac:dyDescent="0.3"/>
    <row r="564" s="1559" customFormat="1" x14ac:dyDescent="0.3"/>
    <row r="565" s="1559" customFormat="1" x14ac:dyDescent="0.3"/>
    <row r="566" s="1559" customFormat="1" x14ac:dyDescent="0.3"/>
    <row r="567" s="1559" customFormat="1" x14ac:dyDescent="0.3"/>
    <row r="568" s="1559" customFormat="1" x14ac:dyDescent="0.3"/>
    <row r="569" s="1559" customFormat="1" x14ac:dyDescent="0.3"/>
    <row r="570" s="1559" customFormat="1" x14ac:dyDescent="0.3"/>
    <row r="571" s="1559" customFormat="1" x14ac:dyDescent="0.3"/>
    <row r="572" s="1559" customFormat="1" x14ac:dyDescent="0.3"/>
    <row r="573" s="1559" customFormat="1" x14ac:dyDescent="0.3"/>
    <row r="574" s="1559" customFormat="1" x14ac:dyDescent="0.3"/>
    <row r="575" s="1559" customFormat="1" x14ac:dyDescent="0.3"/>
    <row r="576" s="1559" customFormat="1" x14ac:dyDescent="0.3"/>
    <row r="577" s="1559" customFormat="1" x14ac:dyDescent="0.3"/>
    <row r="578" s="1559" customFormat="1" x14ac:dyDescent="0.3"/>
    <row r="579" s="1559" customFormat="1" x14ac:dyDescent="0.3"/>
    <row r="580" s="1559" customFormat="1" x14ac:dyDescent="0.3"/>
    <row r="581" s="1559" customFormat="1" x14ac:dyDescent="0.3"/>
    <row r="582" s="1559" customFormat="1" x14ac:dyDescent="0.3"/>
    <row r="583" s="1559" customFormat="1" x14ac:dyDescent="0.3"/>
    <row r="584" s="1559" customFormat="1" x14ac:dyDescent="0.3"/>
    <row r="585" s="1559" customFormat="1" x14ac:dyDescent="0.3"/>
    <row r="586" s="1559" customFormat="1" x14ac:dyDescent="0.3"/>
    <row r="587" s="1559" customFormat="1" x14ac:dyDescent="0.3"/>
    <row r="588" s="1559" customFormat="1" x14ac:dyDescent="0.3"/>
    <row r="589" s="1559" customFormat="1" x14ac:dyDescent="0.3"/>
    <row r="590" s="1559" customFormat="1" x14ac:dyDescent="0.3"/>
    <row r="591" s="1559" customFormat="1" x14ac:dyDescent="0.3"/>
    <row r="592" s="1559" customFormat="1" x14ac:dyDescent="0.3"/>
    <row r="593" s="1559" customFormat="1" x14ac:dyDescent="0.3"/>
    <row r="594" s="1559" customFormat="1" x14ac:dyDescent="0.3"/>
    <row r="595" s="1559" customFormat="1" x14ac:dyDescent="0.3"/>
    <row r="596" s="1559" customFormat="1" x14ac:dyDescent="0.3"/>
    <row r="597" s="1559" customFormat="1" x14ac:dyDescent="0.3"/>
    <row r="598" s="1559" customFormat="1" x14ac:dyDescent="0.3"/>
    <row r="599" s="1559" customFormat="1" x14ac:dyDescent="0.3"/>
    <row r="600" s="1559" customFormat="1" x14ac:dyDescent="0.3"/>
    <row r="601" s="1559" customFormat="1" x14ac:dyDescent="0.3"/>
    <row r="602" s="1559" customFormat="1" x14ac:dyDescent="0.3"/>
    <row r="603" s="1559" customFormat="1" x14ac:dyDescent="0.3"/>
    <row r="604" s="1559" customFormat="1" x14ac:dyDescent="0.3"/>
    <row r="605" s="1559" customFormat="1" x14ac:dyDescent="0.3"/>
    <row r="606" s="1559" customFormat="1" x14ac:dyDescent="0.3"/>
    <row r="607" s="1559" customFormat="1" x14ac:dyDescent="0.3"/>
    <row r="608" s="1559" customFormat="1" x14ac:dyDescent="0.3"/>
    <row r="609" s="1559" customFormat="1" x14ac:dyDescent="0.3"/>
    <row r="610" s="1559" customFormat="1" x14ac:dyDescent="0.3"/>
    <row r="611" s="1559" customFormat="1" x14ac:dyDescent="0.3"/>
    <row r="612" s="1559" customFormat="1" x14ac:dyDescent="0.3"/>
    <row r="613" s="1559" customFormat="1" x14ac:dyDescent="0.3"/>
    <row r="614" s="1559" customFormat="1" x14ac:dyDescent="0.3"/>
    <row r="615" s="1559" customFormat="1" x14ac:dyDescent="0.3"/>
    <row r="616" s="1559" customFormat="1" x14ac:dyDescent="0.3"/>
    <row r="617" s="1559" customFormat="1" x14ac:dyDescent="0.3"/>
    <row r="618" s="1559" customFormat="1" x14ac:dyDescent="0.3"/>
    <row r="619" s="1559" customFormat="1" x14ac:dyDescent="0.3"/>
    <row r="620" s="1559" customFormat="1" x14ac:dyDescent="0.3"/>
    <row r="621" s="1559" customFormat="1" x14ac:dyDescent="0.3"/>
    <row r="622" s="1559" customFormat="1" x14ac:dyDescent="0.3"/>
    <row r="623" s="1559" customFormat="1" x14ac:dyDescent="0.3"/>
    <row r="624" s="1559" customFormat="1" x14ac:dyDescent="0.3"/>
    <row r="625" s="1559" customFormat="1" x14ac:dyDescent="0.3"/>
    <row r="626" s="1559" customFormat="1" x14ac:dyDescent="0.3"/>
    <row r="627" s="1559" customFormat="1" x14ac:dyDescent="0.3"/>
    <row r="628" s="1559" customFormat="1" x14ac:dyDescent="0.3"/>
    <row r="629" s="1559" customFormat="1" x14ac:dyDescent="0.3"/>
    <row r="630" s="1559" customFormat="1" x14ac:dyDescent="0.3"/>
    <row r="631" s="1559" customFormat="1" x14ac:dyDescent="0.3"/>
    <row r="632" s="1559" customFormat="1" x14ac:dyDescent="0.3"/>
    <row r="633" s="1559" customFormat="1" x14ac:dyDescent="0.3"/>
    <row r="634" s="1559" customFormat="1" x14ac:dyDescent="0.3"/>
    <row r="635" s="1559" customFormat="1" x14ac:dyDescent="0.3"/>
    <row r="636" s="1559" customFormat="1" x14ac:dyDescent="0.3"/>
    <row r="637" s="1559" customFormat="1" x14ac:dyDescent="0.3"/>
    <row r="638" s="1559" customFormat="1" x14ac:dyDescent="0.3"/>
    <row r="639" s="1559" customFormat="1" x14ac:dyDescent="0.3"/>
    <row r="640" s="1559" customFormat="1" x14ac:dyDescent="0.3"/>
    <row r="641" s="1559" customFormat="1" x14ac:dyDescent="0.3"/>
    <row r="642" s="1559" customFormat="1" x14ac:dyDescent="0.3"/>
    <row r="643" s="1559" customFormat="1" x14ac:dyDescent="0.3"/>
    <row r="644" s="1559" customFormat="1" x14ac:dyDescent="0.3"/>
    <row r="645" s="1559" customFormat="1" x14ac:dyDescent="0.3"/>
    <row r="646" s="1559" customFormat="1" x14ac:dyDescent="0.3"/>
    <row r="647" s="1559" customFormat="1" x14ac:dyDescent="0.3"/>
    <row r="648" s="1559" customFormat="1" x14ac:dyDescent="0.3"/>
    <row r="649" s="1559" customFormat="1" x14ac:dyDescent="0.3"/>
    <row r="650" s="1559" customFormat="1" x14ac:dyDescent="0.3"/>
    <row r="651" s="1559" customFormat="1" x14ac:dyDescent="0.3"/>
    <row r="652" s="1559" customFormat="1" x14ac:dyDescent="0.3"/>
    <row r="653" s="1559" customFormat="1" x14ac:dyDescent="0.3"/>
    <row r="654" s="1559" customFormat="1" x14ac:dyDescent="0.3"/>
    <row r="655" s="1559" customFormat="1" x14ac:dyDescent="0.3"/>
    <row r="656" s="1559" customFormat="1" x14ac:dyDescent="0.3"/>
    <row r="657" s="1559" customFormat="1" x14ac:dyDescent="0.3"/>
    <row r="658" s="1559" customFormat="1" x14ac:dyDescent="0.3"/>
    <row r="659" s="1559" customFormat="1" x14ac:dyDescent="0.3"/>
    <row r="660" s="1559" customFormat="1" x14ac:dyDescent="0.3"/>
    <row r="661" s="1559" customFormat="1" x14ac:dyDescent="0.3"/>
    <row r="662" s="1559" customFormat="1" x14ac:dyDescent="0.3"/>
    <row r="663" s="1559" customFormat="1" x14ac:dyDescent="0.3"/>
    <row r="664" s="1559" customFormat="1" x14ac:dyDescent="0.3"/>
    <row r="665" s="1559" customFormat="1" x14ac:dyDescent="0.3"/>
    <row r="666" s="1559" customFormat="1" x14ac:dyDescent="0.3"/>
    <row r="667" s="1559" customFormat="1" x14ac:dyDescent="0.3"/>
    <row r="668" s="1559" customFormat="1" x14ac:dyDescent="0.3"/>
    <row r="669" s="1559" customFormat="1" x14ac:dyDescent="0.3"/>
    <row r="670" s="1559" customFormat="1" x14ac:dyDescent="0.3"/>
    <row r="671" s="1559" customFormat="1" x14ac:dyDescent="0.3"/>
    <row r="672" s="1559" customFormat="1" x14ac:dyDescent="0.3"/>
    <row r="673" s="1559" customFormat="1" x14ac:dyDescent="0.3"/>
    <row r="674" s="1559" customFormat="1" x14ac:dyDescent="0.3"/>
    <row r="675" s="1559" customFormat="1" x14ac:dyDescent="0.3"/>
    <row r="676" s="1559" customFormat="1" x14ac:dyDescent="0.3"/>
    <row r="677" s="1559" customFormat="1" x14ac:dyDescent="0.3"/>
    <row r="678" s="1559" customFormat="1" x14ac:dyDescent="0.3"/>
    <row r="679" s="1559" customFormat="1" x14ac:dyDescent="0.3"/>
    <row r="680" s="1559" customFormat="1" x14ac:dyDescent="0.3"/>
    <row r="681" s="1559" customFormat="1" x14ac:dyDescent="0.3"/>
    <row r="682" s="1559" customFormat="1" x14ac:dyDescent="0.3"/>
    <row r="683" s="1559" customFormat="1" x14ac:dyDescent="0.3"/>
    <row r="684" s="1559" customFormat="1" x14ac:dyDescent="0.3"/>
    <row r="685" s="1559" customFormat="1" x14ac:dyDescent="0.3"/>
    <row r="686" s="1559" customFormat="1" x14ac:dyDescent="0.3"/>
    <row r="687" s="1559" customFormat="1" x14ac:dyDescent="0.3"/>
    <row r="688" s="1559" customFormat="1" x14ac:dyDescent="0.3"/>
    <row r="689" s="1559" customFormat="1" x14ac:dyDescent="0.3"/>
    <row r="690" s="1559" customFormat="1" x14ac:dyDescent="0.3"/>
    <row r="691" s="1559" customFormat="1" x14ac:dyDescent="0.3"/>
    <row r="692" s="1559" customFormat="1" x14ac:dyDescent="0.3"/>
    <row r="693" s="1559" customFormat="1" x14ac:dyDescent="0.3"/>
    <row r="694" s="1559" customFormat="1" x14ac:dyDescent="0.3"/>
    <row r="695" s="1559" customFormat="1" x14ac:dyDescent="0.3"/>
    <row r="696" s="1559" customFormat="1" x14ac:dyDescent="0.3"/>
    <row r="697" s="1559" customFormat="1" x14ac:dyDescent="0.3"/>
    <row r="698" s="1559" customFormat="1" x14ac:dyDescent="0.3"/>
    <row r="699" s="1559" customFormat="1" x14ac:dyDescent="0.3"/>
    <row r="700" s="1559" customFormat="1" x14ac:dyDescent="0.3"/>
    <row r="701" s="1559" customFormat="1" x14ac:dyDescent="0.3"/>
    <row r="702" s="1559" customFormat="1" x14ac:dyDescent="0.3"/>
    <row r="703" s="1559" customFormat="1" x14ac:dyDescent="0.3"/>
    <row r="704" s="1559" customFormat="1" x14ac:dyDescent="0.3"/>
    <row r="705" s="1559" customFormat="1" x14ac:dyDescent="0.3"/>
    <row r="706" s="1559" customFormat="1" x14ac:dyDescent="0.3"/>
    <row r="707" s="1559" customFormat="1" x14ac:dyDescent="0.3"/>
    <row r="708" s="1559" customFormat="1" x14ac:dyDescent="0.3"/>
    <row r="709" s="1559" customFormat="1" x14ac:dyDescent="0.3"/>
    <row r="710" s="1559" customFormat="1" x14ac:dyDescent="0.3"/>
    <row r="711" s="1559" customFormat="1" x14ac:dyDescent="0.3"/>
    <row r="712" s="1559" customFormat="1" x14ac:dyDescent="0.3"/>
    <row r="713" s="1559" customFormat="1" x14ac:dyDescent="0.3"/>
    <row r="714" s="1559" customFormat="1" x14ac:dyDescent="0.3"/>
    <row r="715" s="1559" customFormat="1" x14ac:dyDescent="0.3"/>
    <row r="716" s="1559" customFormat="1" x14ac:dyDescent="0.3"/>
    <row r="717" s="1559" customFormat="1" x14ac:dyDescent="0.3"/>
    <row r="718" s="1559" customFormat="1" x14ac:dyDescent="0.3"/>
    <row r="719" s="1559" customFormat="1" x14ac:dyDescent="0.3"/>
    <row r="720" s="1559" customFormat="1" x14ac:dyDescent="0.3"/>
    <row r="721" s="1559" customFormat="1" x14ac:dyDescent="0.3"/>
    <row r="722" s="1559" customFormat="1" x14ac:dyDescent="0.3"/>
    <row r="723" s="1559" customFormat="1" x14ac:dyDescent="0.3"/>
    <row r="724" s="1559" customFormat="1" x14ac:dyDescent="0.3"/>
    <row r="725" s="1559" customFormat="1" x14ac:dyDescent="0.3"/>
    <row r="726" s="1559" customFormat="1" x14ac:dyDescent="0.3"/>
    <row r="727" s="1559" customFormat="1" x14ac:dyDescent="0.3"/>
    <row r="728" s="1559" customFormat="1" x14ac:dyDescent="0.3"/>
    <row r="729" s="1559" customFormat="1" x14ac:dyDescent="0.3"/>
    <row r="730" s="1559" customFormat="1" x14ac:dyDescent="0.3"/>
    <row r="731" s="1559" customFormat="1" x14ac:dyDescent="0.3"/>
    <row r="732" s="1559" customFormat="1" x14ac:dyDescent="0.3"/>
    <row r="733" s="1559" customFormat="1" x14ac:dyDescent="0.3"/>
    <row r="734" s="1559" customFormat="1" x14ac:dyDescent="0.3"/>
    <row r="735" s="1559" customFormat="1" x14ac:dyDescent="0.3"/>
    <row r="736" s="1559" customFormat="1" x14ac:dyDescent="0.3"/>
    <row r="737" s="1559" customFormat="1" x14ac:dyDescent="0.3"/>
    <row r="738" s="1559" customFormat="1" x14ac:dyDescent="0.3"/>
    <row r="739" s="1559" customFormat="1" x14ac:dyDescent="0.3"/>
    <row r="740" s="1559" customFormat="1" x14ac:dyDescent="0.3"/>
    <row r="741" s="1559" customFormat="1" x14ac:dyDescent="0.3"/>
    <row r="742" s="1559" customFormat="1" x14ac:dyDescent="0.3"/>
    <row r="743" s="1559" customFormat="1" x14ac:dyDescent="0.3"/>
    <row r="744" s="1559" customFormat="1" x14ac:dyDescent="0.3"/>
    <row r="745" s="1559" customFormat="1" x14ac:dyDescent="0.3"/>
    <row r="746" s="1559" customFormat="1" x14ac:dyDescent="0.3"/>
    <row r="747" s="1559" customFormat="1" x14ac:dyDescent="0.3"/>
    <row r="748" s="1559" customFormat="1" x14ac:dyDescent="0.3"/>
    <row r="749" s="1559" customFormat="1" x14ac:dyDescent="0.3"/>
    <row r="750" s="1559" customFormat="1" x14ac:dyDescent="0.3"/>
    <row r="751" s="1559" customFormat="1" x14ac:dyDescent="0.3"/>
    <row r="752" s="1559" customFormat="1" x14ac:dyDescent="0.3"/>
    <row r="753" s="1559" customFormat="1" x14ac:dyDescent="0.3"/>
    <row r="754" s="1559" customFormat="1" x14ac:dyDescent="0.3"/>
    <row r="755" s="1559" customFormat="1" x14ac:dyDescent="0.3"/>
    <row r="756" s="1559" customFormat="1" x14ac:dyDescent="0.3"/>
    <row r="757" s="1559" customFormat="1" x14ac:dyDescent="0.3"/>
    <row r="758" s="1559" customFormat="1" x14ac:dyDescent="0.3"/>
    <row r="759" s="1559" customFormat="1" x14ac:dyDescent="0.3"/>
    <row r="760" s="1559" customFormat="1" x14ac:dyDescent="0.3"/>
    <row r="761" s="1559" customFormat="1" x14ac:dyDescent="0.3"/>
    <row r="762" s="1559" customFormat="1" x14ac:dyDescent="0.3"/>
    <row r="763" s="1559" customFormat="1" x14ac:dyDescent="0.3"/>
    <row r="764" s="1559" customFormat="1" x14ac:dyDescent="0.3"/>
    <row r="765" s="1559" customFormat="1" x14ac:dyDescent="0.3"/>
    <row r="766" s="1559" customFormat="1" x14ac:dyDescent="0.3"/>
    <row r="767" s="1559" customFormat="1" x14ac:dyDescent="0.3"/>
    <row r="768" s="1559" customFormat="1" x14ac:dyDescent="0.3"/>
    <row r="769" s="1559" customFormat="1" x14ac:dyDescent="0.3"/>
    <row r="770" s="1559" customFormat="1" x14ac:dyDescent="0.3"/>
    <row r="771" s="1559" customFormat="1" x14ac:dyDescent="0.3"/>
    <row r="772" s="1559" customFormat="1" x14ac:dyDescent="0.3"/>
    <row r="773" s="1559" customFormat="1" x14ac:dyDescent="0.3"/>
    <row r="774" s="1559" customFormat="1" x14ac:dyDescent="0.3"/>
    <row r="775" s="1559" customFormat="1" x14ac:dyDescent="0.3"/>
    <row r="776" s="1559" customFormat="1" x14ac:dyDescent="0.3"/>
    <row r="777" s="1559" customFormat="1" x14ac:dyDescent="0.3"/>
    <row r="778" s="1559" customFormat="1" x14ac:dyDescent="0.3"/>
    <row r="779" s="1559" customFormat="1" x14ac:dyDescent="0.3"/>
    <row r="780" s="1559" customFormat="1" x14ac:dyDescent="0.3"/>
    <row r="781" s="1559" customFormat="1" x14ac:dyDescent="0.3"/>
    <row r="782" s="1559" customFormat="1" x14ac:dyDescent="0.3"/>
    <row r="783" s="1559" customFormat="1" x14ac:dyDescent="0.3"/>
    <row r="784" s="1559" customFormat="1" x14ac:dyDescent="0.3"/>
    <row r="785" s="1559" customFormat="1" x14ac:dyDescent="0.3"/>
    <row r="786" s="1559" customFormat="1" x14ac:dyDescent="0.3"/>
    <row r="787" s="1559" customFormat="1" x14ac:dyDescent="0.3"/>
    <row r="788" s="1559" customFormat="1" x14ac:dyDescent="0.3"/>
    <row r="789" s="1559" customFormat="1" x14ac:dyDescent="0.3"/>
    <row r="790" s="1559" customFormat="1" x14ac:dyDescent="0.3"/>
    <row r="791" s="1559" customFormat="1" x14ac:dyDescent="0.3"/>
    <row r="792" s="1559" customFormat="1" x14ac:dyDescent="0.3"/>
    <row r="793" s="1559" customFormat="1" x14ac:dyDescent="0.3"/>
    <row r="794" s="1559" customFormat="1" x14ac:dyDescent="0.3"/>
    <row r="795" s="1559" customFormat="1" x14ac:dyDescent="0.3"/>
    <row r="796" s="1559" customFormat="1" x14ac:dyDescent="0.3"/>
    <row r="797" s="1559" customFormat="1" x14ac:dyDescent="0.3"/>
    <row r="798" s="1559" customFormat="1" x14ac:dyDescent="0.3"/>
    <row r="799" s="1559" customFormat="1" x14ac:dyDescent="0.3"/>
    <row r="800" s="1559" customFormat="1" x14ac:dyDescent="0.3"/>
    <row r="801" s="1559" customFormat="1" x14ac:dyDescent="0.3"/>
    <row r="802" s="1559" customFormat="1" x14ac:dyDescent="0.3"/>
    <row r="803" s="1559" customFormat="1" x14ac:dyDescent="0.3"/>
    <row r="804" s="1559" customFormat="1" x14ac:dyDescent="0.3"/>
    <row r="805" s="1559" customFormat="1" x14ac:dyDescent="0.3"/>
    <row r="806" s="1559" customFormat="1" x14ac:dyDescent="0.3"/>
    <row r="807" s="1559" customFormat="1" x14ac:dyDescent="0.3"/>
    <row r="808" s="1559" customFormat="1" x14ac:dyDescent="0.3"/>
    <row r="809" s="1559" customFormat="1" x14ac:dyDescent="0.3"/>
    <row r="810" s="1559" customFormat="1" x14ac:dyDescent="0.3"/>
    <row r="811" s="1559" customFormat="1" x14ac:dyDescent="0.3"/>
    <row r="812" s="1559" customFormat="1" x14ac:dyDescent="0.3"/>
    <row r="813" s="1559" customFormat="1" x14ac:dyDescent="0.3"/>
    <row r="814" s="1559" customFormat="1" x14ac:dyDescent="0.3"/>
    <row r="815" s="1559" customFormat="1" x14ac:dyDescent="0.3"/>
    <row r="816" s="1559" customFormat="1" x14ac:dyDescent="0.3"/>
    <row r="817" s="1559" customFormat="1" x14ac:dyDescent="0.3"/>
    <row r="818" s="1559" customFormat="1" x14ac:dyDescent="0.3"/>
    <row r="819" s="1559" customFormat="1" x14ac:dyDescent="0.3"/>
    <row r="820" s="1559" customFormat="1" x14ac:dyDescent="0.3"/>
    <row r="821" s="1559" customFormat="1" x14ac:dyDescent="0.3"/>
    <row r="822" s="1559" customFormat="1" x14ac:dyDescent="0.3"/>
    <row r="823" s="1559" customFormat="1" x14ac:dyDescent="0.3"/>
    <row r="824" s="1559" customFormat="1" x14ac:dyDescent="0.3"/>
    <row r="825" s="1559" customFormat="1" x14ac:dyDescent="0.3"/>
    <row r="826" s="1559" customFormat="1" x14ac:dyDescent="0.3"/>
    <row r="827" s="1559" customFormat="1" x14ac:dyDescent="0.3"/>
    <row r="828" s="1559" customFormat="1" x14ac:dyDescent="0.3"/>
    <row r="829" s="1559" customFormat="1" x14ac:dyDescent="0.3"/>
    <row r="830" s="1559" customFormat="1" x14ac:dyDescent="0.3"/>
    <row r="831" s="1559" customFormat="1" x14ac:dyDescent="0.3"/>
    <row r="832" s="1559" customFormat="1" x14ac:dyDescent="0.3"/>
    <row r="833" s="1559" customFormat="1" x14ac:dyDescent="0.3"/>
    <row r="834" s="1559" customFormat="1" x14ac:dyDescent="0.3"/>
    <row r="835" s="1559" customFormat="1" x14ac:dyDescent="0.3"/>
    <row r="836" s="1559" customFormat="1" x14ac:dyDescent="0.3"/>
    <row r="837" s="1559" customFormat="1" x14ac:dyDescent="0.3"/>
    <row r="838" s="1559" customFormat="1" x14ac:dyDescent="0.3"/>
    <row r="839" s="1559" customFormat="1" x14ac:dyDescent="0.3"/>
    <row r="840" s="1559" customFormat="1" x14ac:dyDescent="0.3"/>
    <row r="841" s="1559" customFormat="1" x14ac:dyDescent="0.3"/>
    <row r="842" s="1559" customFormat="1" x14ac:dyDescent="0.3"/>
    <row r="843" s="1559" customFormat="1" x14ac:dyDescent="0.3"/>
    <row r="844" s="1559" customFormat="1" x14ac:dyDescent="0.3"/>
    <row r="845" s="1559" customFormat="1" x14ac:dyDescent="0.3"/>
    <row r="846" s="1559" customFormat="1" x14ac:dyDescent="0.3"/>
    <row r="847" s="1559" customFormat="1" x14ac:dyDescent="0.3"/>
    <row r="848" s="1559" customFormat="1" x14ac:dyDescent="0.3"/>
    <row r="849" s="1559" customFormat="1" x14ac:dyDescent="0.3"/>
    <row r="850" s="1559" customFormat="1" x14ac:dyDescent="0.3"/>
    <row r="851" s="1559" customFormat="1" x14ac:dyDescent="0.3"/>
    <row r="852" s="1559" customFormat="1" x14ac:dyDescent="0.3"/>
    <row r="853" s="1559" customFormat="1" x14ac:dyDescent="0.3"/>
    <row r="854" s="1559" customFormat="1" x14ac:dyDescent="0.3"/>
    <row r="855" s="1559" customFormat="1" x14ac:dyDescent="0.3"/>
    <row r="856" s="1559" customFormat="1" x14ac:dyDescent="0.3"/>
    <row r="857" s="1559" customFormat="1" x14ac:dyDescent="0.3"/>
    <row r="858" s="1559" customFormat="1" x14ac:dyDescent="0.3"/>
    <row r="859" s="1559" customFormat="1" x14ac:dyDescent="0.3"/>
    <row r="860" s="1559" customFormat="1" x14ac:dyDescent="0.3"/>
    <row r="861" s="1559" customFormat="1" x14ac:dyDescent="0.3"/>
    <row r="862" s="1559" customFormat="1" x14ac:dyDescent="0.3"/>
    <row r="863" s="1559" customFormat="1" x14ac:dyDescent="0.3"/>
    <row r="864" s="1559" customFormat="1" x14ac:dyDescent="0.3"/>
    <row r="865" s="1559" customFormat="1" x14ac:dyDescent="0.3"/>
    <row r="866" s="1559" customFormat="1" x14ac:dyDescent="0.3"/>
    <row r="867" s="1559" customFormat="1" x14ac:dyDescent="0.3"/>
    <row r="868" s="1559" customFormat="1" x14ac:dyDescent="0.3"/>
    <row r="869" s="1559" customFormat="1" x14ac:dyDescent="0.3"/>
    <row r="870" s="1559" customFormat="1" x14ac:dyDescent="0.3"/>
    <row r="871" s="1559" customFormat="1" x14ac:dyDescent="0.3"/>
    <row r="872" s="1559" customFormat="1" x14ac:dyDescent="0.3"/>
    <row r="873" s="1559" customFormat="1" x14ac:dyDescent="0.3"/>
    <row r="874" s="1559" customFormat="1" x14ac:dyDescent="0.3"/>
    <row r="875" s="1559" customFormat="1" x14ac:dyDescent="0.3"/>
    <row r="876" s="1559" customFormat="1" x14ac:dyDescent="0.3"/>
    <row r="877" s="1559" customFormat="1" x14ac:dyDescent="0.3"/>
    <row r="878" s="1559" customFormat="1" x14ac:dyDescent="0.3"/>
    <row r="879" s="1559" customFormat="1" x14ac:dyDescent="0.3"/>
    <row r="880" s="1559" customFormat="1" x14ac:dyDescent="0.3"/>
    <row r="881" s="1559" customFormat="1" x14ac:dyDescent="0.3"/>
    <row r="882" s="1559" customFormat="1" x14ac:dyDescent="0.3"/>
    <row r="883" s="1559" customFormat="1" x14ac:dyDescent="0.3"/>
    <row r="884" s="1559" customFormat="1" x14ac:dyDescent="0.3"/>
    <row r="885" s="1559" customFormat="1" x14ac:dyDescent="0.3"/>
    <row r="886" s="1559" customFormat="1" x14ac:dyDescent="0.3"/>
    <row r="887" s="1559" customFormat="1" x14ac:dyDescent="0.3"/>
    <row r="888" s="1559" customFormat="1" x14ac:dyDescent="0.3"/>
    <row r="889" s="1559" customFormat="1" x14ac:dyDescent="0.3"/>
    <row r="890" s="1559" customFormat="1" x14ac:dyDescent="0.3"/>
    <row r="891" s="1559" customFormat="1" x14ac:dyDescent="0.3"/>
    <row r="892" s="1559" customFormat="1" x14ac:dyDescent="0.3"/>
    <row r="893" s="1559" customFormat="1" x14ac:dyDescent="0.3"/>
    <row r="894" s="1559" customFormat="1" x14ac:dyDescent="0.3"/>
    <row r="895" s="1559" customFormat="1" x14ac:dyDescent="0.3"/>
    <row r="896" s="1559" customFormat="1" x14ac:dyDescent="0.3"/>
    <row r="897" s="1559" customFormat="1" x14ac:dyDescent="0.3"/>
    <row r="898" s="1559" customFormat="1" x14ac:dyDescent="0.3"/>
    <row r="899" s="1559" customFormat="1" x14ac:dyDescent="0.3"/>
    <row r="900" s="1559" customFormat="1" x14ac:dyDescent="0.3"/>
    <row r="901" s="1559" customFormat="1" x14ac:dyDescent="0.3"/>
    <row r="902" s="1559" customFormat="1" x14ac:dyDescent="0.3"/>
    <row r="903" s="1559" customFormat="1" x14ac:dyDescent="0.3"/>
    <row r="904" s="1559" customFormat="1" x14ac:dyDescent="0.3"/>
    <row r="905" s="1559" customFormat="1" x14ac:dyDescent="0.3"/>
    <row r="906" s="1559" customFormat="1" x14ac:dyDescent="0.3"/>
    <row r="907" s="1559" customFormat="1" x14ac:dyDescent="0.3"/>
    <row r="908" s="1559" customFormat="1" x14ac:dyDescent="0.3"/>
    <row r="909" s="1559" customFormat="1" x14ac:dyDescent="0.3"/>
    <row r="910" s="1559" customFormat="1" x14ac:dyDescent="0.3"/>
    <row r="911" s="1559" customFormat="1" x14ac:dyDescent="0.3"/>
    <row r="912" s="1559" customFormat="1" x14ac:dyDescent="0.3"/>
    <row r="913" s="1559" customFormat="1" x14ac:dyDescent="0.3"/>
    <row r="914" s="1559" customFormat="1" x14ac:dyDescent="0.3"/>
    <row r="915" s="1559" customFormat="1" x14ac:dyDescent="0.3"/>
    <row r="916" s="1559" customFormat="1" x14ac:dyDescent="0.3"/>
    <row r="917" s="1559" customFormat="1" x14ac:dyDescent="0.3"/>
    <row r="918" s="1559" customFormat="1" x14ac:dyDescent="0.3"/>
    <row r="919" s="1559" customFormat="1" x14ac:dyDescent="0.3"/>
    <row r="920" s="1559" customFormat="1" x14ac:dyDescent="0.3"/>
    <row r="921" s="1559" customFormat="1" x14ac:dyDescent="0.3"/>
    <row r="922" s="1559" customFormat="1" x14ac:dyDescent="0.3"/>
    <row r="923" s="1559" customFormat="1" x14ac:dyDescent="0.3"/>
    <row r="924" s="1559" customFormat="1" x14ac:dyDescent="0.3"/>
    <row r="925" s="1559" customFormat="1" x14ac:dyDescent="0.3"/>
    <row r="926" s="1559" customFormat="1" x14ac:dyDescent="0.3"/>
    <row r="927" s="1559" customFormat="1" x14ac:dyDescent="0.3"/>
    <row r="928" s="1559" customFormat="1" x14ac:dyDescent="0.3"/>
    <row r="929" s="1559" customFormat="1" x14ac:dyDescent="0.3"/>
    <row r="930" s="1559" customFormat="1" x14ac:dyDescent="0.3"/>
    <row r="931" s="1559" customFormat="1" x14ac:dyDescent="0.3"/>
    <row r="932" s="1559" customFormat="1" x14ac:dyDescent="0.3"/>
    <row r="933" s="1559" customFormat="1" x14ac:dyDescent="0.3"/>
    <row r="934" s="1559" customFormat="1" x14ac:dyDescent="0.3"/>
    <row r="935" s="1559" customFormat="1" x14ac:dyDescent="0.3"/>
    <row r="936" s="1559" customFormat="1" x14ac:dyDescent="0.3"/>
    <row r="937" s="1559" customFormat="1" x14ac:dyDescent="0.3"/>
    <row r="938" s="1559" customFormat="1" x14ac:dyDescent="0.3"/>
    <row r="939" s="1559" customFormat="1" x14ac:dyDescent="0.3"/>
    <row r="940" s="1559" customFormat="1" x14ac:dyDescent="0.3"/>
    <row r="941" s="1559" customFormat="1" x14ac:dyDescent="0.3"/>
    <row r="942" s="1559" customFormat="1" x14ac:dyDescent="0.3"/>
    <row r="943" s="1559" customFormat="1" x14ac:dyDescent="0.3"/>
    <row r="944" s="1559" customFormat="1" x14ac:dyDescent="0.3"/>
    <row r="945" s="1559" customFormat="1" x14ac:dyDescent="0.3"/>
    <row r="946" s="1559" customFormat="1" x14ac:dyDescent="0.3"/>
    <row r="947" s="1559" customFormat="1" x14ac:dyDescent="0.3"/>
    <row r="948" s="1559" customFormat="1" x14ac:dyDescent="0.3"/>
    <row r="949" s="1559" customFormat="1" x14ac:dyDescent="0.3"/>
    <row r="950" s="1559" customFormat="1" x14ac:dyDescent="0.3"/>
    <row r="951" s="1559" customFormat="1" x14ac:dyDescent="0.3"/>
    <row r="952" s="1559" customFormat="1" x14ac:dyDescent="0.3"/>
    <row r="953" s="1559" customFormat="1" x14ac:dyDescent="0.3"/>
    <row r="954" s="1559" customFormat="1" x14ac:dyDescent="0.3"/>
    <row r="955" s="1559" customFormat="1" x14ac:dyDescent="0.3"/>
    <row r="956" s="1559" customFormat="1" x14ac:dyDescent="0.3"/>
    <row r="957" s="1559" customFormat="1" x14ac:dyDescent="0.3"/>
    <row r="958" s="1559" customFormat="1" x14ac:dyDescent="0.3"/>
    <row r="959" s="1559" customFormat="1" x14ac:dyDescent="0.3"/>
    <row r="960" s="1559" customFormat="1" x14ac:dyDescent="0.3"/>
    <row r="961" s="1559" customFormat="1" x14ac:dyDescent="0.3"/>
    <row r="962" s="1559" customFormat="1" x14ac:dyDescent="0.3"/>
    <row r="963" s="1559" customFormat="1" x14ac:dyDescent="0.3"/>
    <row r="964" s="1559" customFormat="1" x14ac:dyDescent="0.3"/>
    <row r="965" s="1559" customFormat="1" x14ac:dyDescent="0.3"/>
    <row r="966" s="1559" customFormat="1" x14ac:dyDescent="0.3"/>
    <row r="967" s="1559" customFormat="1" x14ac:dyDescent="0.3"/>
    <row r="968" s="1559" customFormat="1" x14ac:dyDescent="0.3"/>
    <row r="969" s="1559" customFormat="1" x14ac:dyDescent="0.3"/>
    <row r="970" s="1559" customFormat="1" x14ac:dyDescent="0.3"/>
    <row r="971" s="1559" customFormat="1" x14ac:dyDescent="0.3"/>
    <row r="972" s="1559" customFormat="1" x14ac:dyDescent="0.3"/>
    <row r="973" s="1559" customFormat="1" x14ac:dyDescent="0.3"/>
    <row r="974" s="1559" customFormat="1" x14ac:dyDescent="0.3"/>
    <row r="975" s="1559" customFormat="1" x14ac:dyDescent="0.3"/>
    <row r="976" s="1559" customFormat="1" x14ac:dyDescent="0.3"/>
    <row r="977" s="1559" customFormat="1" x14ac:dyDescent="0.3"/>
    <row r="978" s="1559" customFormat="1" x14ac:dyDescent="0.3"/>
    <row r="979" s="1559" customFormat="1" x14ac:dyDescent="0.3"/>
    <row r="980" s="1559" customFormat="1" x14ac:dyDescent="0.3"/>
    <row r="981" s="1559" customFormat="1" x14ac:dyDescent="0.3"/>
    <row r="982" s="1559" customFormat="1" x14ac:dyDescent="0.3"/>
    <row r="983" s="1559" customFormat="1" x14ac:dyDescent="0.3"/>
    <row r="984" s="1559" customFormat="1" x14ac:dyDescent="0.3"/>
    <row r="985" s="1559" customFormat="1" x14ac:dyDescent="0.3"/>
    <row r="986" s="1559" customFormat="1" x14ac:dyDescent="0.3"/>
    <row r="987" s="1559" customFormat="1" x14ac:dyDescent="0.3"/>
    <row r="988" s="1559" customFormat="1" x14ac:dyDescent="0.3"/>
    <row r="989" s="1559" customFormat="1" x14ac:dyDescent="0.3"/>
    <row r="990" s="1559" customFormat="1" x14ac:dyDescent="0.3"/>
    <row r="991" s="1559" customFormat="1" x14ac:dyDescent="0.3"/>
    <row r="992" s="1559" customFormat="1" x14ac:dyDescent="0.3"/>
    <row r="993" s="1559" customFormat="1" x14ac:dyDescent="0.3"/>
    <row r="994" s="1559" customFormat="1" x14ac:dyDescent="0.3"/>
    <row r="995" s="1559" customFormat="1" x14ac:dyDescent="0.3"/>
    <row r="996" s="1559" customFormat="1" x14ac:dyDescent="0.3"/>
    <row r="997" s="1559" customFormat="1" x14ac:dyDescent="0.3"/>
    <row r="998" s="1559" customFormat="1" x14ac:dyDescent="0.3"/>
    <row r="999" s="1559" customFormat="1" x14ac:dyDescent="0.3"/>
    <row r="1000" s="1559" customFormat="1" x14ac:dyDescent="0.3"/>
    <row r="1001" s="1559" customFormat="1" x14ac:dyDescent="0.3"/>
    <row r="1002" s="1559" customFormat="1" x14ac:dyDescent="0.3"/>
    <row r="1003" s="1559" customFormat="1" x14ac:dyDescent="0.3"/>
    <row r="1004" s="1559" customFormat="1" x14ac:dyDescent="0.3"/>
    <row r="1005" s="1559" customFormat="1" x14ac:dyDescent="0.3"/>
    <row r="1006" s="1559" customFormat="1" x14ac:dyDescent="0.3"/>
    <row r="1007" s="1559" customFormat="1" x14ac:dyDescent="0.3"/>
    <row r="1008" s="1559" customFormat="1" x14ac:dyDescent="0.3"/>
    <row r="1009" s="1559" customFormat="1" x14ac:dyDescent="0.3"/>
    <row r="1010" s="1559" customFormat="1" x14ac:dyDescent="0.3"/>
    <row r="1011" s="1559" customFormat="1" x14ac:dyDescent="0.3"/>
    <row r="1012" s="1559" customFormat="1" x14ac:dyDescent="0.3"/>
    <row r="1013" s="1559" customFormat="1" x14ac:dyDescent="0.3"/>
    <row r="1014" s="1559" customFormat="1" x14ac:dyDescent="0.3"/>
    <row r="1015" s="1559" customFormat="1" x14ac:dyDescent="0.3"/>
    <row r="1016" s="1559" customFormat="1" x14ac:dyDescent="0.3"/>
    <row r="1017" s="1559" customFormat="1" x14ac:dyDescent="0.3"/>
    <row r="1018" s="1559" customFormat="1" x14ac:dyDescent="0.3"/>
    <row r="1019" s="1559" customFormat="1" x14ac:dyDescent="0.3"/>
    <row r="1020" s="1559" customFormat="1" x14ac:dyDescent="0.3"/>
    <row r="1021" s="1559" customFormat="1" x14ac:dyDescent="0.3"/>
    <row r="1022" s="1559" customFormat="1" x14ac:dyDescent="0.3"/>
    <row r="1023" s="1559" customFormat="1" x14ac:dyDescent="0.3"/>
    <row r="1024" s="1559" customFormat="1" x14ac:dyDescent="0.3"/>
    <row r="1025" s="1559" customFormat="1" x14ac:dyDescent="0.3"/>
    <row r="1026" s="1559" customFormat="1" x14ac:dyDescent="0.3"/>
    <row r="1027" s="1559" customFormat="1" x14ac:dyDescent="0.3"/>
    <row r="1028" s="1559" customFormat="1" x14ac:dyDescent="0.3"/>
    <row r="1029" s="1559" customFormat="1" x14ac:dyDescent="0.3"/>
    <row r="1030" s="1559" customFormat="1" x14ac:dyDescent="0.3"/>
    <row r="1031" s="1559" customFormat="1" x14ac:dyDescent="0.3"/>
    <row r="1032" s="1559" customFormat="1" x14ac:dyDescent="0.3"/>
    <row r="1033" s="1559" customFormat="1" x14ac:dyDescent="0.3"/>
    <row r="1034" s="1559" customFormat="1" x14ac:dyDescent="0.3"/>
    <row r="1035" s="1559" customFormat="1" x14ac:dyDescent="0.3"/>
    <row r="1036" s="1559" customFormat="1" x14ac:dyDescent="0.3"/>
    <row r="1037" s="1559" customFormat="1" x14ac:dyDescent="0.3"/>
    <row r="1038" s="1559" customFormat="1" x14ac:dyDescent="0.3"/>
    <row r="1039" s="1559" customFormat="1" x14ac:dyDescent="0.3"/>
    <row r="1040" s="1559" customFormat="1" x14ac:dyDescent="0.3"/>
    <row r="1041" s="1559" customFormat="1" x14ac:dyDescent="0.3"/>
    <row r="1042" s="1559" customFormat="1" x14ac:dyDescent="0.3"/>
    <row r="1043" s="1559" customFormat="1" x14ac:dyDescent="0.3"/>
    <row r="1044" s="1559" customFormat="1" x14ac:dyDescent="0.3"/>
    <row r="1045" s="1559" customFormat="1" x14ac:dyDescent="0.3"/>
    <row r="1046" s="1559" customFormat="1" x14ac:dyDescent="0.3"/>
    <row r="1047" s="1559" customFormat="1" x14ac:dyDescent="0.3"/>
    <row r="1048" s="1559" customFormat="1" x14ac:dyDescent="0.3"/>
    <row r="1049" s="1559" customFormat="1" x14ac:dyDescent="0.3"/>
    <row r="1050" s="1559" customFormat="1" x14ac:dyDescent="0.3"/>
    <row r="1051" s="1559" customFormat="1" x14ac:dyDescent="0.3"/>
    <row r="1052" s="1559" customFormat="1" x14ac:dyDescent="0.3"/>
    <row r="1053" s="1559" customFormat="1" x14ac:dyDescent="0.3"/>
    <row r="1054" s="1559" customFormat="1" x14ac:dyDescent="0.3"/>
    <row r="1055" s="1559" customFormat="1" x14ac:dyDescent="0.3"/>
    <row r="1056" s="1559" customFormat="1" x14ac:dyDescent="0.3"/>
    <row r="1057" s="1559" customFormat="1" x14ac:dyDescent="0.3"/>
    <row r="1058" s="1559" customFormat="1" x14ac:dyDescent="0.3"/>
    <row r="1059" s="1559" customFormat="1" x14ac:dyDescent="0.3"/>
    <row r="1060" s="1559" customFormat="1" x14ac:dyDescent="0.3"/>
    <row r="1061" s="1559" customFormat="1" x14ac:dyDescent="0.3"/>
    <row r="1062" s="1559" customFormat="1" x14ac:dyDescent="0.3"/>
    <row r="1063" s="1559" customFormat="1" x14ac:dyDescent="0.3"/>
    <row r="1064" s="1559" customFormat="1" x14ac:dyDescent="0.3"/>
    <row r="1065" s="1559" customFormat="1" x14ac:dyDescent="0.3"/>
    <row r="1066" s="1559" customFormat="1" x14ac:dyDescent="0.3"/>
    <row r="1067" s="1559" customFormat="1" x14ac:dyDescent="0.3"/>
    <row r="1068" s="1559" customFormat="1" x14ac:dyDescent="0.3"/>
    <row r="1069" s="1559" customFormat="1" x14ac:dyDescent="0.3"/>
    <row r="1070" s="1559" customFormat="1" x14ac:dyDescent="0.3"/>
    <row r="1071" s="1559" customFormat="1" x14ac:dyDescent="0.3"/>
    <row r="1072" s="1559" customFormat="1" x14ac:dyDescent="0.3"/>
    <row r="1073" s="1559" customFormat="1" x14ac:dyDescent="0.3"/>
    <row r="1074" s="1559" customFormat="1" x14ac:dyDescent="0.3"/>
    <row r="1075" s="1559" customFormat="1" x14ac:dyDescent="0.3"/>
    <row r="1076" s="1559" customFormat="1" x14ac:dyDescent="0.3"/>
    <row r="1077" s="1559" customFormat="1" x14ac:dyDescent="0.3"/>
    <row r="1078" s="1559" customFormat="1" x14ac:dyDescent="0.3"/>
    <row r="1079" s="1559" customFormat="1" x14ac:dyDescent="0.3"/>
    <row r="1080" s="1559" customFormat="1" x14ac:dyDescent="0.3"/>
    <row r="1081" s="1559" customFormat="1" x14ac:dyDescent="0.3"/>
    <row r="1082" s="1559" customFormat="1" x14ac:dyDescent="0.3"/>
    <row r="1083" s="1559" customFormat="1" x14ac:dyDescent="0.3"/>
    <row r="1084" s="1559" customFormat="1" x14ac:dyDescent="0.3"/>
    <row r="1085" s="1559" customFormat="1" x14ac:dyDescent="0.3"/>
    <row r="1086" s="1559" customFormat="1" x14ac:dyDescent="0.3"/>
    <row r="1087" s="1559" customFormat="1" x14ac:dyDescent="0.3"/>
    <row r="1088" s="1559" customFormat="1" x14ac:dyDescent="0.3"/>
    <row r="1089" s="1559" customFormat="1" x14ac:dyDescent="0.3"/>
    <row r="1090" s="1559" customFormat="1" x14ac:dyDescent="0.3"/>
    <row r="1091" s="1559" customFormat="1" x14ac:dyDescent="0.3"/>
    <row r="1092" s="1559" customFormat="1" x14ac:dyDescent="0.3"/>
    <row r="1093" s="1559" customFormat="1" x14ac:dyDescent="0.3"/>
    <row r="1094" s="1559" customFormat="1" x14ac:dyDescent="0.3"/>
    <row r="1095" s="1559" customFormat="1" x14ac:dyDescent="0.3"/>
    <row r="1096" s="1559" customFormat="1" x14ac:dyDescent="0.3"/>
    <row r="1097" s="1559" customFormat="1" x14ac:dyDescent="0.3"/>
    <row r="1098" s="1559" customFormat="1" x14ac:dyDescent="0.3"/>
    <row r="1099" s="1559" customFormat="1" x14ac:dyDescent="0.3"/>
    <row r="1100" s="1559" customFormat="1" x14ac:dyDescent="0.3"/>
    <row r="1101" s="1559" customFormat="1" x14ac:dyDescent="0.3"/>
    <row r="1102" s="1559" customFormat="1" x14ac:dyDescent="0.3"/>
    <row r="1103" s="1559" customFormat="1" x14ac:dyDescent="0.3"/>
    <row r="1104" s="1559" customFormat="1" x14ac:dyDescent="0.3"/>
    <row r="1105" s="1559" customFormat="1" x14ac:dyDescent="0.3"/>
    <row r="1106" s="1559" customFormat="1" x14ac:dyDescent="0.3"/>
    <row r="1107" s="1559" customFormat="1" x14ac:dyDescent="0.3"/>
    <row r="1108" s="1559" customFormat="1" x14ac:dyDescent="0.3"/>
    <row r="1109" s="1559" customFormat="1" x14ac:dyDescent="0.3"/>
    <row r="1110" s="1559" customFormat="1" x14ac:dyDescent="0.3"/>
    <row r="1111" s="1559" customFormat="1" x14ac:dyDescent="0.3"/>
    <row r="1112" s="1559" customFormat="1" x14ac:dyDescent="0.3"/>
    <row r="1113" s="1559" customFormat="1" x14ac:dyDescent="0.3"/>
    <row r="1114" s="1559" customFormat="1" x14ac:dyDescent="0.3"/>
    <row r="1115" s="1559" customFormat="1" x14ac:dyDescent="0.3"/>
    <row r="1116" s="1559" customFormat="1" x14ac:dyDescent="0.3"/>
    <row r="1117" s="1559" customFormat="1" x14ac:dyDescent="0.3"/>
    <row r="1118" s="1559" customFormat="1" x14ac:dyDescent="0.3"/>
    <row r="1119" s="1559" customFormat="1" x14ac:dyDescent="0.3"/>
    <row r="1120" s="1559" customFormat="1" x14ac:dyDescent="0.3"/>
    <row r="1121" s="1559" customFormat="1" x14ac:dyDescent="0.3"/>
    <row r="1122" s="1559" customFormat="1" x14ac:dyDescent="0.3"/>
    <row r="1123" s="1559" customFormat="1" x14ac:dyDescent="0.3"/>
    <row r="1124" s="1559" customFormat="1" x14ac:dyDescent="0.3"/>
    <row r="1125" s="1559" customFormat="1" x14ac:dyDescent="0.3"/>
    <row r="1126" s="1559" customFormat="1" x14ac:dyDescent="0.3"/>
    <row r="1127" s="1559" customFormat="1" x14ac:dyDescent="0.3"/>
    <row r="1128" s="1559" customFormat="1" x14ac:dyDescent="0.3"/>
    <row r="1129" s="1559" customFormat="1" x14ac:dyDescent="0.3"/>
    <row r="1130" s="1559" customFormat="1" x14ac:dyDescent="0.3"/>
    <row r="1131" s="1559" customFormat="1" x14ac:dyDescent="0.3"/>
    <row r="1132" s="1559" customFormat="1" x14ac:dyDescent="0.3"/>
    <row r="1133" s="1559" customFormat="1" x14ac:dyDescent="0.3"/>
    <row r="1134" s="1559" customFormat="1" x14ac:dyDescent="0.3"/>
    <row r="1135" s="1559" customFormat="1" x14ac:dyDescent="0.3"/>
    <row r="1136" s="1559" customFormat="1" x14ac:dyDescent="0.3"/>
    <row r="1137" s="1559" customFormat="1" x14ac:dyDescent="0.3"/>
    <row r="1138" s="1559" customFormat="1" x14ac:dyDescent="0.3"/>
    <row r="1139" s="1559" customFormat="1" x14ac:dyDescent="0.3"/>
    <row r="1140" s="1559" customFormat="1" x14ac:dyDescent="0.3"/>
    <row r="1141" s="1559" customFormat="1" x14ac:dyDescent="0.3"/>
    <row r="1142" s="1559" customFormat="1" x14ac:dyDescent="0.3"/>
    <row r="1143" s="1559" customFormat="1" x14ac:dyDescent="0.3"/>
    <row r="1144" s="1559" customFormat="1" x14ac:dyDescent="0.3"/>
    <row r="1145" s="1559" customFormat="1" x14ac:dyDescent="0.3"/>
    <row r="1146" s="1559" customFormat="1" x14ac:dyDescent="0.3"/>
    <row r="1147" s="1559" customFormat="1" x14ac:dyDescent="0.3"/>
    <row r="1148" s="1559" customFormat="1" x14ac:dyDescent="0.3"/>
    <row r="1149" s="1559" customFormat="1" x14ac:dyDescent="0.3"/>
    <row r="1150" s="1559" customFormat="1" x14ac:dyDescent="0.3"/>
    <row r="1151" s="1559" customFormat="1" x14ac:dyDescent="0.3"/>
    <row r="1152" s="1559" customFormat="1" x14ac:dyDescent="0.3"/>
    <row r="1153" s="1559" customFormat="1" x14ac:dyDescent="0.3"/>
    <row r="1154" s="1559" customFormat="1" x14ac:dyDescent="0.3"/>
    <row r="1155" s="1559" customFormat="1" x14ac:dyDescent="0.3"/>
    <row r="1156" s="1559" customFormat="1" x14ac:dyDescent="0.3"/>
    <row r="1157" s="1559" customFormat="1" x14ac:dyDescent="0.3"/>
    <row r="1158" s="1559" customFormat="1" x14ac:dyDescent="0.3"/>
    <row r="1159" s="1559" customFormat="1" x14ac:dyDescent="0.3"/>
    <row r="1160" s="1559" customFormat="1" x14ac:dyDescent="0.3"/>
    <row r="1161" s="1559" customFormat="1" x14ac:dyDescent="0.3"/>
    <row r="1162" s="1559" customFormat="1" x14ac:dyDescent="0.3"/>
    <row r="1163" s="1559" customFormat="1" x14ac:dyDescent="0.3"/>
    <row r="1164" s="1559" customFormat="1" x14ac:dyDescent="0.3"/>
    <row r="1165" s="1559" customFormat="1" x14ac:dyDescent="0.3"/>
    <row r="1166" s="1559" customFormat="1" x14ac:dyDescent="0.3"/>
    <row r="1167" s="1559" customFormat="1" x14ac:dyDescent="0.3"/>
    <row r="1168" s="1559" customFormat="1" x14ac:dyDescent="0.3"/>
    <row r="1169" s="1559" customFormat="1" x14ac:dyDescent="0.3"/>
    <row r="1170" s="1559" customFormat="1" x14ac:dyDescent="0.3"/>
    <row r="1171" s="1559" customFormat="1" x14ac:dyDescent="0.3"/>
    <row r="1172" s="1559" customFormat="1" x14ac:dyDescent="0.3"/>
    <row r="1173" s="1559" customFormat="1" x14ac:dyDescent="0.3"/>
    <row r="1174" s="1559" customFormat="1" x14ac:dyDescent="0.3"/>
    <row r="1175" s="1559" customFormat="1" x14ac:dyDescent="0.3"/>
    <row r="1176" s="1559" customFormat="1" x14ac:dyDescent="0.3"/>
    <row r="1177" s="1559" customFormat="1" x14ac:dyDescent="0.3"/>
    <row r="1178" s="1559" customFormat="1" x14ac:dyDescent="0.3"/>
    <row r="1179" s="1559" customFormat="1" x14ac:dyDescent="0.3"/>
    <row r="1180" s="1559" customFormat="1" x14ac:dyDescent="0.3"/>
    <row r="1181" s="1559" customFormat="1" x14ac:dyDescent="0.3"/>
    <row r="1182" s="1559" customFormat="1" x14ac:dyDescent="0.3"/>
    <row r="1183" s="1559" customFormat="1" x14ac:dyDescent="0.3"/>
    <row r="1184" s="1559" customFormat="1" x14ac:dyDescent="0.3"/>
    <row r="1185" s="1559" customFormat="1" x14ac:dyDescent="0.3"/>
    <row r="1186" s="1559" customFormat="1" x14ac:dyDescent="0.3"/>
    <row r="1187" s="1559" customFormat="1" x14ac:dyDescent="0.3"/>
    <row r="1188" s="1559" customFormat="1" x14ac:dyDescent="0.3"/>
    <row r="1189" s="1559" customFormat="1" x14ac:dyDescent="0.3"/>
    <row r="1190" s="1559" customFormat="1" x14ac:dyDescent="0.3"/>
    <row r="1191" s="1559" customFormat="1" x14ac:dyDescent="0.3"/>
    <row r="1192" s="1559" customFormat="1" x14ac:dyDescent="0.3"/>
    <row r="1193" s="1559" customFormat="1" x14ac:dyDescent="0.3"/>
    <row r="1194" s="1559" customFormat="1" x14ac:dyDescent="0.3"/>
    <row r="1195" s="1559" customFormat="1" x14ac:dyDescent="0.3"/>
    <row r="1196" s="1559" customFormat="1" x14ac:dyDescent="0.3"/>
    <row r="1197" s="1559" customFormat="1" x14ac:dyDescent="0.3"/>
    <row r="1198" s="1559" customFormat="1" x14ac:dyDescent="0.3"/>
    <row r="1199" s="1559" customFormat="1" x14ac:dyDescent="0.3"/>
    <row r="1200" s="1559" customFormat="1" x14ac:dyDescent="0.3"/>
    <row r="1201" s="1559" customFormat="1" x14ac:dyDescent="0.3"/>
    <row r="1202" s="1559" customFormat="1" x14ac:dyDescent="0.3"/>
    <row r="1203" s="1559" customFormat="1" x14ac:dyDescent="0.3"/>
    <row r="1204" s="1559" customFormat="1" x14ac:dyDescent="0.3"/>
    <row r="1205" s="1559" customFormat="1" x14ac:dyDescent="0.3"/>
    <row r="1206" s="1559" customFormat="1" x14ac:dyDescent="0.3"/>
    <row r="1207" s="1559" customFormat="1" x14ac:dyDescent="0.3"/>
    <row r="1208" s="1559" customFormat="1" x14ac:dyDescent="0.3"/>
    <row r="1209" s="1559" customFormat="1" x14ac:dyDescent="0.3"/>
    <row r="1210" s="1559" customFormat="1" x14ac:dyDescent="0.3"/>
    <row r="1211" s="1559" customFormat="1" x14ac:dyDescent="0.3"/>
    <row r="1212" s="1559" customFormat="1" x14ac:dyDescent="0.3"/>
    <row r="1213" s="1559" customFormat="1" x14ac:dyDescent="0.3"/>
    <row r="1214" s="1559" customFormat="1" x14ac:dyDescent="0.3"/>
    <row r="1215" s="1559" customFormat="1" x14ac:dyDescent="0.3"/>
    <row r="1216" s="1559" customFormat="1" x14ac:dyDescent="0.3"/>
    <row r="1217" s="1559" customFormat="1" x14ac:dyDescent="0.3"/>
    <row r="1218" s="1559" customFormat="1" x14ac:dyDescent="0.3"/>
    <row r="1219" s="1559" customFormat="1" x14ac:dyDescent="0.3"/>
    <row r="1220" s="1559" customFormat="1" x14ac:dyDescent="0.3"/>
    <row r="1221" s="1559" customFormat="1" x14ac:dyDescent="0.3"/>
    <row r="1222" s="1559" customFormat="1" x14ac:dyDescent="0.3"/>
    <row r="1223" s="1559" customFormat="1" x14ac:dyDescent="0.3"/>
    <row r="1224" s="1559" customFormat="1" x14ac:dyDescent="0.3"/>
    <row r="1225" s="1559" customFormat="1" x14ac:dyDescent="0.3"/>
    <row r="1226" s="1559" customFormat="1" x14ac:dyDescent="0.3"/>
    <row r="1227" s="1559" customFormat="1" x14ac:dyDescent="0.3"/>
    <row r="1228" s="1559" customFormat="1" x14ac:dyDescent="0.3"/>
    <row r="1229" s="1559" customFormat="1" x14ac:dyDescent="0.3"/>
    <row r="1230" s="1559" customFormat="1" x14ac:dyDescent="0.3"/>
    <row r="1231" s="1559" customFormat="1" x14ac:dyDescent="0.3"/>
    <row r="1232" s="1559" customFormat="1" x14ac:dyDescent="0.3"/>
    <row r="1233" s="1559" customFormat="1" x14ac:dyDescent="0.3"/>
    <row r="1234" s="1559" customFormat="1" x14ac:dyDescent="0.3"/>
    <row r="1235" s="1559" customFormat="1" x14ac:dyDescent="0.3"/>
    <row r="1236" s="1559" customFormat="1" x14ac:dyDescent="0.3"/>
    <row r="1237" s="1559" customFormat="1" x14ac:dyDescent="0.3"/>
    <row r="1238" s="1559" customFormat="1" x14ac:dyDescent="0.3"/>
    <row r="1239" s="1559" customFormat="1" x14ac:dyDescent="0.3"/>
    <row r="1240" s="1559" customFormat="1" x14ac:dyDescent="0.3"/>
    <row r="1241" s="1559" customFormat="1" x14ac:dyDescent="0.3"/>
    <row r="1242" s="1559" customFormat="1" x14ac:dyDescent="0.3"/>
    <row r="1243" s="1559" customFormat="1" x14ac:dyDescent="0.3"/>
    <row r="1244" s="1559" customFormat="1" x14ac:dyDescent="0.3"/>
    <row r="1245" s="1559" customFormat="1" x14ac:dyDescent="0.3"/>
    <row r="1246" s="1559" customFormat="1" x14ac:dyDescent="0.3"/>
    <row r="1247" s="1559" customFormat="1" x14ac:dyDescent="0.3"/>
    <row r="1248" s="1559" customFormat="1" x14ac:dyDescent="0.3"/>
    <row r="1249" s="1559" customFormat="1" x14ac:dyDescent="0.3"/>
    <row r="1250" s="1559" customFormat="1" x14ac:dyDescent="0.3"/>
    <row r="1251" s="1559" customFormat="1" x14ac:dyDescent="0.3"/>
    <row r="1252" s="1559" customFormat="1" x14ac:dyDescent="0.3"/>
    <row r="1253" s="1559" customFormat="1" x14ac:dyDescent="0.3"/>
    <row r="1254" s="1559" customFormat="1" x14ac:dyDescent="0.3"/>
    <row r="1255" s="1559" customFormat="1" x14ac:dyDescent="0.3"/>
    <row r="1256" s="1559" customFormat="1" x14ac:dyDescent="0.3"/>
    <row r="1257" s="1559" customFormat="1" x14ac:dyDescent="0.3"/>
    <row r="1258" s="1559" customFormat="1" x14ac:dyDescent="0.3"/>
    <row r="1259" s="1559" customFormat="1" x14ac:dyDescent="0.3"/>
    <row r="1260" s="1559" customFormat="1" x14ac:dyDescent="0.3"/>
    <row r="1261" s="1559" customFormat="1" x14ac:dyDescent="0.3"/>
    <row r="1262" s="1559" customFormat="1" x14ac:dyDescent="0.3"/>
    <row r="1263" s="1559" customFormat="1" x14ac:dyDescent="0.3"/>
    <row r="1264" s="1559" customFormat="1" x14ac:dyDescent="0.3"/>
    <row r="1265" s="1559" customFormat="1" x14ac:dyDescent="0.3"/>
    <row r="1266" s="1559" customFormat="1" x14ac:dyDescent="0.3"/>
    <row r="1267" s="1559" customFormat="1" x14ac:dyDescent="0.3"/>
    <row r="1268" s="1559" customFormat="1" x14ac:dyDescent="0.3"/>
    <row r="1269" s="1559" customFormat="1" x14ac:dyDescent="0.3"/>
    <row r="1270" s="1559" customFormat="1" x14ac:dyDescent="0.3"/>
    <row r="1271" s="1559" customFormat="1" x14ac:dyDescent="0.3"/>
    <row r="1272" s="1559" customFormat="1" x14ac:dyDescent="0.3"/>
    <row r="1273" s="1559" customFormat="1" x14ac:dyDescent="0.3"/>
    <row r="1274" s="1559" customFormat="1" x14ac:dyDescent="0.3"/>
    <row r="1275" s="1559" customFormat="1" x14ac:dyDescent="0.3"/>
    <row r="1276" s="1559" customFormat="1" x14ac:dyDescent="0.3"/>
    <row r="1277" s="1559" customFormat="1" x14ac:dyDescent="0.3"/>
    <row r="1278" s="1559" customFormat="1" x14ac:dyDescent="0.3"/>
    <row r="1279" s="1559" customFormat="1" x14ac:dyDescent="0.3"/>
    <row r="1280" s="1559" customFormat="1" x14ac:dyDescent="0.3"/>
    <row r="1281" s="1559" customFormat="1" x14ac:dyDescent="0.3"/>
    <row r="1282" s="1559" customFormat="1" x14ac:dyDescent="0.3"/>
    <row r="1283" s="1559" customFormat="1" x14ac:dyDescent="0.3"/>
    <row r="1284" s="1559" customFormat="1" x14ac:dyDescent="0.3"/>
    <row r="1285" s="1559" customFormat="1" x14ac:dyDescent="0.3"/>
    <row r="1286" s="1559" customFormat="1" x14ac:dyDescent="0.3"/>
    <row r="1287" s="1559" customFormat="1" x14ac:dyDescent="0.3"/>
    <row r="1288" s="1559" customFormat="1" x14ac:dyDescent="0.3"/>
    <row r="1289" s="1559" customFormat="1" x14ac:dyDescent="0.3"/>
    <row r="1290" s="1559" customFormat="1" x14ac:dyDescent="0.3"/>
    <row r="1291" s="1559" customFormat="1" x14ac:dyDescent="0.3"/>
    <row r="1292" s="1559" customFormat="1" x14ac:dyDescent="0.3"/>
    <row r="1293" s="1559" customFormat="1" x14ac:dyDescent="0.3"/>
    <row r="1294" s="1559" customFormat="1" x14ac:dyDescent="0.3"/>
    <row r="1295" s="1559" customFormat="1" x14ac:dyDescent="0.3"/>
    <row r="1296" s="1559" customFormat="1" x14ac:dyDescent="0.3"/>
    <row r="1297" s="1559" customFormat="1" x14ac:dyDescent="0.3"/>
    <row r="1298" s="1559" customFormat="1" x14ac:dyDescent="0.3"/>
    <row r="1299" s="1559" customFormat="1" x14ac:dyDescent="0.3"/>
    <row r="1300" s="1559" customFormat="1" x14ac:dyDescent="0.3"/>
    <row r="1301" s="1559" customFormat="1" x14ac:dyDescent="0.3"/>
    <row r="1302" s="1559" customFormat="1" x14ac:dyDescent="0.3"/>
    <row r="1303" s="1559" customFormat="1" x14ac:dyDescent="0.3"/>
    <row r="1304" s="1559" customFormat="1" x14ac:dyDescent="0.3"/>
    <row r="1305" s="1559" customFormat="1" x14ac:dyDescent="0.3"/>
    <row r="1306" s="1559" customFormat="1" x14ac:dyDescent="0.3"/>
    <row r="1307" s="1559" customFormat="1" x14ac:dyDescent="0.3"/>
    <row r="1308" s="1559" customFormat="1" x14ac:dyDescent="0.3"/>
    <row r="1309" s="1559" customFormat="1" x14ac:dyDescent="0.3"/>
    <row r="1310" s="1559" customFormat="1" x14ac:dyDescent="0.3"/>
    <row r="1311" s="1559" customFormat="1" x14ac:dyDescent="0.3"/>
    <row r="1312" s="1559" customFormat="1" x14ac:dyDescent="0.3"/>
    <row r="1313" s="1559" customFormat="1" x14ac:dyDescent="0.3"/>
    <row r="1314" s="1559" customFormat="1" x14ac:dyDescent="0.3"/>
    <row r="1315" s="1559" customFormat="1" x14ac:dyDescent="0.3"/>
    <row r="1316" s="1559" customFormat="1" x14ac:dyDescent="0.3"/>
    <row r="1317" s="1559" customFormat="1" x14ac:dyDescent="0.3"/>
    <row r="1318" s="1559" customFormat="1" x14ac:dyDescent="0.3"/>
    <row r="1319" s="1559" customFormat="1" x14ac:dyDescent="0.3"/>
    <row r="1320" s="1559" customFormat="1" x14ac:dyDescent="0.3"/>
    <row r="1321" s="1559" customFormat="1" x14ac:dyDescent="0.3"/>
    <row r="1322" s="1559" customFormat="1" x14ac:dyDescent="0.3"/>
    <row r="1323" s="1559" customFormat="1" x14ac:dyDescent="0.3"/>
    <row r="1324" s="1559" customFormat="1" x14ac:dyDescent="0.3"/>
    <row r="1325" s="1559" customFormat="1" x14ac:dyDescent="0.3"/>
    <row r="1326" s="1559" customFormat="1" x14ac:dyDescent="0.3"/>
    <row r="1327" s="1559" customFormat="1" x14ac:dyDescent="0.3"/>
    <row r="1328" s="1559" customFormat="1" x14ac:dyDescent="0.3"/>
    <row r="1329" s="1559" customFormat="1" x14ac:dyDescent="0.3"/>
    <row r="1330" s="1559" customFormat="1" x14ac:dyDescent="0.3"/>
    <row r="1331" s="1559" customFormat="1" x14ac:dyDescent="0.3"/>
    <row r="1332" s="1559" customFormat="1" x14ac:dyDescent="0.3"/>
    <row r="1333" s="1559" customFormat="1" x14ac:dyDescent="0.3"/>
    <row r="1334" s="1559" customFormat="1" x14ac:dyDescent="0.3"/>
    <row r="1335" s="1559" customFormat="1" x14ac:dyDescent="0.3"/>
    <row r="1336" s="1559" customFormat="1" x14ac:dyDescent="0.3"/>
    <row r="1337" s="1559" customFormat="1" x14ac:dyDescent="0.3"/>
    <row r="1338" s="1559" customFormat="1" x14ac:dyDescent="0.3"/>
    <row r="1339" s="1559" customFormat="1" x14ac:dyDescent="0.3"/>
    <row r="1340" s="1559" customFormat="1" x14ac:dyDescent="0.3"/>
    <row r="1341" s="1559" customFormat="1" x14ac:dyDescent="0.3"/>
    <row r="1342" s="1559" customFormat="1" x14ac:dyDescent="0.3"/>
    <row r="1343" s="1559" customFormat="1" x14ac:dyDescent="0.3"/>
    <row r="1344" s="1559" customFormat="1" x14ac:dyDescent="0.3"/>
    <row r="1345" s="1559" customFormat="1" x14ac:dyDescent="0.3"/>
    <row r="1346" s="1559" customFormat="1" x14ac:dyDescent="0.3"/>
    <row r="1347" s="1559" customFormat="1" x14ac:dyDescent="0.3"/>
    <row r="1348" s="1559" customFormat="1" x14ac:dyDescent="0.3"/>
    <row r="1349" s="1559" customFormat="1" x14ac:dyDescent="0.3"/>
    <row r="1350" s="1559" customFormat="1" x14ac:dyDescent="0.3"/>
    <row r="1351" s="1559" customFormat="1" x14ac:dyDescent="0.3"/>
    <row r="1352" s="1559" customFormat="1" x14ac:dyDescent="0.3"/>
    <row r="1353" s="1559" customFormat="1" x14ac:dyDescent="0.3"/>
    <row r="1354" s="1559" customFormat="1" x14ac:dyDescent="0.3"/>
    <row r="1355" s="1559" customFormat="1" x14ac:dyDescent="0.3"/>
    <row r="1356" s="1559" customFormat="1" x14ac:dyDescent="0.3"/>
    <row r="1357" s="1559" customFormat="1" x14ac:dyDescent="0.3"/>
    <row r="1358" s="1559" customFormat="1" x14ac:dyDescent="0.3"/>
    <row r="1359" s="1559" customFormat="1" x14ac:dyDescent="0.3"/>
    <row r="1360" s="1559" customFormat="1" x14ac:dyDescent="0.3"/>
    <row r="1361" s="1559" customFormat="1" x14ac:dyDescent="0.3"/>
    <row r="1362" s="1559" customFormat="1" x14ac:dyDescent="0.3"/>
    <row r="1363" s="1559" customFormat="1" x14ac:dyDescent="0.3"/>
    <row r="1364" s="1559" customFormat="1" x14ac:dyDescent="0.3"/>
    <row r="1365" s="1559" customFormat="1" x14ac:dyDescent="0.3"/>
    <row r="1366" s="1559" customFormat="1" x14ac:dyDescent="0.3"/>
    <row r="1367" s="1559" customFormat="1" x14ac:dyDescent="0.3"/>
    <row r="1368" s="1559" customFormat="1" x14ac:dyDescent="0.3"/>
    <row r="1369" s="1559" customFormat="1" x14ac:dyDescent="0.3"/>
    <row r="1370" s="1559" customFormat="1" x14ac:dyDescent="0.3"/>
    <row r="1371" s="1559" customFormat="1" x14ac:dyDescent="0.3"/>
    <row r="1372" s="1559" customFormat="1" x14ac:dyDescent="0.3"/>
    <row r="1373" s="1559" customFormat="1" x14ac:dyDescent="0.3"/>
    <row r="1374" s="1559" customFormat="1" x14ac:dyDescent="0.3"/>
    <row r="1375" s="1559" customFormat="1" x14ac:dyDescent="0.3"/>
    <row r="1376" s="1559" customFormat="1" x14ac:dyDescent="0.3"/>
    <row r="1377" s="1559" customFormat="1" x14ac:dyDescent="0.3"/>
    <row r="1378" s="1559" customFormat="1" x14ac:dyDescent="0.3"/>
    <row r="1379" s="1559" customFormat="1" x14ac:dyDescent="0.3"/>
    <row r="1380" s="1559" customFormat="1" x14ac:dyDescent="0.3"/>
    <row r="1381" s="1559" customFormat="1" x14ac:dyDescent="0.3"/>
    <row r="1382" s="1559" customFormat="1" x14ac:dyDescent="0.3"/>
    <row r="1383" s="1559" customFormat="1" x14ac:dyDescent="0.3"/>
    <row r="1384" s="1559" customFormat="1" x14ac:dyDescent="0.3"/>
    <row r="1385" s="1559" customFormat="1" x14ac:dyDescent="0.3"/>
    <row r="1386" s="1559" customFormat="1" x14ac:dyDescent="0.3"/>
    <row r="1387" s="1559" customFormat="1" x14ac:dyDescent="0.3"/>
    <row r="1388" s="1559" customFormat="1" x14ac:dyDescent="0.3"/>
    <row r="1389" s="1559" customFormat="1" x14ac:dyDescent="0.3"/>
    <row r="1390" s="1559" customFormat="1" x14ac:dyDescent="0.3"/>
    <row r="1391" s="1559" customFormat="1" x14ac:dyDescent="0.3"/>
    <row r="1392" s="1559" customFormat="1" x14ac:dyDescent="0.3"/>
    <row r="1393" s="1559" customFormat="1" x14ac:dyDescent="0.3"/>
    <row r="1394" s="1559" customFormat="1" x14ac:dyDescent="0.3"/>
    <row r="1395" s="1559" customFormat="1" x14ac:dyDescent="0.3"/>
    <row r="1396" s="1559" customFormat="1" x14ac:dyDescent="0.3"/>
    <row r="1397" s="1559" customFormat="1" x14ac:dyDescent="0.3"/>
    <row r="1398" s="1559" customFormat="1" x14ac:dyDescent="0.3"/>
    <row r="1399" s="1559" customFormat="1" x14ac:dyDescent="0.3"/>
    <row r="1400" s="1559" customFormat="1" x14ac:dyDescent="0.3"/>
    <row r="1401" s="1559" customFormat="1" x14ac:dyDescent="0.3"/>
    <row r="1402" s="1559" customFormat="1" x14ac:dyDescent="0.3"/>
    <row r="1403" s="1559" customFormat="1" x14ac:dyDescent="0.3"/>
    <row r="1404" s="1559" customFormat="1" x14ac:dyDescent="0.3"/>
    <row r="1405" s="1559" customFormat="1" x14ac:dyDescent="0.3"/>
    <row r="1406" s="1559" customFormat="1" x14ac:dyDescent="0.3"/>
    <row r="1407" s="1559" customFormat="1" x14ac:dyDescent="0.3"/>
    <row r="1408" s="1559" customFormat="1" x14ac:dyDescent="0.3"/>
    <row r="1409" s="1559" customFormat="1" x14ac:dyDescent="0.3"/>
    <row r="1410" s="1559" customFormat="1" x14ac:dyDescent="0.3"/>
    <row r="1411" s="1559" customFormat="1" x14ac:dyDescent="0.3"/>
    <row r="1412" s="1559" customFormat="1" x14ac:dyDescent="0.3"/>
    <row r="1413" s="1559" customFormat="1" x14ac:dyDescent="0.3"/>
    <row r="1414" s="1559" customFormat="1" x14ac:dyDescent="0.3"/>
    <row r="1415" s="1559" customFormat="1" x14ac:dyDescent="0.3"/>
    <row r="1416" s="1559" customFormat="1" x14ac:dyDescent="0.3"/>
    <row r="1417" s="1559" customFormat="1" x14ac:dyDescent="0.3"/>
    <row r="1418" s="1559" customFormat="1" x14ac:dyDescent="0.3"/>
    <row r="1419" s="1559" customFormat="1" x14ac:dyDescent="0.3"/>
    <row r="1420" s="1559" customFormat="1" x14ac:dyDescent="0.3"/>
    <row r="1421" s="1559" customFormat="1" x14ac:dyDescent="0.3"/>
    <row r="1422" s="1559" customFormat="1" x14ac:dyDescent="0.3"/>
    <row r="1423" s="1559" customFormat="1" x14ac:dyDescent="0.3"/>
    <row r="1424" s="1559" customFormat="1" x14ac:dyDescent="0.3"/>
    <row r="1425" s="1559" customFormat="1" x14ac:dyDescent="0.3"/>
    <row r="1426" s="1559" customFormat="1" x14ac:dyDescent="0.3"/>
    <row r="1427" s="1559" customFormat="1" x14ac:dyDescent="0.3"/>
    <row r="1428" s="1559" customFormat="1" x14ac:dyDescent="0.3"/>
    <row r="1429" s="1559" customFormat="1" x14ac:dyDescent="0.3"/>
    <row r="1430" s="1559" customFormat="1" x14ac:dyDescent="0.3"/>
    <row r="1431" s="1559" customFormat="1" x14ac:dyDescent="0.3"/>
    <row r="1432" s="1559" customFormat="1" x14ac:dyDescent="0.3"/>
    <row r="1433" s="1559" customFormat="1" x14ac:dyDescent="0.3"/>
    <row r="1434" s="1559" customFormat="1" x14ac:dyDescent="0.3"/>
    <row r="1435" s="1559" customFormat="1" x14ac:dyDescent="0.3"/>
    <row r="1436" s="1559" customFormat="1" x14ac:dyDescent="0.3"/>
    <row r="1437" s="1559" customFormat="1" x14ac:dyDescent="0.3"/>
    <row r="1438" s="1559" customFormat="1" x14ac:dyDescent="0.3"/>
    <row r="1439" s="1559" customFormat="1" x14ac:dyDescent="0.3"/>
    <row r="1440" s="1559" customFormat="1" x14ac:dyDescent="0.3"/>
    <row r="1441" s="1559" customFormat="1" x14ac:dyDescent="0.3"/>
    <row r="1442" s="1559" customFormat="1" x14ac:dyDescent="0.3"/>
    <row r="1443" s="1559" customFormat="1" x14ac:dyDescent="0.3"/>
    <row r="1444" s="1559" customFormat="1" x14ac:dyDescent="0.3"/>
    <row r="1445" s="1559" customFormat="1" x14ac:dyDescent="0.3"/>
    <row r="1446" s="1559" customFormat="1" x14ac:dyDescent="0.3"/>
    <row r="1447" s="1559" customFormat="1" x14ac:dyDescent="0.3"/>
    <row r="1448" s="1559" customFormat="1" x14ac:dyDescent="0.3"/>
    <row r="1449" s="1559" customFormat="1" x14ac:dyDescent="0.3"/>
    <row r="1450" s="1559" customFormat="1" x14ac:dyDescent="0.3"/>
    <row r="1451" s="1559" customFormat="1" x14ac:dyDescent="0.3"/>
    <row r="1452" s="1559" customFormat="1" x14ac:dyDescent="0.3"/>
    <row r="1453" s="1559" customFormat="1" x14ac:dyDescent="0.3"/>
    <row r="1454" s="1559" customFormat="1" x14ac:dyDescent="0.3"/>
    <row r="1455" s="1559" customFormat="1" x14ac:dyDescent="0.3"/>
    <row r="1456" s="1559" customFormat="1" x14ac:dyDescent="0.3"/>
    <row r="1457" s="1559" customFormat="1" x14ac:dyDescent="0.3"/>
    <row r="1458" s="1559" customFormat="1" x14ac:dyDescent="0.3"/>
    <row r="1459" s="1559" customFormat="1" x14ac:dyDescent="0.3"/>
    <row r="1460" s="1559" customFormat="1" x14ac:dyDescent="0.3"/>
    <row r="1461" s="1559" customFormat="1" x14ac:dyDescent="0.3"/>
    <row r="1462" s="1559" customFormat="1" x14ac:dyDescent="0.3"/>
    <row r="1463" s="1559" customFormat="1" x14ac:dyDescent="0.3"/>
    <row r="1464" s="1559" customFormat="1" x14ac:dyDescent="0.3"/>
    <row r="1465" s="1559" customFormat="1" x14ac:dyDescent="0.3"/>
    <row r="1466" s="1559" customFormat="1" x14ac:dyDescent="0.3"/>
    <row r="1467" s="1559" customFormat="1" x14ac:dyDescent="0.3"/>
    <row r="1468" s="1559" customFormat="1" x14ac:dyDescent="0.3"/>
    <row r="1469" s="1559" customFormat="1" x14ac:dyDescent="0.3"/>
    <row r="1470" s="1559" customFormat="1" x14ac:dyDescent="0.3"/>
    <row r="1471" s="1559" customFormat="1" x14ac:dyDescent="0.3"/>
    <row r="1472" s="1559" customFormat="1" x14ac:dyDescent="0.3"/>
    <row r="1473" s="1559" customFormat="1" x14ac:dyDescent="0.3"/>
    <row r="1474" s="1559" customFormat="1" x14ac:dyDescent="0.3"/>
    <row r="1475" s="1559" customFormat="1" x14ac:dyDescent="0.3"/>
    <row r="1476" s="1559" customFormat="1" x14ac:dyDescent="0.3"/>
    <row r="1477" s="1559" customFormat="1" x14ac:dyDescent="0.3"/>
    <row r="1478" s="1559" customFormat="1" x14ac:dyDescent="0.3"/>
    <row r="1479" s="1559" customFormat="1" x14ac:dyDescent="0.3"/>
    <row r="1480" s="1559" customFormat="1" x14ac:dyDescent="0.3"/>
    <row r="1481" s="1559" customFormat="1" x14ac:dyDescent="0.3"/>
    <row r="1482" s="1559" customFormat="1" x14ac:dyDescent="0.3"/>
    <row r="1483" s="1559" customFormat="1" x14ac:dyDescent="0.3"/>
    <row r="1484" s="1559" customFormat="1" x14ac:dyDescent="0.3"/>
    <row r="1485" s="1559" customFormat="1" x14ac:dyDescent="0.3"/>
    <row r="1486" s="1559" customFormat="1" x14ac:dyDescent="0.3"/>
    <row r="1487" s="1559" customFormat="1" x14ac:dyDescent="0.3"/>
    <row r="1488" s="1559" customFormat="1" x14ac:dyDescent="0.3"/>
    <row r="1489" s="1559" customFormat="1" x14ac:dyDescent="0.3"/>
    <row r="1490" s="1559" customFormat="1" x14ac:dyDescent="0.3"/>
    <row r="1491" s="1559" customFormat="1" x14ac:dyDescent="0.3"/>
    <row r="1492" s="1559" customFormat="1" x14ac:dyDescent="0.3"/>
    <row r="1493" s="1559" customFormat="1" x14ac:dyDescent="0.3"/>
    <row r="1494" s="1559" customFormat="1" x14ac:dyDescent="0.3"/>
    <row r="1495" s="1559" customFormat="1" x14ac:dyDescent="0.3"/>
    <row r="1496" s="1559" customFormat="1" x14ac:dyDescent="0.3"/>
    <row r="1497" s="1559" customFormat="1" x14ac:dyDescent="0.3"/>
    <row r="1498" s="1559" customFormat="1" x14ac:dyDescent="0.3"/>
    <row r="1499" s="1559" customFormat="1" x14ac:dyDescent="0.3"/>
    <row r="1500" s="1559" customFormat="1" x14ac:dyDescent="0.3"/>
    <row r="1501" s="1559" customFormat="1" x14ac:dyDescent="0.3"/>
    <row r="1502" s="1559" customFormat="1" x14ac:dyDescent="0.3"/>
    <row r="1503" s="1559" customFormat="1" x14ac:dyDescent="0.3"/>
    <row r="1504" s="1559" customFormat="1" x14ac:dyDescent="0.3"/>
    <row r="1505" s="1559" customFormat="1" x14ac:dyDescent="0.3"/>
    <row r="1506" s="1559" customFormat="1" x14ac:dyDescent="0.3"/>
    <row r="1507" s="1559" customFormat="1" x14ac:dyDescent="0.3"/>
    <row r="1508" s="1559" customFormat="1" x14ac:dyDescent="0.3"/>
    <row r="1509" s="1559" customFormat="1" x14ac:dyDescent="0.3"/>
    <row r="1510" s="1559" customFormat="1" x14ac:dyDescent="0.3"/>
    <row r="1511" s="1559" customFormat="1" x14ac:dyDescent="0.3"/>
    <row r="1512" s="1559" customFormat="1" x14ac:dyDescent="0.3"/>
    <row r="1513" s="1559" customFormat="1" x14ac:dyDescent="0.3"/>
    <row r="1514" s="1559" customFormat="1" x14ac:dyDescent="0.3"/>
    <row r="1515" s="1559" customFormat="1" x14ac:dyDescent="0.3"/>
    <row r="1516" s="1559" customFormat="1" x14ac:dyDescent="0.3"/>
    <row r="1517" s="1559" customFormat="1" x14ac:dyDescent="0.3"/>
    <row r="1518" s="1559" customFormat="1" x14ac:dyDescent="0.3"/>
    <row r="1519" s="1559" customFormat="1" x14ac:dyDescent="0.3"/>
    <row r="1520" s="1559" customFormat="1" x14ac:dyDescent="0.3"/>
    <row r="1521" s="1559" customFormat="1" x14ac:dyDescent="0.3"/>
    <row r="1522" s="1559" customFormat="1" x14ac:dyDescent="0.3"/>
    <row r="1523" s="1559" customFormat="1" x14ac:dyDescent="0.3"/>
    <row r="1524" s="1559" customFormat="1" x14ac:dyDescent="0.3"/>
    <row r="1525" s="1559" customFormat="1" x14ac:dyDescent="0.3"/>
    <row r="1526" s="1559" customFormat="1" x14ac:dyDescent="0.3"/>
    <row r="1527" s="1559" customFormat="1" x14ac:dyDescent="0.3"/>
    <row r="1528" s="1559" customFormat="1" x14ac:dyDescent="0.3"/>
    <row r="1529" s="1559" customFormat="1" x14ac:dyDescent="0.3"/>
    <row r="1530" s="1559" customFormat="1" x14ac:dyDescent="0.3"/>
    <row r="1531" s="1559" customFormat="1" x14ac:dyDescent="0.3"/>
    <row r="1532" s="1559" customFormat="1" x14ac:dyDescent="0.3"/>
    <row r="1533" s="1559" customFormat="1" x14ac:dyDescent="0.3"/>
    <row r="1534" s="1559" customFormat="1" x14ac:dyDescent="0.3"/>
    <row r="1535" s="1559" customFormat="1" x14ac:dyDescent="0.3"/>
    <row r="1536" s="1559" customFormat="1" x14ac:dyDescent="0.3"/>
    <row r="1537" s="1559" customFormat="1" x14ac:dyDescent="0.3"/>
    <row r="1538" s="1559" customFormat="1" x14ac:dyDescent="0.3"/>
    <row r="1539" s="1559" customFormat="1" x14ac:dyDescent="0.3"/>
    <row r="1540" s="1559" customFormat="1" x14ac:dyDescent="0.3"/>
    <row r="1541" s="1559" customFormat="1" x14ac:dyDescent="0.3"/>
    <row r="1542" s="1559" customFormat="1" x14ac:dyDescent="0.3"/>
    <row r="1543" s="1559" customFormat="1" x14ac:dyDescent="0.3"/>
    <row r="1544" s="1559" customFormat="1" x14ac:dyDescent="0.3"/>
    <row r="1545" s="1559" customFormat="1" x14ac:dyDescent="0.3"/>
    <row r="1546" s="1559" customFormat="1" x14ac:dyDescent="0.3"/>
    <row r="1547" s="1559" customFormat="1" x14ac:dyDescent="0.3"/>
    <row r="1548" s="1559" customFormat="1" x14ac:dyDescent="0.3"/>
    <row r="1549" s="1559" customFormat="1" x14ac:dyDescent="0.3"/>
    <row r="1550" s="1559" customFormat="1" x14ac:dyDescent="0.3"/>
    <row r="1551" s="1559" customFormat="1" x14ac:dyDescent="0.3"/>
    <row r="1552" s="1559" customFormat="1" x14ac:dyDescent="0.3"/>
    <row r="1553" s="1559" customFormat="1" x14ac:dyDescent="0.3"/>
    <row r="1554" s="1559" customFormat="1" x14ac:dyDescent="0.3"/>
    <row r="1555" s="1559" customFormat="1" x14ac:dyDescent="0.3"/>
    <row r="1556" s="1559" customFormat="1" x14ac:dyDescent="0.3"/>
    <row r="1557" s="1559" customFormat="1" x14ac:dyDescent="0.3"/>
    <row r="1558" s="1559" customFormat="1" x14ac:dyDescent="0.3"/>
    <row r="1559" s="1559" customFormat="1" x14ac:dyDescent="0.3"/>
    <row r="1560" s="1559" customFormat="1" x14ac:dyDescent="0.3"/>
    <row r="1561" s="1559" customFormat="1" x14ac:dyDescent="0.3"/>
    <row r="1562" s="1559" customFormat="1" x14ac:dyDescent="0.3"/>
    <row r="1563" s="1559" customFormat="1" x14ac:dyDescent="0.3"/>
    <row r="1564" s="1559" customFormat="1" x14ac:dyDescent="0.3"/>
    <row r="1565" s="1559" customFormat="1" x14ac:dyDescent="0.3"/>
    <row r="1566" s="1559" customFormat="1" x14ac:dyDescent="0.3"/>
    <row r="1567" s="1559" customFormat="1" x14ac:dyDescent="0.3"/>
    <row r="1568" s="1559" customFormat="1" x14ac:dyDescent="0.3"/>
    <row r="1569" s="1559" customFormat="1" x14ac:dyDescent="0.3"/>
    <row r="1570" s="1559" customFormat="1" x14ac:dyDescent="0.3"/>
    <row r="1571" s="1559" customFormat="1" x14ac:dyDescent="0.3"/>
    <row r="1572" s="1559" customFormat="1" x14ac:dyDescent="0.3"/>
    <row r="1573" s="1559" customFormat="1" x14ac:dyDescent="0.3"/>
    <row r="1574" s="1559" customFormat="1" x14ac:dyDescent="0.3"/>
    <row r="1575" s="1559" customFormat="1" x14ac:dyDescent="0.3"/>
    <row r="1576" s="1559" customFormat="1" x14ac:dyDescent="0.3"/>
    <row r="1577" s="1559" customFormat="1" x14ac:dyDescent="0.3"/>
    <row r="1578" s="1559" customFormat="1" x14ac:dyDescent="0.3"/>
    <row r="1579" s="1559" customFormat="1" x14ac:dyDescent="0.3"/>
    <row r="1580" s="1559" customFormat="1" x14ac:dyDescent="0.3"/>
    <row r="1581" s="1559" customFormat="1" x14ac:dyDescent="0.3"/>
    <row r="1582" s="1559" customFormat="1" x14ac:dyDescent="0.3"/>
    <row r="1583" s="1559" customFormat="1" x14ac:dyDescent="0.3"/>
    <row r="1584" s="1559" customFormat="1" x14ac:dyDescent="0.3"/>
    <row r="1585" s="1559" customFormat="1" x14ac:dyDescent="0.3"/>
    <row r="1586" s="1559" customFormat="1" x14ac:dyDescent="0.3"/>
    <row r="1587" s="1559" customFormat="1" x14ac:dyDescent="0.3"/>
    <row r="1588" s="1559" customFormat="1" x14ac:dyDescent="0.3"/>
    <row r="1589" s="1559" customFormat="1" x14ac:dyDescent="0.3"/>
    <row r="1590" s="1559" customFormat="1" x14ac:dyDescent="0.3"/>
    <row r="1591" s="1559" customFormat="1" x14ac:dyDescent="0.3"/>
    <row r="1592" s="1559" customFormat="1" x14ac:dyDescent="0.3"/>
    <row r="1593" s="1559" customFormat="1" x14ac:dyDescent="0.3"/>
    <row r="1594" s="1559" customFormat="1" x14ac:dyDescent="0.3"/>
    <row r="1595" s="1559" customFormat="1" x14ac:dyDescent="0.3"/>
    <row r="1596" s="1559" customFormat="1" x14ac:dyDescent="0.3"/>
    <row r="1597" s="1559" customFormat="1" x14ac:dyDescent="0.3"/>
    <row r="1598" s="1559" customFormat="1" x14ac:dyDescent="0.3"/>
    <row r="1599" s="1559" customFormat="1" x14ac:dyDescent="0.3"/>
    <row r="1600" s="1559" customFormat="1" x14ac:dyDescent="0.3"/>
    <row r="1601" s="1559" customFormat="1" x14ac:dyDescent="0.3"/>
    <row r="1602" s="1559" customFormat="1" x14ac:dyDescent="0.3"/>
    <row r="1603" s="1559" customFormat="1" x14ac:dyDescent="0.3"/>
    <row r="1604" s="1559" customFormat="1" x14ac:dyDescent="0.3"/>
    <row r="1605" s="1559" customFormat="1" x14ac:dyDescent="0.3"/>
    <row r="1606" s="1559" customFormat="1" x14ac:dyDescent="0.3"/>
    <row r="1607" s="1559" customFormat="1" x14ac:dyDescent="0.3"/>
    <row r="1608" s="1559" customFormat="1" x14ac:dyDescent="0.3"/>
    <row r="1609" s="1559" customFormat="1" x14ac:dyDescent="0.3"/>
    <row r="1610" s="1559" customFormat="1" x14ac:dyDescent="0.3"/>
    <row r="1611" s="1559" customFormat="1" x14ac:dyDescent="0.3"/>
    <row r="1612" s="1559" customFormat="1" x14ac:dyDescent="0.3"/>
    <row r="1613" s="1559" customFormat="1" x14ac:dyDescent="0.3"/>
    <row r="1614" s="1559" customFormat="1" x14ac:dyDescent="0.3"/>
    <row r="1615" s="1559" customFormat="1" x14ac:dyDescent="0.3"/>
    <row r="1616" s="1559" customFormat="1" x14ac:dyDescent="0.3"/>
    <row r="1617" s="1559" customFormat="1" x14ac:dyDescent="0.3"/>
    <row r="1618" s="1559" customFormat="1" x14ac:dyDescent="0.3"/>
    <row r="1619" s="1559" customFormat="1" x14ac:dyDescent="0.3"/>
    <row r="1620" s="1559" customFormat="1" x14ac:dyDescent="0.3"/>
    <row r="1621" s="1559" customFormat="1" x14ac:dyDescent="0.3"/>
    <row r="1622" s="1559" customFormat="1" x14ac:dyDescent="0.3"/>
    <row r="1623" s="1559" customFormat="1" x14ac:dyDescent="0.3"/>
    <row r="1624" s="1559" customFormat="1" x14ac:dyDescent="0.3"/>
    <row r="1625" s="1559" customFormat="1" x14ac:dyDescent="0.3"/>
    <row r="1626" s="1559" customFormat="1" x14ac:dyDescent="0.3"/>
    <row r="1627" s="1559" customFormat="1" x14ac:dyDescent="0.3"/>
    <row r="1628" s="1559" customFormat="1" x14ac:dyDescent="0.3"/>
    <row r="1629" s="1559" customFormat="1" x14ac:dyDescent="0.3"/>
    <row r="1630" s="1559" customFormat="1" x14ac:dyDescent="0.3"/>
    <row r="1631" s="1559" customFormat="1" x14ac:dyDescent="0.3"/>
    <row r="1632" s="1559" customFormat="1" x14ac:dyDescent="0.3"/>
    <row r="1633" s="1559" customFormat="1" x14ac:dyDescent="0.3"/>
    <row r="1634" s="1559" customFormat="1" x14ac:dyDescent="0.3"/>
    <row r="1635" s="1559" customFormat="1" x14ac:dyDescent="0.3"/>
    <row r="1636" s="1559" customFormat="1" x14ac:dyDescent="0.3"/>
    <row r="1637" s="1559" customFormat="1" x14ac:dyDescent="0.3"/>
    <row r="1638" s="1559" customFormat="1" x14ac:dyDescent="0.3"/>
    <row r="1639" s="1559" customFormat="1" x14ac:dyDescent="0.3"/>
    <row r="1640" s="1559" customFormat="1" x14ac:dyDescent="0.3"/>
    <row r="1641" s="1559" customFormat="1" x14ac:dyDescent="0.3"/>
    <row r="1642" s="1559" customFormat="1" x14ac:dyDescent="0.3"/>
    <row r="1643" s="1559" customFormat="1" x14ac:dyDescent="0.3"/>
    <row r="1644" s="1559" customFormat="1" x14ac:dyDescent="0.3"/>
    <row r="1645" s="1559" customFormat="1" x14ac:dyDescent="0.3"/>
    <row r="1646" s="1559" customFormat="1" x14ac:dyDescent="0.3"/>
    <row r="1647" s="1559" customFormat="1" x14ac:dyDescent="0.3"/>
    <row r="1648" s="1559" customFormat="1" x14ac:dyDescent="0.3"/>
    <row r="1649" s="1559" customFormat="1" x14ac:dyDescent="0.3"/>
    <row r="1650" s="1559" customFormat="1" x14ac:dyDescent="0.3"/>
    <row r="1651" s="1559" customFormat="1" x14ac:dyDescent="0.3"/>
    <row r="1652" s="1559" customFormat="1" x14ac:dyDescent="0.3"/>
    <row r="1653" s="1559" customFormat="1" x14ac:dyDescent="0.3"/>
    <row r="1654" s="1559" customFormat="1" x14ac:dyDescent="0.3"/>
    <row r="1655" s="1559" customFormat="1" x14ac:dyDescent="0.3"/>
    <row r="1656" s="1559" customFormat="1" x14ac:dyDescent="0.3"/>
    <row r="1657" s="1559" customFormat="1" x14ac:dyDescent="0.3"/>
    <row r="1658" s="1559" customFormat="1" x14ac:dyDescent="0.3"/>
    <row r="1659" s="1559" customFormat="1" x14ac:dyDescent="0.3"/>
    <row r="1660" s="1559" customFormat="1" x14ac:dyDescent="0.3"/>
    <row r="1661" s="1559" customFormat="1" x14ac:dyDescent="0.3"/>
    <row r="1662" s="1559" customFormat="1" x14ac:dyDescent="0.3"/>
    <row r="1663" s="1559" customFormat="1" x14ac:dyDescent="0.3"/>
    <row r="1664" s="1559" customFormat="1" x14ac:dyDescent="0.3"/>
    <row r="1665" s="1559" customFormat="1" x14ac:dyDescent="0.3"/>
    <row r="1666" s="1559" customFormat="1" x14ac:dyDescent="0.3"/>
    <row r="1667" s="1559" customFormat="1" x14ac:dyDescent="0.3"/>
    <row r="1668" s="1559" customFormat="1" x14ac:dyDescent="0.3"/>
    <row r="1669" s="1559" customFormat="1" x14ac:dyDescent="0.3"/>
    <row r="1670" s="1559" customFormat="1" x14ac:dyDescent="0.3"/>
    <row r="1671" s="1559" customFormat="1" x14ac:dyDescent="0.3"/>
    <row r="1672" s="1559" customFormat="1" x14ac:dyDescent="0.3"/>
    <row r="1673" s="1559" customFormat="1" x14ac:dyDescent="0.3"/>
    <row r="1674" s="1559" customFormat="1" x14ac:dyDescent="0.3"/>
    <row r="1675" s="1559" customFormat="1" x14ac:dyDescent="0.3"/>
    <row r="1676" s="1559" customFormat="1" x14ac:dyDescent="0.3"/>
    <row r="1677" s="1559" customFormat="1" x14ac:dyDescent="0.3"/>
    <row r="1678" s="1559" customFormat="1" x14ac:dyDescent="0.3"/>
    <row r="1679" s="1559" customFormat="1" x14ac:dyDescent="0.3"/>
    <row r="1680" s="1559" customFormat="1" x14ac:dyDescent="0.3"/>
    <row r="1681" s="1559" customFormat="1" x14ac:dyDescent="0.3"/>
    <row r="1682" s="1559" customFormat="1" x14ac:dyDescent="0.3"/>
    <row r="1683" s="1559" customFormat="1" x14ac:dyDescent="0.3"/>
    <row r="1684" s="1559" customFormat="1" x14ac:dyDescent="0.3"/>
    <row r="1685" s="1559" customFormat="1" x14ac:dyDescent="0.3"/>
    <row r="1686" s="1559" customFormat="1" x14ac:dyDescent="0.3"/>
    <row r="1687" s="1559" customFormat="1" x14ac:dyDescent="0.3"/>
    <row r="1688" s="1559" customFormat="1" x14ac:dyDescent="0.3"/>
    <row r="1689" s="1559" customFormat="1" x14ac:dyDescent="0.3"/>
    <row r="1690" s="1559" customFormat="1" x14ac:dyDescent="0.3"/>
    <row r="1691" s="1559" customFormat="1" x14ac:dyDescent="0.3"/>
    <row r="1692" s="1559" customFormat="1" x14ac:dyDescent="0.3"/>
    <row r="1693" s="1559" customFormat="1" x14ac:dyDescent="0.3"/>
    <row r="1694" s="1559" customFormat="1" x14ac:dyDescent="0.3"/>
    <row r="1695" s="1559" customFormat="1" x14ac:dyDescent="0.3"/>
    <row r="1696" s="1559" customFormat="1" x14ac:dyDescent="0.3"/>
    <row r="1697" s="1559" customFormat="1" x14ac:dyDescent="0.3"/>
    <row r="1698" s="1559" customFormat="1" x14ac:dyDescent="0.3"/>
    <row r="1699" s="1559" customFormat="1" x14ac:dyDescent="0.3"/>
    <row r="1700" s="1559" customFormat="1" x14ac:dyDescent="0.3"/>
    <row r="1701" s="1559" customFormat="1" x14ac:dyDescent="0.3"/>
    <row r="1702" s="1559" customFormat="1" x14ac:dyDescent="0.3"/>
    <row r="1703" s="1559" customFormat="1" x14ac:dyDescent="0.3"/>
    <row r="1704" s="1559" customFormat="1" x14ac:dyDescent="0.3"/>
    <row r="1705" s="1559" customFormat="1" x14ac:dyDescent="0.3"/>
    <row r="1706" s="1559" customFormat="1" x14ac:dyDescent="0.3"/>
    <row r="1707" s="1559" customFormat="1" x14ac:dyDescent="0.3"/>
    <row r="1708" s="1559" customFormat="1" x14ac:dyDescent="0.3"/>
    <row r="1709" s="1559" customFormat="1" x14ac:dyDescent="0.3"/>
    <row r="1710" s="1559" customFormat="1" x14ac:dyDescent="0.3"/>
    <row r="1711" s="1559" customFormat="1" x14ac:dyDescent="0.3"/>
    <row r="1712" s="1559" customFormat="1" x14ac:dyDescent="0.3"/>
    <row r="1713" s="1559" customFormat="1" x14ac:dyDescent="0.3"/>
    <row r="1714" s="1559" customFormat="1" x14ac:dyDescent="0.3"/>
    <row r="1715" s="1559" customFormat="1" x14ac:dyDescent="0.3"/>
    <row r="1716" s="1559" customFormat="1" x14ac:dyDescent="0.3"/>
    <row r="1717" s="1559" customFormat="1" x14ac:dyDescent="0.3"/>
    <row r="1718" s="1559" customFormat="1" x14ac:dyDescent="0.3"/>
    <row r="1719" s="1559" customFormat="1" x14ac:dyDescent="0.3"/>
    <row r="1720" s="1559" customFormat="1" x14ac:dyDescent="0.3"/>
    <row r="1721" s="1559" customFormat="1" x14ac:dyDescent="0.3"/>
    <row r="1722" s="1559" customFormat="1" x14ac:dyDescent="0.3"/>
    <row r="1723" s="1559" customFormat="1" x14ac:dyDescent="0.3"/>
    <row r="1724" s="1559" customFormat="1" x14ac:dyDescent="0.3"/>
    <row r="1725" s="1559" customFormat="1" x14ac:dyDescent="0.3"/>
    <row r="1726" s="1559" customFormat="1" x14ac:dyDescent="0.3"/>
    <row r="1727" s="1559" customFormat="1" x14ac:dyDescent="0.3"/>
    <row r="1728" s="1559" customFormat="1" x14ac:dyDescent="0.3"/>
    <row r="1729" s="1559" customFormat="1" x14ac:dyDescent="0.3"/>
    <row r="1730" s="1559" customFormat="1" x14ac:dyDescent="0.3"/>
    <row r="1731" s="1559" customFormat="1" x14ac:dyDescent="0.3"/>
    <row r="1732" s="1559" customFormat="1" x14ac:dyDescent="0.3"/>
    <row r="1733" s="1559" customFormat="1" x14ac:dyDescent="0.3"/>
    <row r="1734" s="1559" customFormat="1" x14ac:dyDescent="0.3"/>
    <row r="1735" s="1559" customFormat="1" x14ac:dyDescent="0.3"/>
    <row r="1736" s="1559" customFormat="1" x14ac:dyDescent="0.3"/>
    <row r="1737" s="1559" customFormat="1" x14ac:dyDescent="0.3"/>
    <row r="1738" s="1559" customFormat="1" x14ac:dyDescent="0.3"/>
    <row r="1739" s="1559" customFormat="1" x14ac:dyDescent="0.3"/>
    <row r="1740" s="1559" customFormat="1" x14ac:dyDescent="0.3"/>
    <row r="1741" s="1559" customFormat="1" x14ac:dyDescent="0.3"/>
    <row r="1742" s="1559" customFormat="1" x14ac:dyDescent="0.3"/>
    <row r="1743" s="1559" customFormat="1" x14ac:dyDescent="0.3"/>
    <row r="1744" s="1559" customFormat="1" x14ac:dyDescent="0.3"/>
    <row r="1745" s="1559" customFormat="1" x14ac:dyDescent="0.3"/>
    <row r="1746" s="1559" customFormat="1" x14ac:dyDescent="0.3"/>
    <row r="1747" s="1559" customFormat="1" x14ac:dyDescent="0.3"/>
    <row r="1748" s="1559" customFormat="1" x14ac:dyDescent="0.3"/>
    <row r="1749" s="1559" customFormat="1" x14ac:dyDescent="0.3"/>
    <row r="1750" s="1559" customFormat="1" x14ac:dyDescent="0.3"/>
    <row r="1751" s="1559" customFormat="1" x14ac:dyDescent="0.3"/>
    <row r="1752" s="1559" customFormat="1" x14ac:dyDescent="0.3"/>
    <row r="1753" s="1559" customFormat="1" x14ac:dyDescent="0.3"/>
    <row r="1754" s="1559" customFormat="1" x14ac:dyDescent="0.3"/>
    <row r="1755" s="1559" customFormat="1" x14ac:dyDescent="0.3"/>
    <row r="1756" s="1559" customFormat="1" x14ac:dyDescent="0.3"/>
    <row r="1757" s="1559" customFormat="1" x14ac:dyDescent="0.3"/>
    <row r="1758" s="1559" customFormat="1" x14ac:dyDescent="0.3"/>
    <row r="1759" s="1559" customFormat="1" x14ac:dyDescent="0.3"/>
    <row r="1760" s="1559" customFormat="1" x14ac:dyDescent="0.3"/>
    <row r="1761" s="1559" customFormat="1" x14ac:dyDescent="0.3"/>
    <row r="1762" s="1559" customFormat="1" x14ac:dyDescent="0.3"/>
    <row r="1763" s="1559" customFormat="1" x14ac:dyDescent="0.3"/>
    <row r="1764" s="1559" customFormat="1" x14ac:dyDescent="0.3"/>
    <row r="1765" s="1559" customFormat="1" x14ac:dyDescent="0.3"/>
    <row r="1766" s="1559" customFormat="1" x14ac:dyDescent="0.3"/>
    <row r="1767" s="1559" customFormat="1" x14ac:dyDescent="0.3"/>
    <row r="1768" s="1559" customFormat="1" x14ac:dyDescent="0.3"/>
    <row r="1769" s="1559" customFormat="1" x14ac:dyDescent="0.3"/>
    <row r="1770" s="1559" customFormat="1" x14ac:dyDescent="0.3"/>
    <row r="1771" s="1559" customFormat="1" x14ac:dyDescent="0.3"/>
    <row r="1772" s="1559" customFormat="1" x14ac:dyDescent="0.3"/>
    <row r="1773" s="1559" customFormat="1" x14ac:dyDescent="0.3"/>
    <row r="1774" s="1559" customFormat="1" x14ac:dyDescent="0.3"/>
    <row r="1775" s="1559" customFormat="1" x14ac:dyDescent="0.3"/>
    <row r="1776" s="1559" customFormat="1" x14ac:dyDescent="0.3"/>
    <row r="1777" s="1559" customFormat="1" x14ac:dyDescent="0.3"/>
    <row r="1778" s="1559" customFormat="1" x14ac:dyDescent="0.3"/>
    <row r="1779" s="1559" customFormat="1" x14ac:dyDescent="0.3"/>
    <row r="1780" s="1559" customFormat="1" x14ac:dyDescent="0.3"/>
    <row r="1781" s="1559" customFormat="1" x14ac:dyDescent="0.3"/>
    <row r="1782" s="1559" customFormat="1" x14ac:dyDescent="0.3"/>
    <row r="1783" s="1559" customFormat="1" x14ac:dyDescent="0.3"/>
    <row r="1784" s="1559" customFormat="1" x14ac:dyDescent="0.3"/>
    <row r="1785" s="1559" customFormat="1" x14ac:dyDescent="0.3"/>
    <row r="1786" s="1559" customFormat="1" x14ac:dyDescent="0.3"/>
    <row r="1787" s="1559" customFormat="1" x14ac:dyDescent="0.3"/>
    <row r="1788" s="1559" customFormat="1" x14ac:dyDescent="0.3"/>
    <row r="1789" s="1559" customFormat="1" x14ac:dyDescent="0.3"/>
    <row r="1790" s="1559" customFormat="1" x14ac:dyDescent="0.3"/>
    <row r="1791" s="1559" customFormat="1" x14ac:dyDescent="0.3"/>
    <row r="1792" s="1559" customFormat="1" x14ac:dyDescent="0.3"/>
    <row r="1793" s="1559" customFormat="1" x14ac:dyDescent="0.3"/>
    <row r="1794" s="1559" customFormat="1" x14ac:dyDescent="0.3"/>
    <row r="1795" s="1559" customFormat="1" x14ac:dyDescent="0.3"/>
    <row r="1796" s="1559" customFormat="1" x14ac:dyDescent="0.3"/>
    <row r="1797" s="1559" customFormat="1" x14ac:dyDescent="0.3"/>
    <row r="1798" s="1559" customFormat="1" x14ac:dyDescent="0.3"/>
    <row r="1799" s="1559" customFormat="1" x14ac:dyDescent="0.3"/>
    <row r="1800" s="1559" customFormat="1" x14ac:dyDescent="0.3"/>
    <row r="1801" s="1559" customFormat="1" x14ac:dyDescent="0.3"/>
    <row r="1802" s="1559" customFormat="1" x14ac:dyDescent="0.3"/>
    <row r="1803" s="1559" customFormat="1" x14ac:dyDescent="0.3"/>
    <row r="1804" s="1559" customFormat="1" x14ac:dyDescent="0.3"/>
    <row r="1805" s="1559" customFormat="1" x14ac:dyDescent="0.3"/>
    <row r="1806" s="1559" customFormat="1" x14ac:dyDescent="0.3"/>
    <row r="1807" s="1559" customFormat="1" x14ac:dyDescent="0.3"/>
    <row r="1808" s="1559" customFormat="1" x14ac:dyDescent="0.3"/>
    <row r="1809" s="1559" customFormat="1" x14ac:dyDescent="0.3"/>
    <row r="1810" s="1559" customFormat="1" x14ac:dyDescent="0.3"/>
    <row r="1811" s="1559" customFormat="1" x14ac:dyDescent="0.3"/>
    <row r="1812" s="1559" customFormat="1" x14ac:dyDescent="0.3"/>
    <row r="1813" s="1559" customFormat="1" x14ac:dyDescent="0.3"/>
  </sheetData>
  <sheetProtection sheet="1" objects="1" scenarios="1"/>
  <phoneticPr fontId="13" type="noConversion"/>
  <pageMargins left="0.75" right="0.75" top="1" bottom="1" header="0" footer="0"/>
  <headerFooter alignWithMargins="0"/>
  <drawing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60">
    <pageSetUpPr fitToPage="1"/>
  </sheetPr>
  <dimension ref="A1:O34"/>
  <sheetViews>
    <sheetView showGridLines="0" workbookViewId="0">
      <selection activeCell="C20" sqref="C20"/>
    </sheetView>
  </sheetViews>
  <sheetFormatPr baseColWidth="10" defaultRowHeight="17.25" x14ac:dyDescent="0.3"/>
  <cols>
    <col min="1" max="1" width="29" style="307" customWidth="1"/>
    <col min="2" max="2" width="11.875" style="307" customWidth="1"/>
    <col min="3" max="3" width="10.5" style="307" customWidth="1"/>
    <col min="4" max="4" width="12.375" style="307" customWidth="1"/>
    <col min="5" max="6" width="10.5" style="307" customWidth="1"/>
    <col min="7" max="7" width="12.125" style="307" customWidth="1"/>
    <col min="8" max="9" width="10.5" style="307" customWidth="1"/>
    <col min="10" max="10" width="12.25" style="307" customWidth="1"/>
    <col min="11" max="12" width="10.5" style="307" customWidth="1"/>
    <col min="13" max="13" width="11.75" style="307" customWidth="1"/>
    <col min="14" max="15" width="10.5" style="307" customWidth="1"/>
    <col min="16" max="16384" width="11" style="307"/>
  </cols>
  <sheetData>
    <row r="1" spans="1:15" ht="27.75" x14ac:dyDescent="0.45">
      <c r="A1" s="485" t="s">
        <v>5</v>
      </c>
      <c r="H1" s="496" t="str">
        <f>IF(isoc=0,CONCATENATE("Forma Jurídica: ",'Datos Básicos'!B22),"")</f>
        <v>Forma Jurídica: Empr. Individual (Reg. General)</v>
      </c>
      <c r="J1" s="496"/>
      <c r="M1" s="496"/>
    </row>
    <row r="2" spans="1:15" ht="27.75" x14ac:dyDescent="0.45">
      <c r="A2" s="485">
        <f>'Datos Básicos'!$B$8</f>
        <v>0</v>
      </c>
      <c r="H2" s="496" t="str">
        <f>IF(isoc=0,"No sujeto Imp. Sociedades","")</f>
        <v>No sujeto Imp. Sociedades</v>
      </c>
      <c r="J2" s="496"/>
      <c r="M2" s="496"/>
    </row>
    <row r="3" spans="1:15" ht="26.25" x14ac:dyDescent="0.4">
      <c r="H3" s="496" t="str">
        <f>IF(isoc=0,"TRIBUTACIÓN EN I.R.P.F.","")</f>
        <v>TRIBUTACIÓN EN I.R.P.F.</v>
      </c>
      <c r="J3" s="496"/>
      <c r="M3" s="496"/>
    </row>
    <row r="4" spans="1:15" ht="26.25" x14ac:dyDescent="0.4">
      <c r="F4" s="497"/>
    </row>
    <row r="5" spans="1:15" ht="27" thickBot="1" x14ac:dyDescent="0.45">
      <c r="A5" s="498" t="s">
        <v>452</v>
      </c>
      <c r="B5" s="303"/>
      <c r="D5" s="303"/>
      <c r="E5" s="303"/>
      <c r="F5" s="303"/>
      <c r="G5" s="303"/>
      <c r="H5" s="303"/>
      <c r="I5" s="303"/>
      <c r="J5" s="303"/>
      <c r="K5" s="303"/>
      <c r="L5" s="303"/>
      <c r="M5" s="303"/>
      <c r="N5" s="303"/>
      <c r="O5" s="303"/>
    </row>
    <row r="6" spans="1:15" ht="18" thickBot="1" x14ac:dyDescent="0.35">
      <c r="A6" s="499"/>
      <c r="B6" s="486">
        <f>'Datos Básicos'!$B$17</f>
        <v>2026</v>
      </c>
      <c r="C6" s="492" t="s">
        <v>886</v>
      </c>
      <c r="D6" s="500">
        <f>B6+1</f>
        <v>2027</v>
      </c>
      <c r="E6" s="487" t="s">
        <v>1042</v>
      </c>
      <c r="F6" s="490" t="s">
        <v>892</v>
      </c>
      <c r="G6" s="491">
        <f>D6+1</f>
        <v>2028</v>
      </c>
      <c r="H6" s="487" t="s">
        <v>886</v>
      </c>
      <c r="I6" s="492" t="s">
        <v>892</v>
      </c>
      <c r="J6" s="489">
        <f>G6+1</f>
        <v>2029</v>
      </c>
      <c r="K6" s="487" t="s">
        <v>886</v>
      </c>
      <c r="L6" s="490" t="s">
        <v>892</v>
      </c>
      <c r="M6" s="491">
        <f>J6+1</f>
        <v>2030</v>
      </c>
      <c r="N6" s="487" t="s">
        <v>886</v>
      </c>
      <c r="O6" s="488" t="s">
        <v>892</v>
      </c>
    </row>
    <row r="7" spans="1:15" x14ac:dyDescent="0.3">
      <c r="A7" s="501" t="s">
        <v>1069</v>
      </c>
      <c r="B7" s="502">
        <f>IF('PyG anuales'!B26&lt;0,0,IF(SUM(resprevio)&gt;0,0,IF('PyG anuales'!B26&gt;-SUM(resprevio),-SUM(resprevio),'PyG anuales'!B26)))</f>
        <v>0</v>
      </c>
      <c r="C7" s="1035"/>
      <c r="D7" s="503">
        <f>IF('PyG anuales'!D26&lt;0,0,IF(B9=0,0,IF('PyG anuales'!D26&gt;B9,B9,'PyG anuales'!D26)))</f>
        <v>0</v>
      </c>
      <c r="E7" s="1040"/>
      <c r="F7" s="1041"/>
      <c r="G7" s="502">
        <f>IF('PyG anuales'!G26&lt;0,0,IF(D9=0,0,IF('PyG anuales'!G26&gt;D9,D9,'PyG anuales'!G26)))</f>
        <v>0</v>
      </c>
      <c r="H7" s="1040"/>
      <c r="I7" s="1050"/>
      <c r="J7" s="503">
        <f>IF('PyG anuales'!J26&lt;0,0,IF(G9=0,0,IF('PyG anuales'!J26&gt;G9,G9,'PyG anuales'!J26)))</f>
        <v>0</v>
      </c>
      <c r="K7" s="1040"/>
      <c r="L7" s="1055"/>
      <c r="M7" s="502">
        <f>IF('PyG anuales'!M26&lt;0,0,IF(J9=0,0,IF('PyG anuales'!M26&gt;J9,J9,'PyG anuales'!M26)))</f>
        <v>0</v>
      </c>
      <c r="N7" s="1040"/>
      <c r="O7" s="1050"/>
    </row>
    <row r="8" spans="1:15" x14ac:dyDescent="0.3">
      <c r="A8" s="507"/>
      <c r="B8" s="508"/>
      <c r="C8" s="1036"/>
      <c r="D8" s="509"/>
      <c r="E8" s="1042"/>
      <c r="F8" s="1043"/>
      <c r="G8" s="508"/>
      <c r="H8" s="1042"/>
      <c r="I8" s="1051"/>
      <c r="J8" s="509"/>
      <c r="K8" s="1042"/>
      <c r="L8" s="1043"/>
      <c r="M8" s="508"/>
      <c r="N8" s="1042"/>
      <c r="O8" s="1051"/>
    </row>
    <row r="9" spans="1:15" x14ac:dyDescent="0.3">
      <c r="A9" s="510" t="s">
        <v>1036</v>
      </c>
      <c r="B9" s="1028">
        <f>IF(SUM(resprevio)&lt;0,
        IF('PyG anuales'!B26&lt;0,
              -'PyG anuales'!B26-SUM(resprevio),
              IF('PyG anuales'!B26&gt;-SUM(resprevio),
                    0,
                    -'PyG anuales'!B26-SUM(resprevio))),
         IF('PyG anuales'!B26&gt;0,
               0,
               IF(SUM(resprevio)&gt;-'PyG anuales'!B26,
                    -'PyG anuales'!B26,
                    -SUM(resprevio)-'PyG anuales'!B26)))</f>
        <v>16362.959468393694</v>
      </c>
      <c r="C9" s="1037" t="e">
        <f>B9/'PyG anuales'!B$7</f>
        <v>#DIV/0!</v>
      </c>
      <c r="D9" s="509">
        <f>IF('PyG anuales'!D26-B9&lt;0,-'PyG anuales'!D26+B9,0)</f>
        <v>34526.489964217515</v>
      </c>
      <c r="E9" s="1044" t="e">
        <f>D9/'PyG anuales'!D$7</f>
        <v>#DIV/0!</v>
      </c>
      <c r="F9" s="1043">
        <f>IF(ABS(B9)&gt;0.01,(D9-B9)/B9,"")</f>
        <v>1.1100394479927709</v>
      </c>
      <c r="G9" s="508">
        <f>IF('PyG anuales'!G26-D9&lt;0,-'PyG anuales'!G26+D9,0)</f>
        <v>56084.442860921292</v>
      </c>
      <c r="H9" s="1044" t="e">
        <f>G9/'PyG anuales'!G$7</f>
        <v>#DIV/0!</v>
      </c>
      <c r="I9" s="1052">
        <f>IF(ABS(D9)&gt;0.01,(G9-D9)/D9,"")</f>
        <v>0.62438877855947594</v>
      </c>
      <c r="J9" s="509">
        <f>IF('PyG anuales'!J26-G9&lt;0,-'PyG anuales'!J26+G9,0)</f>
        <v>79855.464496597298</v>
      </c>
      <c r="K9" s="1044" t="e">
        <f>J9/'PyG anuales'!J$7</f>
        <v>#DIV/0!</v>
      </c>
      <c r="L9" s="1045">
        <f>IF(ABS(G9)&gt;0.01,(J9-G9)/G9,"")</f>
        <v>0.42384341223864164</v>
      </c>
      <c r="M9" s="508">
        <f>IF('PyG anuales'!M26-J9&lt;0,-'PyG anuales'!M26+J9,0)</f>
        <v>106025.72349256523</v>
      </c>
      <c r="N9" s="1044" t="e">
        <f>M9/'PyG anuales'!M$7</f>
        <v>#DIV/0!</v>
      </c>
      <c r="O9" s="1052">
        <f>IF(ABS(J9)&gt;0.01,(M9-J9)/J9,"")</f>
        <v>0.32772032773139859</v>
      </c>
    </row>
    <row r="10" spans="1:15" x14ac:dyDescent="0.3">
      <c r="A10" s="507"/>
      <c r="B10" s="508"/>
      <c r="C10" s="1036"/>
      <c r="D10" s="509"/>
      <c r="E10" s="1042"/>
      <c r="F10" s="1043"/>
      <c r="G10" s="508"/>
      <c r="H10" s="1042"/>
      <c r="I10" s="1051"/>
      <c r="J10" s="509"/>
      <c r="K10" s="1042"/>
      <c r="L10" s="1043"/>
      <c r="M10" s="508"/>
      <c r="N10" s="1042"/>
      <c r="O10" s="1051"/>
    </row>
    <row r="11" spans="1:15" x14ac:dyDescent="0.3">
      <c r="A11" s="510" t="s">
        <v>1041</v>
      </c>
      <c r="B11" s="508">
        <f>IF(isoc=0,0,IF(B9&gt;0,0,'PyG anuales'!B26+IF(SUM(resprevio)&lt;0,SUM(resprevio),0)))</f>
        <v>0</v>
      </c>
      <c r="C11" s="1036" t="str">
        <f>IF(B11&lt;&gt;0,B11/'PyG anuales'!B$7,"")</f>
        <v/>
      </c>
      <c r="D11" s="509">
        <f>IF(isoc=0,0,IF('PyG anuales'!D26-B9&gt;0,'PyG anuales'!D26-B9,0))</f>
        <v>0</v>
      </c>
      <c r="E11" s="1044" t="str">
        <f>IF(D11&lt;&gt;0,D11/'PyG anuales'!D$7,"")</f>
        <v/>
      </c>
      <c r="F11" s="1043" t="str">
        <f>IF(ABS(B11)&gt;0.01,(D11-B11)/B11,"")</f>
        <v/>
      </c>
      <c r="G11" s="508">
        <f>IF(isoc=0,0,IF('PyG anuales'!G26-D9&gt;0,'PyG anuales'!G26-D9,0))</f>
        <v>0</v>
      </c>
      <c r="H11" s="1044" t="str">
        <f>IF(G11&lt;&gt;0,G11/'PyG anuales'!G$7,"")</f>
        <v/>
      </c>
      <c r="I11" s="1052" t="str">
        <f>IF(ABS(D11)&gt;0.01,(G11-D11)/D11,"")</f>
        <v/>
      </c>
      <c r="J11" s="509">
        <f>IF(isoc=0,0,IF('PyG anuales'!J26-G9&gt;0,'PyG anuales'!J26-G9,0))</f>
        <v>0</v>
      </c>
      <c r="K11" s="1044" t="str">
        <f>IF(J11&lt;&gt;0,J11/'PyG anuales'!J$7,"")</f>
        <v/>
      </c>
      <c r="L11" s="1045" t="str">
        <f>IF(ABS(G11)&gt;0.01,(J11-G11)/G11,"")</f>
        <v/>
      </c>
      <c r="M11" s="508">
        <f>IF(isoc=0,0,IF('PyG anuales'!M26-J9&gt;0,'PyG anuales'!M26-J9,0))</f>
        <v>0</v>
      </c>
      <c r="N11" s="1044" t="str">
        <f>IF(M11&lt;&gt;0,M11/'PyG anuales'!M$7,"")</f>
        <v/>
      </c>
      <c r="O11" s="1052" t="str">
        <f>IF(ABS(J11)&gt;0.01,(M11-J11)/J11,"")</f>
        <v/>
      </c>
    </row>
    <row r="12" spans="1:15" x14ac:dyDescent="0.3">
      <c r="A12" s="510"/>
      <c r="B12" s="508"/>
      <c r="C12" s="1036"/>
      <c r="D12" s="509"/>
      <c r="E12" s="1044"/>
      <c r="F12" s="1043"/>
      <c r="G12" s="508"/>
      <c r="H12" s="1044"/>
      <c r="I12" s="1052"/>
      <c r="J12" s="509"/>
      <c r="K12" s="1044"/>
      <c r="L12" s="1045"/>
      <c r="M12" s="508"/>
      <c r="N12" s="1044"/>
      <c r="O12" s="1052"/>
    </row>
    <row r="13" spans="1:15" x14ac:dyDescent="0.3">
      <c r="A13" s="511" t="s">
        <v>1037</v>
      </c>
      <c r="B13" s="508"/>
      <c r="C13" s="1036"/>
      <c r="D13" s="509"/>
      <c r="E13" s="1042"/>
      <c r="F13" s="1043"/>
      <c r="G13" s="508"/>
      <c r="H13" s="1042"/>
      <c r="I13" s="1051"/>
      <c r="J13" s="509"/>
      <c r="K13" s="1042"/>
      <c r="L13" s="1043"/>
      <c r="M13" s="508"/>
      <c r="N13" s="1042"/>
      <c r="O13" s="1051"/>
    </row>
    <row r="14" spans="1:15" x14ac:dyDescent="0.3">
      <c r="A14" s="512" t="s">
        <v>1038</v>
      </c>
      <c r="B14" s="513">
        <v>0</v>
      </c>
      <c r="C14" s="1037" t="str">
        <f>IF(B14&lt;&gt;0,B14/'PyG anuales'!B$26,"")</f>
        <v/>
      </c>
      <c r="D14" s="514">
        <v>0</v>
      </c>
      <c r="E14" s="1042" t="str">
        <f>IF(D14&lt;&gt;0,D14/'PyG anuales'!D$26,"")</f>
        <v/>
      </c>
      <c r="F14" s="1045" t="str">
        <f>IF(ABS(B14)&gt;0.01,(D14-B14)/B14,"")</f>
        <v/>
      </c>
      <c r="G14" s="513">
        <f>$B$18*'Datos Básicos'!$R$36</f>
        <v>0</v>
      </c>
      <c r="H14" s="1042"/>
      <c r="I14" s="1052" t="str">
        <f>IF(ABS(D14)&gt;0.01,(G14-D14)/D14,"")</f>
        <v/>
      </c>
      <c r="J14" s="514">
        <f>$D$18*'Datos Básicos'!$R$36</f>
        <v>0</v>
      </c>
      <c r="K14" s="1042"/>
      <c r="L14" s="1045" t="str">
        <f>IF(ABS(G14)&gt;0.01,(J14-G14)/G14,"")</f>
        <v/>
      </c>
      <c r="M14" s="513">
        <f>$G$18*'Datos Básicos'!$R$36</f>
        <v>0</v>
      </c>
      <c r="N14" s="1042"/>
      <c r="O14" s="1052" t="str">
        <f>IF(ABS(J14)&gt;0.01,(M14-J14)/J14,"")</f>
        <v/>
      </c>
    </row>
    <row r="15" spans="1:15" x14ac:dyDescent="0.3">
      <c r="A15" s="512" t="s">
        <v>1039</v>
      </c>
      <c r="B15" s="513">
        <v>0</v>
      </c>
      <c r="C15" s="1037" t="str">
        <f>IF(B15&lt;&gt;0,B15/'PyG anuales'!B$26,"")</f>
        <v/>
      </c>
      <c r="D15" s="514">
        <f>$B$18*'Datos Básicos'!$R$36</f>
        <v>0</v>
      </c>
      <c r="E15" s="1042" t="str">
        <f>IF(D15&lt;&gt;0,D15/'PyG anuales'!D$26,"")</f>
        <v/>
      </c>
      <c r="F15" s="1045" t="str">
        <f>IF(ABS(B15)&gt;0.01,(D15-B15)/B15,"")</f>
        <v/>
      </c>
      <c r="G15" s="513">
        <f>$D$18*'Datos Básicos'!$R$36</f>
        <v>0</v>
      </c>
      <c r="H15" s="1042"/>
      <c r="I15" s="1052" t="str">
        <f>IF(ABS(D15)&gt;0.01,(G15-D15)/D15,"")</f>
        <v/>
      </c>
      <c r="J15" s="514">
        <f>$G$18*'Datos Básicos'!$R$36</f>
        <v>0</v>
      </c>
      <c r="K15" s="1042"/>
      <c r="L15" s="1045" t="str">
        <f>IF(ABS(G15)&gt;0.01,(J15-G15)/G15,"")</f>
        <v/>
      </c>
      <c r="M15" s="513">
        <f>$J$18*'Datos Básicos'!$R$36</f>
        <v>0</v>
      </c>
      <c r="N15" s="1042"/>
      <c r="O15" s="1052" t="str">
        <f>IF(ABS(J15)&gt;0.01,(M15-J15)/J15,"")</f>
        <v/>
      </c>
    </row>
    <row r="16" spans="1:15" x14ac:dyDescent="0.3">
      <c r="A16" s="512" t="s">
        <v>1040</v>
      </c>
      <c r="B16" s="513">
        <v>0</v>
      </c>
      <c r="C16" s="1037" t="str">
        <f>IF(B16&lt;&gt;0,B16/'PyG anuales'!B$26,"")</f>
        <v/>
      </c>
      <c r="D16" s="514">
        <f>$B$18*'Datos Básicos'!$R$36</f>
        <v>0</v>
      </c>
      <c r="E16" s="1042" t="str">
        <f>IF(D16&lt;&gt;0,D16/'PyG anuales'!D$26,"")</f>
        <v/>
      </c>
      <c r="F16" s="1045" t="str">
        <f>IF(ABS(B16)&gt;0.01,(D16-B16)/B16,"")</f>
        <v/>
      </c>
      <c r="G16" s="513">
        <f>$D$18*'Datos Básicos'!$R$36</f>
        <v>0</v>
      </c>
      <c r="H16" s="1042"/>
      <c r="I16" s="1052" t="str">
        <f>IF(ABS(D16)&gt;0.01,(G16-D16)/D16,"")</f>
        <v/>
      </c>
      <c r="J16" s="514">
        <f>$G$18*'Datos Básicos'!$R$36</f>
        <v>0</v>
      </c>
      <c r="K16" s="1042"/>
      <c r="L16" s="1045" t="str">
        <f>IF(ABS(G16)&gt;0.01,(J16-G16)/G16,"")</f>
        <v/>
      </c>
      <c r="M16" s="513">
        <f>$J$18*'Datos Básicos'!$R$36</f>
        <v>0</v>
      </c>
      <c r="N16" s="1042"/>
      <c r="O16" s="1052" t="str">
        <f>IF(ABS(J16)&gt;0.01,(M16-J16)/J16,"")</f>
        <v/>
      </c>
    </row>
    <row r="17" spans="1:15" x14ac:dyDescent="0.3">
      <c r="A17" s="507"/>
      <c r="B17" s="508"/>
      <c r="C17" s="1036"/>
      <c r="D17" s="509"/>
      <c r="E17" s="1042"/>
      <c r="F17" s="1043"/>
      <c r="G17" s="508"/>
      <c r="H17" s="1042"/>
      <c r="I17" s="1051"/>
      <c r="J17" s="509"/>
      <c r="K17" s="1042"/>
      <c r="L17" s="1043"/>
      <c r="M17" s="508"/>
      <c r="N17" s="1042"/>
      <c r="O17" s="1051"/>
    </row>
    <row r="18" spans="1:15" x14ac:dyDescent="0.3">
      <c r="A18" s="510" t="s">
        <v>1043</v>
      </c>
      <c r="B18" s="508">
        <f>B11*0.15</f>
        <v>0</v>
      </c>
      <c r="C18" s="1036" t="str">
        <f>IF(B18&lt;&gt;0,B18/'PyG anuales'!B$26,"")</f>
        <v/>
      </c>
      <c r="D18" s="509">
        <f>D11*0.15</f>
        <v>0</v>
      </c>
      <c r="E18" s="1044" t="str">
        <f>IF(D18&lt;&gt;0,D18/'PyG anuales'!D$26,"")</f>
        <v/>
      </c>
      <c r="F18" s="1043" t="str">
        <f>IF(ABS(B18)&gt;0.01,(D18-B18)/B18,"")</f>
        <v/>
      </c>
      <c r="G18" s="508">
        <f>G11*(IF('PyG anuales'!G9&lt;1000000,IF(G11&lt;50000,0.17,0.2),IF('PyG anuales'!G9&lt;10000000,0.22,isoc)))</f>
        <v>0</v>
      </c>
      <c r="H18" s="1044" t="str">
        <f>IF(G18&lt;&gt;0,G18/'PyG anuales'!G$26,"")</f>
        <v/>
      </c>
      <c r="I18" s="1051" t="str">
        <f>IF(ABS(D18)&gt;0.01,(G18-D18)/D18,"")</f>
        <v/>
      </c>
      <c r="J18" s="508">
        <f>J11*(IF('PyG anuales'!J9&lt;1000000,IF(J11&lt;50000,0.17,0.2),IF('PyG anuales'!J9&lt;10000000,0.21,isoc)))</f>
        <v>0</v>
      </c>
      <c r="K18" s="1044" t="str">
        <f>IF(J18&lt;&gt;0,J18/'PyG anuales'!J$26,"")</f>
        <v/>
      </c>
      <c r="L18" s="1043" t="str">
        <f>IF(ABS(G18)&gt;0.01,(J18-G18)/G18,"")</f>
        <v/>
      </c>
      <c r="M18" s="508">
        <f>M11*(IF('PyG anuales'!M9&lt;1000000,IF(M11&lt;50000,0.17,0.2),IF('PyG anuales'!M9&lt;10000000,0.2,isoc)))</f>
        <v>0</v>
      </c>
      <c r="N18" s="1044" t="str">
        <f>IF(M18&lt;&gt;0,M18/'PyG anuales'!M$26,"")</f>
        <v/>
      </c>
      <c r="O18" s="1051" t="str">
        <f>IF(ABS(J18)&gt;0.01,(M18-J18)/J18,"")</f>
        <v/>
      </c>
    </row>
    <row r="19" spans="1:15" x14ac:dyDescent="0.3">
      <c r="A19" s="510"/>
      <c r="B19" s="508"/>
      <c r="C19" s="1036"/>
      <c r="D19" s="509"/>
      <c r="E19" s="1044"/>
      <c r="F19" s="1043"/>
      <c r="G19" s="508"/>
      <c r="H19" s="1044"/>
      <c r="I19" s="1051"/>
      <c r="J19" s="509"/>
      <c r="K19" s="1044"/>
      <c r="L19" s="1043"/>
      <c r="M19" s="508"/>
      <c r="N19" s="1044"/>
      <c r="O19" s="1051"/>
    </row>
    <row r="20" spans="1:15" x14ac:dyDescent="0.3">
      <c r="A20" s="510" t="s">
        <v>716</v>
      </c>
      <c r="B20" s="508">
        <f>B18</f>
        <v>0</v>
      </c>
      <c r="C20" s="1036" t="str">
        <f>IF(B20&lt;&gt;0,B20/'PyG anuales'!B$7,"")</f>
        <v/>
      </c>
      <c r="D20" s="509">
        <f>D18-SUM(D14:D16)</f>
        <v>0</v>
      </c>
      <c r="E20" s="1042"/>
      <c r="F20" s="1043" t="str">
        <f>IF(ABS(B20)&gt;0.01,(D20-B20)/B20,"")</f>
        <v/>
      </c>
      <c r="G20" s="508">
        <f>G18-SUM(G14:G16)</f>
        <v>0</v>
      </c>
      <c r="H20" s="1042"/>
      <c r="I20" s="1052" t="str">
        <f>IF(ABS(D20)&gt;0.01,(G20-D20)/D20,"")</f>
        <v/>
      </c>
      <c r="J20" s="509">
        <f>J18-SUM(J14:J16)</f>
        <v>0</v>
      </c>
      <c r="K20" s="1042"/>
      <c r="L20" s="1045" t="str">
        <f>IF(ABS(G20)&gt;0.01,(J20-G20)/G20,"")</f>
        <v/>
      </c>
      <c r="M20" s="508">
        <f>M18-SUM(M14:M16)</f>
        <v>0</v>
      </c>
      <c r="N20" s="1042"/>
      <c r="O20" s="1052" t="str">
        <f>IF(ABS(J20)&gt;0.01,(M20-J20)/J20,"")</f>
        <v/>
      </c>
    </row>
    <row r="21" spans="1:15" x14ac:dyDescent="0.3">
      <c r="A21" s="510"/>
      <c r="B21" s="508"/>
      <c r="C21" s="1036"/>
      <c r="D21" s="509"/>
      <c r="E21" s="1042"/>
      <c r="F21" s="1043"/>
      <c r="G21" s="508"/>
      <c r="H21" s="1042"/>
      <c r="I21" s="1052"/>
      <c r="J21" s="509"/>
      <c r="K21" s="1042"/>
      <c r="L21" s="1045"/>
      <c r="M21" s="508"/>
      <c r="N21" s="1042"/>
      <c r="O21" s="1052"/>
    </row>
    <row r="22" spans="1:15" x14ac:dyDescent="0.3">
      <c r="A22" s="515" t="s">
        <v>1044</v>
      </c>
      <c r="B22" s="493">
        <f>'PyG anuales'!B26-B18</f>
        <v>-16362.959468393694</v>
      </c>
      <c r="C22" s="1036"/>
      <c r="D22" s="516">
        <f>'PyG anuales'!D26-D18</f>
        <v>-18163.530495823823</v>
      </c>
      <c r="E22" s="1042"/>
      <c r="F22" s="1043">
        <f>IF(ABS(B22)&gt;0.01,(D22-B22)/B22,"")</f>
        <v>0.11003944799277109</v>
      </c>
      <c r="G22" s="493">
        <f>'PyG anuales'!G26-G18</f>
        <v>-21557.95289670378</v>
      </c>
      <c r="H22" s="1042"/>
      <c r="I22" s="1052">
        <f>IF(ABS(D22)&gt;0.01,(G22-D22)/D22,"")</f>
        <v>0.18688120140852607</v>
      </c>
      <c r="J22" s="517">
        <f>'PyG anuales'!J26-J18</f>
        <v>-23771.021635676007</v>
      </c>
      <c r="K22" s="1042"/>
      <c r="L22" s="1045">
        <f>IF(ABS(G22)&gt;0.01,(J22-G22)/G22,"")</f>
        <v>0.10265672021718747</v>
      </c>
      <c r="M22" s="493">
        <f>'PyG anuales'!M26-M18</f>
        <v>-26170.258995967932</v>
      </c>
      <c r="N22" s="1042"/>
      <c r="O22" s="1052">
        <f>IF(ABS(J22)&gt;0.01,(M22-J22)/J22,"")</f>
        <v>0.10093118407208479</v>
      </c>
    </row>
    <row r="23" spans="1:15" x14ac:dyDescent="0.3">
      <c r="A23" s="1024"/>
      <c r="B23" s="1025"/>
      <c r="C23" s="1038"/>
      <c r="D23" s="1026"/>
      <c r="E23" s="1046"/>
      <c r="F23" s="1047"/>
      <c r="G23" s="1025"/>
      <c r="H23" s="1046"/>
      <c r="I23" s="1053"/>
      <c r="J23" s="1027"/>
      <c r="K23" s="1046"/>
      <c r="L23" s="1056"/>
      <c r="M23" s="1025"/>
      <c r="N23" s="1046"/>
      <c r="O23" s="1053"/>
    </row>
    <row r="24" spans="1:15" ht="18" thickBot="1" x14ac:dyDescent="0.35">
      <c r="A24" s="518" t="s">
        <v>1045</v>
      </c>
      <c r="B24" s="519">
        <f>(1-isoc)*Imp.Sociedades!B11</f>
        <v>0</v>
      </c>
      <c r="C24" s="1039"/>
      <c r="D24" s="520">
        <f>(1-isoc)*Imp.Sociedades!D11</f>
        <v>0</v>
      </c>
      <c r="E24" s="1048"/>
      <c r="F24" s="1049" t="str">
        <f>IF(ABS(B24)&gt;0.01,(D24-B24)/B24,"")</f>
        <v/>
      </c>
      <c r="G24" s="521">
        <f>(1-isoc)*Imp.Sociedades!G11</f>
        <v>0</v>
      </c>
      <c r="H24" s="1048"/>
      <c r="I24" s="1054" t="str">
        <f>IF(ABS(D24)&gt;0.01,(G24-D24)/D24,"")</f>
        <v/>
      </c>
      <c r="J24" s="520">
        <f>(1-isoc)*Imp.Sociedades!J11</f>
        <v>0</v>
      </c>
      <c r="K24" s="1048"/>
      <c r="L24" s="1049" t="str">
        <f>IF(ABS(G24)&gt;0.01,(J24-G24)/G24,"")</f>
        <v/>
      </c>
      <c r="M24" s="521">
        <f>(1-isoc)*Imp.Sociedades!M11</f>
        <v>0</v>
      </c>
      <c r="N24" s="1048"/>
      <c r="O24" s="1054" t="str">
        <f>IF(ABS(J24)&gt;0.01,(M24-J24)/J24,"")</f>
        <v/>
      </c>
    </row>
    <row r="26" spans="1:15" x14ac:dyDescent="0.3">
      <c r="A26" s="303" t="str">
        <f>'PyG anuales'!A34</f>
        <v/>
      </c>
    </row>
    <row r="28" spans="1:15" ht="28.5" thickBot="1" x14ac:dyDescent="0.5">
      <c r="A28" s="485" t="s">
        <v>453</v>
      </c>
      <c r="D28" s="398"/>
    </row>
    <row r="29" spans="1:15" ht="18" thickBot="1" x14ac:dyDescent="0.35">
      <c r="A29" s="499"/>
      <c r="B29" s="491">
        <f>B6</f>
        <v>2026</v>
      </c>
      <c r="C29" s="522" t="s">
        <v>1033</v>
      </c>
      <c r="D29" s="486">
        <f>D6</f>
        <v>2027</v>
      </c>
      <c r="E29" s="523" t="s">
        <v>1033</v>
      </c>
      <c r="F29" s="524" t="s">
        <v>892</v>
      </c>
      <c r="G29" s="500">
        <f>G6</f>
        <v>2028</v>
      </c>
      <c r="H29" s="523" t="s">
        <v>1033</v>
      </c>
      <c r="I29" s="525" t="s">
        <v>892</v>
      </c>
      <c r="J29" s="500">
        <f>J6</f>
        <v>2029</v>
      </c>
      <c r="K29" s="523" t="s">
        <v>1033</v>
      </c>
      <c r="L29" s="526" t="s">
        <v>892</v>
      </c>
      <c r="M29" s="486">
        <f>M6</f>
        <v>2030</v>
      </c>
      <c r="N29" s="523" t="s">
        <v>1033</v>
      </c>
      <c r="O29" s="524" t="s">
        <v>892</v>
      </c>
    </row>
    <row r="30" spans="1:15" x14ac:dyDescent="0.3">
      <c r="A30" s="501" t="s">
        <v>1031</v>
      </c>
      <c r="B30" s="527">
        <f>B$24*Parametros!B41</f>
        <v>0</v>
      </c>
      <c r="C30" s="528" t="str">
        <f>IF(B30&lt;&gt;0,B30/B$24,"")</f>
        <v/>
      </c>
      <c r="D30" s="527">
        <f>D$24*Parametros!C41</f>
        <v>0</v>
      </c>
      <c r="E30" s="504" t="str">
        <f>IF(D30&lt;&gt;0,D30/D$24,"")</f>
        <v/>
      </c>
      <c r="F30" s="505" t="str">
        <f>IF(B30&lt;&gt;0,(D30-B30)/B30,"")</f>
        <v/>
      </c>
      <c r="G30" s="529">
        <f>G$24*Parametros!D41</f>
        <v>0</v>
      </c>
      <c r="H30" s="504" t="str">
        <f>IF(G30&lt;&gt;0,G30/G$24,"")</f>
        <v/>
      </c>
      <c r="I30" s="505" t="str">
        <f>IF(D30&lt;&gt;0,(G30-D30)/D30,"")</f>
        <v/>
      </c>
      <c r="J30" s="529">
        <f>J$24*Parametros!E41</f>
        <v>0</v>
      </c>
      <c r="K30" s="504" t="str">
        <f>IF(J30&lt;&gt;0,J30/J$24,"")</f>
        <v/>
      </c>
      <c r="L30" s="506" t="str">
        <f>IF(G30&lt;&gt;0,(J30-G30)/G30,"")</f>
        <v/>
      </c>
      <c r="M30" s="527">
        <f>M$24*Parametros!F41</f>
        <v>0</v>
      </c>
      <c r="N30" s="504" t="str">
        <f>IF(M30&lt;&gt;0,M30/M$24,"")</f>
        <v/>
      </c>
      <c r="O30" s="505" t="str">
        <f>IF(J30&lt;&gt;0,(M30-J30)/J30,"")</f>
        <v/>
      </c>
    </row>
    <row r="31" spans="1:15" ht="18" thickBot="1" x14ac:dyDescent="0.35">
      <c r="A31" s="530" t="s">
        <v>1032</v>
      </c>
      <c r="B31" s="531">
        <f>B$24*Parametros!B42</f>
        <v>0</v>
      </c>
      <c r="C31" s="532" t="str">
        <f>IF(B31&lt;&gt;0,B31/B$24,"")</f>
        <v/>
      </c>
      <c r="D31" s="531">
        <f>D$24*Parametros!C42</f>
        <v>0</v>
      </c>
      <c r="E31" s="533" t="str">
        <f>IF(D31&lt;&gt;0,D31/D$24,"")</f>
        <v/>
      </c>
      <c r="F31" s="534" t="str">
        <f>IF(B31&lt;&gt;0,(D31-B31)/B31,"")</f>
        <v/>
      </c>
      <c r="G31" s="535">
        <f>G$24*Parametros!D42</f>
        <v>0</v>
      </c>
      <c r="H31" s="533" t="str">
        <f>IF(G31&lt;&gt;0,G31/G$24,"")</f>
        <v/>
      </c>
      <c r="I31" s="534" t="str">
        <f>IF(D31&lt;&gt;0,(G31-D31)/D31,"")</f>
        <v/>
      </c>
      <c r="J31" s="535">
        <f>J$24*Parametros!E42</f>
        <v>0</v>
      </c>
      <c r="K31" s="533" t="str">
        <f>IF(J31&lt;&gt;0,J31/J$24,"")</f>
        <v/>
      </c>
      <c r="L31" s="536" t="str">
        <f>IF(G31&lt;&gt;0,(J31-G31)/G31,"")</f>
        <v/>
      </c>
      <c r="M31" s="531">
        <f>M$24*Parametros!F42</f>
        <v>0</v>
      </c>
      <c r="N31" s="533" t="str">
        <f>IF(M31&lt;&gt;0,M31/M$24,"")</f>
        <v/>
      </c>
      <c r="O31" s="534" t="str">
        <f>IF(J31&lt;&gt;0,(M31-J31)/J31,"")</f>
        <v/>
      </c>
    </row>
    <row r="34" spans="1:1" x14ac:dyDescent="0.3">
      <c r="A34" s="303" t="str">
        <f>CONCATENATE("Todas las cantidades están expresadas en ",Parametros!$F$6)</f>
        <v>Todas las cantidades están expresadas en Euros</v>
      </c>
    </row>
  </sheetData>
  <sheetProtection formatCells="0" formatColumns="0"/>
  <phoneticPr fontId="13" type="noConversion"/>
  <printOptions horizontalCentered="1" verticalCentered="1"/>
  <pageMargins left="0.55118110236220474" right="0.75" top="0.52" bottom="1" header="0" footer="0"/>
  <pageSetup paperSize="9" scale="70" orientation="landscape" r:id="rId1"/>
  <headerFooter alignWithMargins="0"/>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281">
    <pageSetUpPr fitToPage="1"/>
  </sheetPr>
  <dimension ref="A1:W29"/>
  <sheetViews>
    <sheetView showGridLines="0" topLeftCell="A4" workbookViewId="0">
      <selection activeCell="C29" sqref="C29"/>
    </sheetView>
  </sheetViews>
  <sheetFormatPr baseColWidth="10" defaultRowHeight="17.25" x14ac:dyDescent="0.3"/>
  <cols>
    <col min="1" max="1" width="18.625" style="307" customWidth="1"/>
    <col min="2" max="2" width="11" style="307"/>
    <col min="3" max="3" width="13.5" style="307" customWidth="1"/>
    <col min="4" max="7" width="11" style="307"/>
    <col min="8" max="8" width="12.625" style="307" customWidth="1"/>
    <col min="9" max="9" width="14.125" style="307" bestFit="1" customWidth="1"/>
    <col min="10" max="10" width="11.875" style="307" bestFit="1" customWidth="1"/>
    <col min="11" max="11" width="12" style="307" customWidth="1"/>
    <col min="12" max="13" width="11" style="307"/>
    <col min="14" max="14" width="10.5" style="307" customWidth="1"/>
    <col min="15" max="16" width="11" style="307"/>
    <col min="17" max="17" width="11.75" style="307" bestFit="1" customWidth="1"/>
    <col min="18" max="19" width="8.625" style="307" customWidth="1"/>
    <col min="20" max="20" width="9.875" style="307" customWidth="1"/>
    <col min="21" max="22" width="8.625" style="307" customWidth="1"/>
    <col min="23" max="16384" width="11" style="307"/>
  </cols>
  <sheetData>
    <row r="1" spans="1:23" ht="27.75" x14ac:dyDescent="0.45">
      <c r="A1" s="408" t="s">
        <v>79</v>
      </c>
      <c r="K1" s="496" t="str">
        <f>IF(irpf=0,CONCATENATE("Forma Jurídica: ",'Datos Básicos'!B22),"")</f>
        <v/>
      </c>
    </row>
    <row r="2" spans="1:23" s="446" customFormat="1" ht="27.75" x14ac:dyDescent="0.45">
      <c r="A2" s="408" t="s">
        <v>768</v>
      </c>
      <c r="B2" s="445"/>
      <c r="K2" s="496" t="str">
        <f>IF(irpf=0,"No sujeto I.R.P.F.","")</f>
        <v/>
      </c>
      <c r="Q2" s="305"/>
    </row>
    <row r="3" spans="1:23" s="446" customFormat="1" ht="27.75" x14ac:dyDescent="0.45">
      <c r="A3" s="408">
        <f>'Prev.Ventas 0'!A2</f>
        <v>0</v>
      </c>
      <c r="B3" s="445"/>
      <c r="K3" s="496" t="str">
        <f>IF(irpf=0,"TRIBUTACIÓN EN Sociedades","")</f>
        <v/>
      </c>
      <c r="Q3" s="305"/>
    </row>
    <row r="4" spans="1:23" s="446" customFormat="1" ht="27.75" x14ac:dyDescent="0.45">
      <c r="A4" s="408"/>
      <c r="B4" s="445"/>
      <c r="Q4" s="305"/>
    </row>
    <row r="5" spans="1:23" ht="27.75" x14ac:dyDescent="0.45">
      <c r="A5" s="408" t="s">
        <v>454</v>
      </c>
      <c r="Q5" s="305"/>
      <c r="R5" s="446"/>
      <c r="S5" s="446"/>
      <c r="T5" s="446"/>
      <c r="U5" s="446"/>
      <c r="V5" s="446"/>
    </row>
    <row r="6" spans="1:23" ht="10.5" customHeight="1" thickBot="1" x14ac:dyDescent="0.5">
      <c r="A6" s="408"/>
      <c r="Q6" s="305"/>
      <c r="R6" s="446"/>
      <c r="S6" s="446"/>
      <c r="T6" s="446"/>
      <c r="U6" s="446"/>
      <c r="V6" s="446"/>
    </row>
    <row r="7" spans="1:23" ht="18" thickBot="1" x14ac:dyDescent="0.35">
      <c r="A7" s="537"/>
      <c r="B7" s="331"/>
      <c r="C7" s="538" t="str">
        <f>'Datos Básicos'!B16</f>
        <v>Año 0</v>
      </c>
      <c r="D7" s="539">
        <f>'Datos Básicos'!C16</f>
        <v>1</v>
      </c>
      <c r="E7" s="540">
        <f>'Datos Básicos'!D16</f>
        <v>2</v>
      </c>
      <c r="F7" s="541">
        <f>'Datos Básicos'!E16</f>
        <v>3</v>
      </c>
      <c r="G7" s="541">
        <f>'Datos Básicos'!F16</f>
        <v>4</v>
      </c>
      <c r="I7" s="542" t="s">
        <v>1281</v>
      </c>
      <c r="J7" s="543"/>
      <c r="K7" s="543"/>
      <c r="L7" s="543"/>
      <c r="M7" s="544"/>
      <c r="Q7" s="305"/>
      <c r="R7" s="446"/>
      <c r="S7" s="446"/>
      <c r="T7" s="446"/>
      <c r="U7" s="446"/>
      <c r="V7" s="446"/>
      <c r="W7" s="1034"/>
    </row>
    <row r="8" spans="1:23" ht="18" thickBot="1" x14ac:dyDescent="0.35">
      <c r="A8" s="545"/>
      <c r="C8" s="546">
        <f>'Datos Básicos'!$B$17</f>
        <v>2026</v>
      </c>
      <c r="D8" s="547">
        <f>C8+1</f>
        <v>2027</v>
      </c>
      <c r="E8" s="548">
        <f>D8+1</f>
        <v>2028</v>
      </c>
      <c r="F8" s="546">
        <f>E8+1</f>
        <v>2029</v>
      </c>
      <c r="G8" s="546">
        <f>F8+1</f>
        <v>2030</v>
      </c>
      <c r="I8" s="549" t="s">
        <v>102</v>
      </c>
      <c r="J8" s="550" t="s">
        <v>99</v>
      </c>
      <c r="K8" s="549" t="s">
        <v>101</v>
      </c>
      <c r="L8" s="551" t="s">
        <v>100</v>
      </c>
      <c r="M8" s="552" t="s">
        <v>860</v>
      </c>
      <c r="Q8" s="305"/>
      <c r="R8" s="446"/>
      <c r="S8" s="446"/>
      <c r="T8" s="446"/>
      <c r="U8" s="446"/>
      <c r="V8" s="446"/>
    </row>
    <row r="9" spans="1:23" x14ac:dyDescent="0.3">
      <c r="A9" s="553" t="s">
        <v>87</v>
      </c>
      <c r="B9" s="331"/>
      <c r="C9" s="554"/>
      <c r="D9" s="331"/>
      <c r="E9" s="537"/>
      <c r="F9" s="554"/>
      <c r="G9" s="554"/>
      <c r="I9" s="555"/>
      <c r="J9" s="1033"/>
      <c r="K9" s="556"/>
      <c r="L9" s="557"/>
      <c r="M9" s="558"/>
      <c r="Q9" s="305"/>
      <c r="R9" s="446"/>
      <c r="S9" s="446"/>
      <c r="T9" s="446"/>
      <c r="U9" s="446"/>
      <c r="V9" s="446"/>
    </row>
    <row r="10" spans="1:23" x14ac:dyDescent="0.3">
      <c r="A10" s="559"/>
      <c r="B10" s="560" t="s">
        <v>96</v>
      </c>
      <c r="C10" s="561">
        <f>IF(irpf&lt;&gt;0,'Prev.Ventas 0'!$N$25,0)</f>
        <v>0</v>
      </c>
      <c r="D10" s="562">
        <f>IF(irpf&lt;&gt;0,'Prev.Ventas 1'!$N$25,0)</f>
        <v>0</v>
      </c>
      <c r="E10" s="563">
        <f>IF(irpf&lt;&gt;0,'Prev.Ventas 2'!$N$25,0)</f>
        <v>0</v>
      </c>
      <c r="F10" s="564">
        <f>IF(irpf&lt;&gt;0,'Prev.Ventas 3'!$N$25,0)</f>
        <v>0</v>
      </c>
      <c r="G10" s="564">
        <f>IF(irpf&lt;&gt;0,'Prev.Ventas 4'!$N$25,0)</f>
        <v>0</v>
      </c>
      <c r="I10" s="565">
        <v>0</v>
      </c>
      <c r="J10" s="566">
        <f>I11-0.01</f>
        <v>12449.99</v>
      </c>
      <c r="K10" s="567"/>
      <c r="L10" s="568"/>
      <c r="M10" s="569">
        <v>0.19</v>
      </c>
      <c r="Q10" s="305"/>
      <c r="R10" s="446"/>
      <c r="S10" s="446"/>
      <c r="T10" s="446"/>
      <c r="U10" s="446"/>
      <c r="V10" s="446"/>
    </row>
    <row r="11" spans="1:23" x14ac:dyDescent="0.3">
      <c r="A11" s="570"/>
      <c r="B11" s="571" t="s">
        <v>154</v>
      </c>
      <c r="C11" s="473">
        <f>IF(irpf&lt;&gt;0,'PyG 0'!$N$6,0)</f>
        <v>0</v>
      </c>
      <c r="D11" s="572">
        <f>IF(irpf&lt;&gt;0,'PyG 1'!$N$6,0)</f>
        <v>0</v>
      </c>
      <c r="E11" s="573">
        <f>IF(irpf&lt;&gt;0,'PyG 2'!$N$6,0)</f>
        <v>0</v>
      </c>
      <c r="F11" s="574">
        <f>IF(irpf&lt;&gt;0,'PyG 3'!$N$6,0)</f>
        <v>0</v>
      </c>
      <c r="G11" s="574">
        <f>IF(irpf&lt;&gt;0,'PyG 4'!$N$6,0)</f>
        <v>0</v>
      </c>
      <c r="I11" s="575">
        <v>12450</v>
      </c>
      <c r="J11" s="566">
        <f>I12-0.01</f>
        <v>20199.990000000002</v>
      </c>
      <c r="K11" s="567"/>
      <c r="L11" s="568"/>
      <c r="M11" s="569">
        <v>0.24</v>
      </c>
      <c r="Q11" s="305"/>
      <c r="R11" s="446"/>
      <c r="S11" s="446"/>
      <c r="T11" s="446"/>
      <c r="U11" s="446"/>
      <c r="V11" s="446"/>
    </row>
    <row r="12" spans="1:23" x14ac:dyDescent="0.3">
      <c r="A12" s="570"/>
      <c r="B12" s="576" t="s">
        <v>155</v>
      </c>
      <c r="C12" s="473">
        <f>C10+C11</f>
        <v>0</v>
      </c>
      <c r="D12" s="572">
        <f>D10+D11</f>
        <v>0</v>
      </c>
      <c r="E12" s="573">
        <f>E10+E11</f>
        <v>0</v>
      </c>
      <c r="F12" s="574">
        <f>F10+F11</f>
        <v>0</v>
      </c>
      <c r="G12" s="574">
        <f>G10+G11</f>
        <v>0</v>
      </c>
      <c r="I12" s="575">
        <v>20200</v>
      </c>
      <c r="J12" s="566">
        <f>I13-0.01</f>
        <v>35199.99</v>
      </c>
      <c r="K12" s="567"/>
      <c r="L12" s="568"/>
      <c r="M12" s="569">
        <v>0.3</v>
      </c>
      <c r="Q12" s="305"/>
      <c r="R12" s="446"/>
      <c r="S12" s="446"/>
      <c r="T12" s="446"/>
      <c r="U12" s="446"/>
      <c r="V12" s="446"/>
    </row>
    <row r="13" spans="1:23" x14ac:dyDescent="0.3">
      <c r="A13" s="570"/>
      <c r="B13" s="571"/>
      <c r="C13" s="473"/>
      <c r="D13" s="577"/>
      <c r="E13" s="578"/>
      <c r="F13" s="473"/>
      <c r="G13" s="473"/>
      <c r="I13" s="575">
        <v>35200</v>
      </c>
      <c r="J13" s="566">
        <f>I14-0.01</f>
        <v>59999.99</v>
      </c>
      <c r="K13" s="567"/>
      <c r="L13" s="568"/>
      <c r="M13" s="569">
        <v>0.37</v>
      </c>
      <c r="Q13" s="305"/>
      <c r="R13" s="446"/>
      <c r="S13" s="446"/>
      <c r="T13" s="446"/>
      <c r="U13" s="446"/>
      <c r="V13" s="446"/>
    </row>
    <row r="14" spans="1:23" x14ac:dyDescent="0.3">
      <c r="A14" s="416"/>
      <c r="B14" s="579" t="s">
        <v>88</v>
      </c>
      <c r="C14" s="473">
        <f>IF(irpf&lt;&gt;0,'Prev.Ventas 0'!$N$39,0)</f>
        <v>0</v>
      </c>
      <c r="D14" s="572">
        <f>IF(irpf&lt;&gt;0,'Prev.Ventas 1'!$N$39,0)</f>
        <v>0</v>
      </c>
      <c r="E14" s="573">
        <f>IF(irpf&lt;&gt;0,'Prev.Ventas 2'!$N$39,0)</f>
        <v>0</v>
      </c>
      <c r="F14" s="574">
        <f>IF(irpf&lt;&gt;0,'Prev.Ventas 3'!$N$39,0)</f>
        <v>0</v>
      </c>
      <c r="G14" s="574">
        <f>IF(irpf&lt;&gt;0,'Prev.Ventas 4'!$N$39,0)</f>
        <v>0</v>
      </c>
      <c r="I14" s="575">
        <v>60000</v>
      </c>
      <c r="J14" s="566">
        <v>299999.99</v>
      </c>
      <c r="K14" s="567"/>
      <c r="L14" s="568"/>
      <c r="M14" s="569">
        <v>0.45</v>
      </c>
      <c r="Q14" s="305"/>
      <c r="R14" s="446"/>
      <c r="S14" s="446"/>
      <c r="T14" s="446"/>
      <c r="U14" s="446"/>
      <c r="V14" s="446"/>
    </row>
    <row r="15" spans="1:23" ht="18" thickBot="1" x14ac:dyDescent="0.35">
      <c r="A15" s="416"/>
      <c r="B15" s="579" t="s">
        <v>89</v>
      </c>
      <c r="C15" s="473">
        <f>IF(irpf&lt;&gt;0,'G.F. 0'!$O$24-SUM('G.F. 0'!$O$11:$O$12),0)</f>
        <v>1064.6399999999976</v>
      </c>
      <c r="D15" s="572">
        <f>IF(irpf&lt;&gt;0,'G.F. 1'!$O$24-SUM('G.F. 1'!$O$11:$O$12),0)</f>
        <v>1064.6399999999976</v>
      </c>
      <c r="E15" s="573">
        <f>IF(irpf&lt;&gt;0,'G.F. 2'!$O$24-SUM('G.F. 2'!$O$11:$O$12),0)</f>
        <v>2470.5599999999977</v>
      </c>
      <c r="F15" s="574">
        <f>IF(irpf&lt;&gt;0,'G.F. 3'!$O$24-SUM('G.F. 3'!$O$11:$O$12),0)</f>
        <v>2470.559999999994</v>
      </c>
      <c r="G15" s="574">
        <f>IF(irpf&lt;&gt;0,'G.F. 4'!$O$24-SUM('G.F. 4'!$O$11:$O$12),0)</f>
        <v>2470.5600000000013</v>
      </c>
      <c r="I15" s="580">
        <v>300000</v>
      </c>
      <c r="J15" s="2482"/>
      <c r="K15" s="2483"/>
      <c r="L15" s="2483"/>
      <c r="M15" s="581">
        <v>0.47</v>
      </c>
      <c r="Q15" s="305"/>
      <c r="R15" s="446"/>
      <c r="S15" s="446"/>
      <c r="T15" s="446"/>
      <c r="U15" s="446"/>
      <c r="V15" s="446"/>
    </row>
    <row r="16" spans="1:23" ht="18" thickBot="1" x14ac:dyDescent="0.35">
      <c r="A16" s="416"/>
      <c r="B16" s="579" t="s">
        <v>113</v>
      </c>
      <c r="C16" s="473">
        <f>IF(irpf&lt;&gt;0,'G.F. 0'!$O$46,0)</f>
        <v>0</v>
      </c>
      <c r="D16" s="572">
        <f>IF(irpf&lt;&gt;0,'G.F. 1'!$O$46,0)</f>
        <v>0</v>
      </c>
      <c r="E16" s="573">
        <f>IF(irpf&lt;&gt;0,'G.F. 2'!$O$46,0)</f>
        <v>0</v>
      </c>
      <c r="F16" s="574">
        <f>IF(irpf&lt;&gt;0,'G.F. 3'!$O$46,0)</f>
        <v>0</v>
      </c>
      <c r="G16" s="574">
        <f>IF(irpf&lt;&gt;0,'G.F. 4'!$O$46,0)</f>
        <v>0</v>
      </c>
    </row>
    <row r="17" spans="1:17" ht="18" thickBot="1" x14ac:dyDescent="0.35">
      <c r="A17" s="416"/>
      <c r="B17" s="579" t="s">
        <v>97</v>
      </c>
      <c r="C17" s="586">
        <f>IF(irpf&lt;&gt;0,Amortizaciones!F21,0)</f>
        <v>0</v>
      </c>
      <c r="D17" s="587">
        <f>IF(irpf&lt;&gt;0,Amortizaciones!G21,0)</f>
        <v>0</v>
      </c>
      <c r="E17" s="588">
        <f>IF( irpf&lt;&gt;0,Amortizaciones!H21,0)</f>
        <v>0</v>
      </c>
      <c r="F17" s="587">
        <f>IF( irpf&lt;&gt;0,Amortizaciones!I21,0)</f>
        <v>0</v>
      </c>
      <c r="G17" s="587">
        <f>IF( irpf&lt;&gt;0,Amortizaciones!J21,0)</f>
        <v>0</v>
      </c>
      <c r="I17" s="542" t="s">
        <v>290</v>
      </c>
      <c r="J17" s="543"/>
      <c r="K17" s="543"/>
      <c r="L17" s="543"/>
      <c r="M17" s="583"/>
      <c r="N17" s="584"/>
      <c r="O17" s="585"/>
    </row>
    <row r="18" spans="1:17" ht="21.75" customHeight="1" thickBot="1" x14ac:dyDescent="0.35">
      <c r="A18" s="416"/>
      <c r="B18" s="579" t="s">
        <v>112</v>
      </c>
      <c r="C18" s="586">
        <f>IF(irpf&lt;&gt;0,-'PyG anuales'!B24,0)</f>
        <v>646.31946839369516</v>
      </c>
      <c r="D18" s="592">
        <f>IF(irpf&lt;&gt;0,-'PyG anuales'!D24,0)</f>
        <v>1860.8104958238205</v>
      </c>
      <c r="E18" s="593">
        <f>IF(irpf&lt;&gt;0,-'PyG anuales'!G24,0)</f>
        <v>3239.7896967037746</v>
      </c>
      <c r="F18" s="594">
        <f>IF(irpf&lt;&gt;0,-'PyG anuales'!J24,0)</f>
        <v>4818.9543076760046</v>
      </c>
      <c r="G18" s="594">
        <f>IF(irpf&lt;&gt;0,-'PyG anuales'!M24,0)</f>
        <v>6558.9313748479281</v>
      </c>
      <c r="I18" s="589"/>
      <c r="J18" s="590" t="s">
        <v>108</v>
      </c>
      <c r="K18" s="591">
        <f>C8</f>
        <v>2026</v>
      </c>
      <c r="L18" s="500">
        <f>K18+1</f>
        <v>2027</v>
      </c>
      <c r="M18" s="486">
        <f>L18+1</f>
        <v>2028</v>
      </c>
      <c r="N18" s="411">
        <f>M18+1</f>
        <v>2029</v>
      </c>
      <c r="O18" s="412">
        <f>N18+1</f>
        <v>2030</v>
      </c>
    </row>
    <row r="19" spans="1:17" x14ac:dyDescent="0.3">
      <c r="A19" s="416"/>
      <c r="B19" s="576" t="s">
        <v>92</v>
      </c>
      <c r="C19" s="600">
        <f>SUM(C14:C18)</f>
        <v>1710.9594683936928</v>
      </c>
      <c r="D19" s="601">
        <f>SUM(D14:D18)</f>
        <v>2925.4504958238181</v>
      </c>
      <c r="E19" s="602">
        <f>SUM(E14:E18)</f>
        <v>5710.3496967037718</v>
      </c>
      <c r="F19" s="603">
        <f>SUM(F14:F18)</f>
        <v>7289.5143076759987</v>
      </c>
      <c r="G19" s="603">
        <f>SUM(G14:G18)</f>
        <v>9029.4913748479303</v>
      </c>
      <c r="I19" s="595"/>
      <c r="J19" s="596" t="s">
        <v>103</v>
      </c>
      <c r="K19" s="597">
        <f>IF(C10=0,0,MAX(Plantilla!B16:N16))</f>
        <v>0</v>
      </c>
      <c r="L19" s="597">
        <f>IF(D10=0,0,MAX(Plantilla!C27:N27))</f>
        <v>0</v>
      </c>
      <c r="M19" s="598">
        <f>IF(E10=0,0,MAX(Plantilla!C38:N38))</f>
        <v>0</v>
      </c>
      <c r="N19" s="597">
        <f>IF(F10=0,0,MAX(Plantilla!C49:N49))</f>
        <v>0</v>
      </c>
      <c r="O19" s="599">
        <f>IF(G10=0,0,MAX(Plantilla!C60:N60))</f>
        <v>0</v>
      </c>
    </row>
    <row r="20" spans="1:17" x14ac:dyDescent="0.3">
      <c r="A20" s="570"/>
      <c r="B20" s="338"/>
      <c r="C20" s="608"/>
      <c r="D20" s="338"/>
      <c r="E20" s="570"/>
      <c r="F20" s="608"/>
      <c r="G20" s="608"/>
      <c r="I20" s="416"/>
      <c r="J20" s="604" t="s">
        <v>104</v>
      </c>
      <c r="K20" s="605">
        <f>IF(C21=0,0,C21/K19)</f>
        <v>0</v>
      </c>
      <c r="L20" s="605">
        <f>IF(D21=0,0,D21/L19)</f>
        <v>0</v>
      </c>
      <c r="M20" s="606">
        <f>IF(E21=0,0,E21/M19)</f>
        <v>0</v>
      </c>
      <c r="N20" s="605">
        <f>IF(F21=0,0,F21/N19)</f>
        <v>0</v>
      </c>
      <c r="O20" s="607">
        <f>IF(G21=0,0,G21/O19)</f>
        <v>0</v>
      </c>
    </row>
    <row r="21" spans="1:17" ht="18" thickBot="1" x14ac:dyDescent="0.35">
      <c r="A21" s="421"/>
      <c r="B21" s="613" t="s">
        <v>93</v>
      </c>
      <c r="C21" s="614">
        <f>IF(C12-C19&lt;0,0,C12-C19)</f>
        <v>0</v>
      </c>
      <c r="D21" s="615">
        <f>IF(D12-D19&lt;0,0,D12-D19)</f>
        <v>0</v>
      </c>
      <c r="E21" s="616">
        <f>IF(E12-E19&lt;0,0,E12-E19)</f>
        <v>0</v>
      </c>
      <c r="F21" s="614">
        <f>IF(F12-F19&lt;0,0,F12-F19)</f>
        <v>0</v>
      </c>
      <c r="G21" s="614">
        <f>IF(G12-G19&lt;0,0,G12-G19)</f>
        <v>0</v>
      </c>
      <c r="I21" s="604"/>
      <c r="J21" s="604" t="s">
        <v>1247</v>
      </c>
      <c r="K21" s="605">
        <f>IF(C29&lt;$I$10,0,IF(C29&gt;$J$10,($J$10-$I$10)*$M$10,(C29-$I$10)*$M$10))+IF(C29&lt;$I$11,0,IF(C29&gt;$J$11,($J$11-$I$11)*$M$11,(C29-$I$11)*$M$11))+IF(C29&lt;$I$12,0,IF(C29&gt;$J$12,($J$12-$I$12)*$M$12,(C29-$I$12)*$M$12))+IF(C29&lt;$I$13,0,IF(C29&gt;$J$13,($J$13-$I$13)*$M$13,(C29-$I$13)*$M$13))+IF(C29&lt;$I$14,0,IF(C29&gt;$J$14,($J414-$I$14)*$M$14,(C29-$I$14)*$M$14))*IF(C29&lt;$I$15,0,(C29-$I$15)*$M$15)</f>
        <v>1054.5</v>
      </c>
      <c r="L21" s="605">
        <f>IF(D29&lt;$I$10,0,IF(D29&gt;$J$10,($J$10-$I$10)*$M$10,(D29-$I$10)*$M$10))+IF(D29&lt;$I$11,0,IF(D29&gt;$J$11,($J$11-$I$11)*$M$11,(D29-$I$11)*$M$11))+IF(D29&lt;$I$12,0,IF(D29&gt;$J$12,($J$12-$I$12)*$M$12,(D29-$I$12)*$M$12))+IF(D29&lt;$I$13,0,IF(D29&gt;$J$13,($J$13-$I$13)*$M$13,(D29-$I$13)*$M$13))+IF(D29&lt;$I$14,0,IF(D29&gt;$J$14,($J414-$I$14)*$M$14,(D29-$I$14)*$M$14))*IF(D29&lt;$I$15,0,(D29-$I$15)*$M$15)</f>
        <v>1075.5899999999999</v>
      </c>
      <c r="M21" s="605">
        <f t="shared" ref="M21:O21" si="0">IF(E29&lt;$I$10,0,IF(E29&gt;$J$10,($J$10-$I$10)*$M$10,(E29-$I$10)*$M$10))+IF(E29&lt;$I$11,0,IF(E29&gt;$J$11,($J$11-$I$11)*$M$11,(E29-$I$11)*$M$11))+IF(E29&lt;$I$12,0,IF(E29&gt;$J$12,($J$12-$I$12)*$M$12,(E29-$I$12)*$M$12))+IF(E29&lt;$I$13,0,IF(E29&gt;$J$13,($J$13-$I$13)*$M$13,(E29-$I$13)*$M$13))+IF(E29&lt;$I$14,0,IF(E29&gt;$J$14,($J414-$I$14)*$M$14,(E29-$I$14)*$M$14))*IF(E29&lt;$I$15,0,(E29-$I$15)*$M$15)</f>
        <v>1097.1018000000001</v>
      </c>
      <c r="N21" s="605">
        <f t="shared" si="0"/>
        <v>1119.0438360000001</v>
      </c>
      <c r="O21" s="605">
        <f t="shared" si="0"/>
        <v>1141.4247127200001</v>
      </c>
    </row>
    <row r="22" spans="1:17" ht="18" thickBot="1" x14ac:dyDescent="0.35">
      <c r="A22" s="545"/>
      <c r="B22" s="368"/>
      <c r="C22" s="617"/>
      <c r="D22" s="450"/>
      <c r="E22" s="618"/>
      <c r="F22" s="617"/>
      <c r="G22" s="617"/>
      <c r="I22" s="416"/>
      <c r="J22" s="604" t="s">
        <v>105</v>
      </c>
      <c r="K22" s="605">
        <f>IF(K20&lt;$I$10,0,IF(K20&gt;$J$10,($J$10-$I$10)*$M$10,(K20-$I$10)*$M$10))+IF(K20&lt;$I$11,0,IF(K20&gt;$J$11,($J$11-$I$11)*$M$11,(K20-$I$11)*$M$11))+IF(K20&lt;$I$12,0,IF(K20&gt;$J$12,($J$12-$I$12)*$M$12,(K20-$I$12)*$M$12))+IF(K20&lt;$I$13,0,IF(K20&gt;$J$13,($J$13-$I$13)*$M$13,(K20-$I$13)*$M$13))+IF(K20&lt;$I$14,0,IF(K20&gt;$J$14,($J$14-$I$14)*$M$14,(K20-$I$14)*$M$14))+IF(K20&lt;$I$15,0,(K20-$I$15)*$M$15)</f>
        <v>0</v>
      </c>
      <c r="L22" s="605">
        <f t="shared" ref="L22:O22" si="1">IF(L20&lt;$I$10,0,IF(L20&gt;$J$10,($J$10-$I$10)*$M$10,(L20-$I$10)*$M$10))+IF(L20&lt;$I$11,0,IF(L20&gt;$J$11,($J$11-$I$11)*$M$11,(L20-$I$11)*$M$11))+IF(L20&lt;$I$12,0,IF(L20&gt;$J$12,($J$12-$I$12)*$M$12,(L20-$I$12)*$M$12))+IF(L20&lt;$I$13,0,IF(L20&gt;$J$13,($J$13-$I$13)*$M$13,(L20-$I$13)*$M$13))+IF(L20&lt;$I$14,0,IF(L20&gt;$J$14,($J$14-$I$14)*$M$14,(L20-$I$14)*$M$14))+IF(L20&lt;$I$15,0,(L20-$I$15)*$M$15)</f>
        <v>0</v>
      </c>
      <c r="M22" s="605">
        <f t="shared" si="1"/>
        <v>0</v>
      </c>
      <c r="N22" s="605">
        <f t="shared" si="1"/>
        <v>0</v>
      </c>
      <c r="O22" s="605">
        <f t="shared" si="1"/>
        <v>0</v>
      </c>
    </row>
    <row r="23" spans="1:17" x14ac:dyDescent="0.3">
      <c r="A23" s="553" t="s">
        <v>94</v>
      </c>
      <c r="B23" s="331"/>
      <c r="C23" s="554"/>
      <c r="D23" s="331"/>
      <c r="E23" s="537"/>
      <c r="F23" s="554"/>
      <c r="G23" s="554"/>
      <c r="I23" s="416"/>
      <c r="J23" s="604" t="s">
        <v>1248</v>
      </c>
      <c r="K23" s="605">
        <f>K22-K21</f>
        <v>-1054.5</v>
      </c>
      <c r="L23" s="605">
        <f t="shared" ref="L23:O23" si="2">L22-L21</f>
        <v>-1075.5899999999999</v>
      </c>
      <c r="M23" s="605">
        <f t="shared" si="2"/>
        <v>-1097.1018000000001</v>
      </c>
      <c r="N23" s="605">
        <f t="shared" si="2"/>
        <v>-1119.0438360000001</v>
      </c>
      <c r="O23" s="605">
        <f t="shared" si="2"/>
        <v>-1141.4247127200001</v>
      </c>
    </row>
    <row r="24" spans="1:17" x14ac:dyDescent="0.3">
      <c r="A24" s="416"/>
      <c r="B24" s="579" t="s">
        <v>95</v>
      </c>
      <c r="C24" s="622">
        <f>'Ret IRPF'!N9</f>
        <v>0</v>
      </c>
      <c r="D24" s="623">
        <f>'Ret IRPF'!N18</f>
        <v>0</v>
      </c>
      <c r="E24" s="624">
        <f>'Ret IRPF'!N27</f>
        <v>0</v>
      </c>
      <c r="F24" s="622">
        <f>'Ret IRPF'!N36</f>
        <v>0</v>
      </c>
      <c r="G24" s="622">
        <f>'Ret IRPF'!N45</f>
        <v>0</v>
      </c>
      <c r="I24" s="416"/>
      <c r="J24" s="604" t="s">
        <v>94</v>
      </c>
      <c r="K24" s="619">
        <f>IF(K19=0,0,C26/K19)</f>
        <v>0</v>
      </c>
      <c r="L24" s="619">
        <f>IF(L19=0,0,D26/L19)</f>
        <v>0</v>
      </c>
      <c r="M24" s="620">
        <f>IF(M19=0,0,E26/M19)</f>
        <v>0</v>
      </c>
      <c r="N24" s="619">
        <f>IF(N19=0,0,F26/N19)</f>
        <v>0</v>
      </c>
      <c r="O24" s="621">
        <f>IF(O19=0,0,G26/O19)</f>
        <v>0</v>
      </c>
    </row>
    <row r="25" spans="1:17" x14ac:dyDescent="0.3">
      <c r="A25" s="416"/>
      <c r="B25" s="579" t="s">
        <v>98</v>
      </c>
      <c r="C25" s="622">
        <f>SUM('Ret IRPF'!C13:N13)</f>
        <v>0</v>
      </c>
      <c r="D25" s="623">
        <f>SUM('Ret IRPF'!C22:N22)</f>
        <v>0</v>
      </c>
      <c r="E25" s="624">
        <f>SUM('Ret IRPF'!C31:N31)</f>
        <v>0</v>
      </c>
      <c r="F25" s="622">
        <f>SUM('Ret IRPF'!C40:N40)</f>
        <v>0</v>
      </c>
      <c r="G25" s="622">
        <f>SUM('Ret IRPF'!C49:N49)</f>
        <v>0</v>
      </c>
      <c r="I25" s="570"/>
      <c r="J25" s="609"/>
      <c r="K25" s="610"/>
      <c r="L25" s="610"/>
      <c r="M25" s="611"/>
      <c r="N25" s="610"/>
      <c r="O25" s="612"/>
    </row>
    <row r="26" spans="1:17" s="446" customFormat="1" ht="18.75" customHeight="1" thickBot="1" x14ac:dyDescent="0.35">
      <c r="A26" s="421"/>
      <c r="B26" s="629" t="s">
        <v>107</v>
      </c>
      <c r="C26" s="630">
        <f>C24+C25</f>
        <v>0</v>
      </c>
      <c r="D26" s="631">
        <f>D24+D25</f>
        <v>0</v>
      </c>
      <c r="E26" s="632">
        <f>E24+E25</f>
        <v>0</v>
      </c>
      <c r="F26" s="630">
        <f>F24+F25</f>
        <v>0</v>
      </c>
      <c r="G26" s="630">
        <f>G24+G25</f>
        <v>0</v>
      </c>
      <c r="I26" s="416"/>
      <c r="J26" s="604" t="s">
        <v>106</v>
      </c>
      <c r="K26" s="605">
        <f>K22-K24</f>
        <v>0</v>
      </c>
      <c r="L26" s="605">
        <f>L22-L24</f>
        <v>0</v>
      </c>
      <c r="M26" s="606">
        <f>M22-M24</f>
        <v>0</v>
      </c>
      <c r="N26" s="605">
        <f>N22-N24</f>
        <v>0</v>
      </c>
      <c r="O26" s="607">
        <f>O22-O24</f>
        <v>0</v>
      </c>
      <c r="Q26" s="305"/>
    </row>
    <row r="27" spans="1:17" s="446" customFormat="1" ht="18.75" customHeight="1" thickBot="1" x14ac:dyDescent="0.5">
      <c r="A27" s="408"/>
      <c r="B27" s="445"/>
      <c r="I27" s="545"/>
      <c r="J27" s="625" t="s">
        <v>127</v>
      </c>
      <c r="K27" s="626">
        <f>IF(K26=0,'Ret IRPF'!N11,0)</f>
        <v>-342.19189367873906</v>
      </c>
      <c r="L27" s="626">
        <f>IF(L26=0,'Ret IRPF'!N20,0)</f>
        <v>-585.0900991647643</v>
      </c>
      <c r="M27" s="627">
        <f>IF(M26=0,'Ret IRPF'!N29,0)</f>
        <v>-1142.0699393407554</v>
      </c>
      <c r="N27" s="626">
        <f>IF(N26=0,'Ret IRPF'!N38,0)</f>
        <v>-1457.9028615352006</v>
      </c>
      <c r="O27" s="628">
        <f>IF(O26=0,'Ret IRPF'!N47,0)</f>
        <v>-1805.8982749695851</v>
      </c>
      <c r="Q27" s="305"/>
    </row>
    <row r="28" spans="1:17" ht="18" thickBot="1" x14ac:dyDescent="0.35">
      <c r="I28" s="633"/>
      <c r="J28" s="634" t="s">
        <v>151</v>
      </c>
      <c r="K28" s="635">
        <f>IF(K20=0,0,K23/K20)</f>
        <v>0</v>
      </c>
      <c r="L28" s="635">
        <f t="shared" ref="L28:O28" si="3">IF(L20=0,0,L23/L20)</f>
        <v>0</v>
      </c>
      <c r="M28" s="635">
        <f t="shared" si="3"/>
        <v>0</v>
      </c>
      <c r="N28" s="635">
        <f t="shared" si="3"/>
        <v>0</v>
      </c>
      <c r="O28" s="635">
        <f t="shared" si="3"/>
        <v>0</v>
      </c>
    </row>
    <row r="29" spans="1:17" ht="18" thickBot="1" x14ac:dyDescent="0.35">
      <c r="B29" s="35" t="s">
        <v>236</v>
      </c>
      <c r="C29" s="36">
        <f>'RR HH'!I15</f>
        <v>5550</v>
      </c>
      <c r="D29" s="37">
        <f>C29*(1+Parametros!C14)</f>
        <v>5661</v>
      </c>
      <c r="E29" s="37">
        <f>D29*(1+Parametros!D14)</f>
        <v>5774.22</v>
      </c>
      <c r="F29" s="37">
        <f>E29*(1+Parametros!E14)</f>
        <v>5889.7044000000005</v>
      </c>
      <c r="G29" s="37">
        <f>F29*(1+Parametros!F14)</f>
        <v>6007.4984880000011</v>
      </c>
    </row>
  </sheetData>
  <sheetProtection formatCells="0" formatColumns="0"/>
  <phoneticPr fontId="13" type="noConversion"/>
  <printOptions horizontalCentered="1"/>
  <pageMargins left="0.56999999999999995" right="0.75" top="0.46" bottom="1" header="0" footer="0"/>
  <pageSetup paperSize="9" scale="68" orientation="landscape" horizontalDpi="300" r:id="rId1"/>
  <headerFooter alignWithMargins="0"/>
  <rowBreaks count="1" manualBreakCount="1">
    <brk id="35" max="16383" man="1"/>
  </rowBreaks>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282">
    <tabColor rgb="FF7CC9D0"/>
    <pageSetUpPr fitToPage="1"/>
  </sheetPr>
  <dimension ref="A1:N49"/>
  <sheetViews>
    <sheetView showGridLines="0" workbookViewId="0"/>
  </sheetViews>
  <sheetFormatPr baseColWidth="10" defaultRowHeight="17.25" x14ac:dyDescent="0.3"/>
  <cols>
    <col min="1" max="1" width="26.75" style="307" customWidth="1"/>
    <col min="2" max="2" width="13.5" style="307" customWidth="1"/>
    <col min="3" max="4" width="11" style="307"/>
    <col min="5" max="5" width="14" style="307" customWidth="1"/>
    <col min="6" max="6" width="14.125" style="307" bestFit="1" customWidth="1"/>
    <col min="7" max="7" width="11" style="307"/>
    <col min="8" max="8" width="12" style="307" customWidth="1"/>
    <col min="9" max="10" width="11" style="307"/>
    <col min="11" max="11" width="12" style="307" customWidth="1"/>
    <col min="12" max="13" width="11" style="307"/>
    <col min="14" max="14" width="11.75" style="307" bestFit="1" customWidth="1"/>
    <col min="15" max="16" width="8.625" style="307" customWidth="1"/>
    <col min="17" max="17" width="9.875" style="307" customWidth="1"/>
    <col min="18" max="19" width="8.625" style="307" customWidth="1"/>
    <col min="20" max="16384" width="11" style="307"/>
  </cols>
  <sheetData>
    <row r="1" spans="1:14" ht="27.75" x14ac:dyDescent="0.45">
      <c r="A1" s="408" t="s">
        <v>79</v>
      </c>
      <c r="I1" s="496" t="str">
        <f>IF($B$5=0,CONCATENATE("Forma Jurídica: ",'Datos Básicos'!B22),"")</f>
        <v/>
      </c>
    </row>
    <row r="2" spans="1:14" s="446" customFormat="1" ht="27.75" x14ac:dyDescent="0.45">
      <c r="A2" s="408" t="s">
        <v>455</v>
      </c>
      <c r="I2" s="496" t="str">
        <f>IF($B$5=0,"No sujeto I.R.P.F.","")</f>
        <v/>
      </c>
      <c r="N2" s="305"/>
    </row>
    <row r="3" spans="1:14" s="446" customFormat="1" ht="27.75" x14ac:dyDescent="0.45">
      <c r="A3" s="408">
        <f>'Prev.Ventas 0'!A2</f>
        <v>0</v>
      </c>
      <c r="I3" s="496" t="str">
        <f>IF($B$5=0,"TRIBUTACIÓN EN Sociedades","")</f>
        <v/>
      </c>
      <c r="N3" s="305"/>
    </row>
    <row r="5" spans="1:14" ht="19.5" x14ac:dyDescent="0.3">
      <c r="A5" s="1057" t="str">
        <f>IF(B5=0,"",'Datos Básicos'!F25)</f>
        <v>% cuota IRPF (Ing-Gastos)</v>
      </c>
      <c r="B5" s="1058">
        <f>IF(irpf=0,0,irpf)</f>
        <v>0.2</v>
      </c>
    </row>
    <row r="7" spans="1:14" ht="25.5" thickBot="1" x14ac:dyDescent="0.45">
      <c r="A7" s="449" t="s">
        <v>400</v>
      </c>
      <c r="E7" s="409" t="str">
        <f>'Datos Básicos'!B16</f>
        <v>Año 0</v>
      </c>
      <c r="F7" s="470">
        <f>'Datos Básicos'!$B$17</f>
        <v>2026</v>
      </c>
    </row>
    <row r="8" spans="1:14" s="407" customFormat="1" x14ac:dyDescent="0.25">
      <c r="A8" s="1059"/>
      <c r="B8" s="1060" t="str">
        <f>'Datos Gastos Fijos'!D7</f>
        <v>enero</v>
      </c>
      <c r="C8" s="1060" t="str">
        <f>'Datos Gastos Fijos'!E7</f>
        <v>febrero</v>
      </c>
      <c r="D8" s="1060" t="str">
        <f>'Datos Gastos Fijos'!F7</f>
        <v>marzo</v>
      </c>
      <c r="E8" s="1060" t="str">
        <f>'Datos Gastos Fijos'!G7</f>
        <v>abril</v>
      </c>
      <c r="F8" s="1060" t="str">
        <f>'Datos Gastos Fijos'!H7</f>
        <v>mayo</v>
      </c>
      <c r="G8" s="1060" t="str">
        <f>'Datos Gastos Fijos'!I7</f>
        <v>junio</v>
      </c>
      <c r="H8" s="1060" t="str">
        <f>'Datos Gastos Fijos'!J7</f>
        <v>julio</v>
      </c>
      <c r="I8" s="1060" t="str">
        <f>'Datos Gastos Fijos'!K7</f>
        <v>agosto</v>
      </c>
      <c r="J8" s="1060" t="str">
        <f>'Datos Gastos Fijos'!L7</f>
        <v>septiembre</v>
      </c>
      <c r="K8" s="1060" t="str">
        <f>'Datos Gastos Fijos'!M7</f>
        <v>octubre</v>
      </c>
      <c r="L8" s="1060" t="str">
        <f>'Datos Gastos Fijos'!N7</f>
        <v>noviembre</v>
      </c>
      <c r="M8" s="1060" t="str">
        <f>'Datos Gastos Fijos'!O7</f>
        <v>diciembre</v>
      </c>
      <c r="N8" s="1061" t="s">
        <v>865</v>
      </c>
    </row>
    <row r="9" spans="1:14" s="407" customFormat="1" x14ac:dyDescent="0.25">
      <c r="A9" s="718" t="s">
        <v>83</v>
      </c>
      <c r="B9" s="1062">
        <f>'Prev.Ventas 0'!B25*retIRPF</f>
        <v>0</v>
      </c>
      <c r="C9" s="1062">
        <f>'Prev.Ventas 0'!C25*retIRPF</f>
        <v>0</v>
      </c>
      <c r="D9" s="1062">
        <f>'Prev.Ventas 0'!D25*retIRPF</f>
        <v>0</v>
      </c>
      <c r="E9" s="1062">
        <f>'Prev.Ventas 0'!E25*retIRPF</f>
        <v>0</v>
      </c>
      <c r="F9" s="1062">
        <f>'Prev.Ventas 0'!F25*retIRPF</f>
        <v>0</v>
      </c>
      <c r="G9" s="1062">
        <f>'Prev.Ventas 0'!G25*retIRPF</f>
        <v>0</v>
      </c>
      <c r="H9" s="1062">
        <f>'Prev.Ventas 0'!H25*retIRPF</f>
        <v>0</v>
      </c>
      <c r="I9" s="1062">
        <f>'Prev.Ventas 0'!I25*retIRPF</f>
        <v>0</v>
      </c>
      <c r="J9" s="1062">
        <f>'Prev.Ventas 0'!J25*retIRPF</f>
        <v>0</v>
      </c>
      <c r="K9" s="1062">
        <f>'Prev.Ventas 0'!K25*retIRPF</f>
        <v>0</v>
      </c>
      <c r="L9" s="1062">
        <f>'Prev.Ventas 0'!L25*retIRPF</f>
        <v>0</v>
      </c>
      <c r="M9" s="1062">
        <f>'Prev.Ventas 0'!M25*retIRPF</f>
        <v>0</v>
      </c>
      <c r="N9" s="1063">
        <f>SUM(B9:M9)</f>
        <v>0</v>
      </c>
    </row>
    <row r="10" spans="1:14" s="407" customFormat="1" x14ac:dyDescent="0.25">
      <c r="A10" s="718" t="s">
        <v>84</v>
      </c>
      <c r="B10" s="1062">
        <f>IF($B$5=0,0,'G.F. 0'!C48+'Prev.Ventas 0'!B39-SUM('G.F. 0'!C11:C12)+'Gastos Financieros'!C15-'Gastos Financieros'!C59+'PyG 0'!B15)</f>
        <v>88.720000000000027</v>
      </c>
      <c r="C10" s="1062">
        <f>IF($B$5=0,0,'G.F. 0'!D48+'Prev.Ventas 0'!C39-SUM('G.F. 0'!D11:D12)+'Gastos Financieros'!D15-'Gastos Financieros'!D59+'PyG 0'!C15)</f>
        <v>108.02670000000003</v>
      </c>
      <c r="D10" s="1062">
        <f>IF($B$5=0,0,'G.F. 0'!E48+'Prev.Ventas 0'!D39-SUM('G.F. 0'!E11:E12)+'Gastos Financieros'!E15-'Gastos Financieros'!E59+'PyG 0'!D15)</f>
        <v>115.77935575000002</v>
      </c>
      <c r="E10" s="1062">
        <f>IF($B$5=0,0,'G.F. 0'!F48+'Prev.Ventas 0'!E39-SUM('G.F. 0'!F11:F12)+'Gastos Financieros'!F15-'Gastos Financieros'!F59+'PyG 0'!E15)</f>
        <v>123.57723532520836</v>
      </c>
      <c r="F10" s="1062">
        <f>IF($B$5=0,0,'G.F. 0'!G48+'Prev.Ventas 0'!F39-SUM('G.F. 0'!G11:G12)+'Gastos Financieros'!G15-'Gastos Financieros'!G59+'PyG 0'!F15)</f>
        <v>131.4206025312721</v>
      </c>
      <c r="G10" s="1062">
        <f>IF($B$5=0,0,'G.F. 0'!H48+'Prev.Ventas 0'!G39-SUM('G.F. 0'!H11:H12)+'Gastos Financieros'!H15-'Gastos Financieros'!H59+'PyG 0'!G15)</f>
        <v>139.30972271270451</v>
      </c>
      <c r="H10" s="1062">
        <f>IF($B$5=0,0,'G.F. 0'!I48+'Prev.Ventas 0'!H39-SUM('G.F. 0'!I11:I12)+'Gastos Financieros'!I15-'Gastos Financieros'!I59+'PyG 0'!H15)</f>
        <v>147.24486276186195</v>
      </c>
      <c r="I10" s="1062">
        <f>IF($B$5=0,0,'G.F. 0'!J48+'Prev.Ventas 0'!I39-SUM('G.F. 0'!J11:J12)+'Gastos Financieros'!J15-'Gastos Financieros'!J59+'PyG 0'!I15)</f>
        <v>155.22629112797279</v>
      </c>
      <c r="J10" s="1062">
        <f>IF($B$5=0,0,'G.F. 0'!K48+'Prev.Ventas 0'!J39-SUM('G.F. 0'!K11:K12)+'Gastos Financieros'!K15-'Gastos Financieros'!K59+'PyG 0'!J15)</f>
        <v>163.25427782621932</v>
      </c>
      <c r="K10" s="1062">
        <f>IF($B$5=0,0,'G.F. 0'!L48+'Prev.Ventas 0'!K39-SUM('G.F. 0'!L11:L12)+'Gastos Financieros'!L15-'Gastos Financieros'!L59+'PyG 0'!K15)</f>
        <v>171.32909444687226</v>
      </c>
      <c r="L10" s="1062">
        <f>IF($B$5=0,0,'G.F. 0'!M48+'Prev.Ventas 0'!L39-SUM('G.F. 0'!M11:M12)+'Gastos Financieros'!M15-'Gastos Financieros'!M59+'PyG 0'!L15)</f>
        <v>179.45101416447901</v>
      </c>
      <c r="M10" s="1062">
        <f>IF($B$5=0,0,'G.F. 0'!N48+'Prev.Ventas 0'!M39-SUM('G.F. 0'!N11:N12)+'Gastos Financieros'!N15-'Gastos Financieros'!N59+'PyG 0'!M15)</f>
        <v>187.62031174710512</v>
      </c>
      <c r="N10" s="1063">
        <f>SUM(B10:M10)</f>
        <v>1710.9594683936953</v>
      </c>
    </row>
    <row r="11" spans="1:14" s="407" customFormat="1" x14ac:dyDescent="0.25">
      <c r="A11" s="1064" t="s">
        <v>85</v>
      </c>
      <c r="B11" s="1065">
        <v>0</v>
      </c>
      <c r="C11" s="1065"/>
      <c r="D11" s="1065"/>
      <c r="E11" s="1065">
        <f>$B$5*(SUM('Prev.Ventas 0'!B25:D25)-SUM(B10:D10))</f>
        <v>-62.505211150000015</v>
      </c>
      <c r="F11" s="1065"/>
      <c r="G11" s="1065"/>
      <c r="H11" s="1065">
        <f>$B$5*(SUM('Prev.Ventas 0'!$B25:G25)-SUM($B10:G10))</f>
        <v>-141.366723263837</v>
      </c>
      <c r="I11" s="1065"/>
      <c r="J11" s="1065"/>
      <c r="K11" s="1065">
        <f>$B$5*(SUM('Prev.Ventas 0'!$B25:J25)-SUM($B10:J10))</f>
        <v>-234.51180960704778</v>
      </c>
      <c r="L11" s="1065"/>
      <c r="M11" s="1065"/>
      <c r="N11" s="1063">
        <f>$B$5*(SUM('Prev.Ventas 0'!$B25:M25)-SUM($B10:M10))</f>
        <v>-342.19189367873906</v>
      </c>
    </row>
    <row r="12" spans="1:14" s="407" customFormat="1" x14ac:dyDescent="0.25">
      <c r="A12" s="1066"/>
      <c r="B12" s="1067"/>
      <c r="C12" s="1067"/>
      <c r="D12" s="1067"/>
      <c r="E12" s="1067"/>
      <c r="F12" s="1067"/>
      <c r="G12" s="1067"/>
      <c r="H12" s="1067"/>
      <c r="I12" s="1067"/>
      <c r="J12" s="1067"/>
      <c r="K12" s="1067"/>
      <c r="L12" s="1067"/>
      <c r="M12" s="1067"/>
      <c r="N12" s="1068"/>
    </row>
    <row r="13" spans="1:14" s="407" customFormat="1" ht="19.5" customHeight="1" thickBot="1" x14ac:dyDescent="0.3">
      <c r="A13" s="1073" t="s">
        <v>86</v>
      </c>
      <c r="B13" s="1069">
        <v>0</v>
      </c>
      <c r="C13" s="1070"/>
      <c r="D13" s="1070"/>
      <c r="E13" s="1070">
        <f>MAX(E11-SUM($B9:D9)-SUM($C13:D13),0)</f>
        <v>0</v>
      </c>
      <c r="F13" s="1070"/>
      <c r="G13" s="1070"/>
      <c r="H13" s="1070">
        <f>MAX(H11-SUM($B9:G9)-SUM($C13:G13),0)</f>
        <v>0</v>
      </c>
      <c r="I13" s="1070"/>
      <c r="J13" s="1070"/>
      <c r="K13" s="1070">
        <f>MAX(K11-SUM($B9:J9)-SUM($C13:J13),0)</f>
        <v>0</v>
      </c>
      <c r="L13" s="1070"/>
      <c r="M13" s="1070"/>
      <c r="N13" s="1071">
        <f>MAX(N11-N9-SUM($C13:M13),0)</f>
        <v>0</v>
      </c>
    </row>
    <row r="14" spans="1:14" x14ac:dyDescent="0.3">
      <c r="B14" s="1016">
        <v>1</v>
      </c>
      <c r="C14" s="1016">
        <v>2</v>
      </c>
      <c r="D14" s="1016">
        <v>3</v>
      </c>
      <c r="E14" s="1016">
        <v>4</v>
      </c>
      <c r="F14" s="1016">
        <v>5</v>
      </c>
      <c r="G14" s="1016">
        <v>6</v>
      </c>
      <c r="H14" s="1016">
        <v>7</v>
      </c>
      <c r="I14" s="1016">
        <v>8</v>
      </c>
      <c r="J14" s="1016">
        <v>9</v>
      </c>
      <c r="K14" s="1016">
        <v>10</v>
      </c>
      <c r="L14" s="1016">
        <v>11</v>
      </c>
      <c r="M14" s="1016">
        <v>12</v>
      </c>
    </row>
    <row r="16" spans="1:14" ht="25.5" thickBot="1" x14ac:dyDescent="0.45">
      <c r="A16" s="449" t="str">
        <f>A7</f>
        <v>Retenciones y pagos a cuenta del I.R.P.F.</v>
      </c>
      <c r="E16" s="1072">
        <f>'Datos Básicos'!C16</f>
        <v>1</v>
      </c>
      <c r="F16" s="470">
        <f>F7+1</f>
        <v>2027</v>
      </c>
    </row>
    <row r="17" spans="1:14" s="407" customFormat="1" x14ac:dyDescent="0.25">
      <c r="A17" s="1059"/>
      <c r="B17" s="1060" t="str">
        <f t="shared" ref="B17:M17" si="0">B$8</f>
        <v>enero</v>
      </c>
      <c r="C17" s="1060" t="str">
        <f t="shared" si="0"/>
        <v>febrero</v>
      </c>
      <c r="D17" s="1060" t="str">
        <f t="shared" si="0"/>
        <v>marzo</v>
      </c>
      <c r="E17" s="1060" t="str">
        <f t="shared" si="0"/>
        <v>abril</v>
      </c>
      <c r="F17" s="1060" t="str">
        <f t="shared" si="0"/>
        <v>mayo</v>
      </c>
      <c r="G17" s="1060" t="str">
        <f t="shared" si="0"/>
        <v>junio</v>
      </c>
      <c r="H17" s="1060" t="str">
        <f t="shared" si="0"/>
        <v>julio</v>
      </c>
      <c r="I17" s="1060" t="str">
        <f t="shared" si="0"/>
        <v>agosto</v>
      </c>
      <c r="J17" s="1060" t="str">
        <f t="shared" si="0"/>
        <v>septiembre</v>
      </c>
      <c r="K17" s="1060" t="str">
        <f t="shared" si="0"/>
        <v>octubre</v>
      </c>
      <c r="L17" s="1060" t="str">
        <f t="shared" si="0"/>
        <v>noviembre</v>
      </c>
      <c r="M17" s="1060" t="str">
        <f t="shared" si="0"/>
        <v>diciembre</v>
      </c>
      <c r="N17" s="1061" t="s">
        <v>865</v>
      </c>
    </row>
    <row r="18" spans="1:14" s="407" customFormat="1" x14ac:dyDescent="0.25">
      <c r="A18" s="718" t="s">
        <v>83</v>
      </c>
      <c r="B18" s="1062">
        <f>'Prev.Ventas 1'!B25*retIRPF</f>
        <v>0</v>
      </c>
      <c r="C18" s="1062">
        <f>'Prev.Ventas 1'!C25*retIRPF</f>
        <v>0</v>
      </c>
      <c r="D18" s="1062">
        <f>'Prev.Ventas 1'!D25*retIRPF</f>
        <v>0</v>
      </c>
      <c r="E18" s="1062">
        <f>'Prev.Ventas 1'!E25*retIRPF</f>
        <v>0</v>
      </c>
      <c r="F18" s="1062">
        <f>'Prev.Ventas 1'!F25*retIRPF</f>
        <v>0</v>
      </c>
      <c r="G18" s="1062">
        <f>'Prev.Ventas 1'!G25*retIRPF</f>
        <v>0</v>
      </c>
      <c r="H18" s="1062">
        <f>'Prev.Ventas 1'!H25*retIRPF</f>
        <v>0</v>
      </c>
      <c r="I18" s="1062">
        <f>'Prev.Ventas 1'!I25*retIRPF</f>
        <v>0</v>
      </c>
      <c r="J18" s="1062">
        <f>'Prev.Ventas 1'!J25*retIRPF</f>
        <v>0</v>
      </c>
      <c r="K18" s="1062">
        <f>'Prev.Ventas 1'!K25*retIRPF</f>
        <v>0</v>
      </c>
      <c r="L18" s="1062">
        <f>'Prev.Ventas 1'!L25*retIRPF</f>
        <v>0</v>
      </c>
      <c r="M18" s="1062">
        <f>'Prev.Ventas 1'!M25*retIRPF</f>
        <v>0</v>
      </c>
      <c r="N18" s="1063">
        <f>SUM(B18:M18)</f>
        <v>0</v>
      </c>
    </row>
    <row r="19" spans="1:14" s="407" customFormat="1" x14ac:dyDescent="0.25">
      <c r="A19" s="718" t="s">
        <v>84</v>
      </c>
      <c r="B19" s="1062">
        <f>IF($B$5=0,0,'G.F. 1'!C48+'Prev.Ventas 1'!B39-SUM('G.F. 1'!C11:C12)+'Gastos Financieros'!C24-'Gastos Financieros'!C64+'PyG 1'!B15)</f>
        <v>195.83726356562994</v>
      </c>
      <c r="C19" s="1062">
        <f>IF($B$5=0,0,'G.F. 1'!D48+'Prev.Ventas 1'!C39-SUM('G.F. 1'!D11:D12)+'Gastos Financieros'!D24-'Gastos Financieros'!D64+'PyG 1'!C15)</f>
        <v>204.38704760309611</v>
      </c>
      <c r="D19" s="1062">
        <f>IF($B$5=0,0,'G.F. 1'!E48+'Prev.Ventas 1'!D39-SUM('G.F. 1'!E11:E12)+'Gastos Financieros'!E24-'Gastos Financieros'!E64+'PyG 1'!D15)</f>
        <v>212.98670538078085</v>
      </c>
      <c r="E19" s="1062">
        <f>IF($B$5=0,0,'G.F. 1'!F48+'Prev.Ventas 1'!E39-SUM('G.F. 1'!F11:F12)+'Gastos Financieros'!F24-'Gastos Financieros'!F64+'PyG 1'!E15)</f>
        <v>221.6365278288354</v>
      </c>
      <c r="F19" s="1062">
        <f>IF($B$5=0,0,'G.F. 1'!G48+'Prev.Ventas 1'!F39-SUM('G.F. 1'!G11:G12)+'Gastos Financieros'!G24-'Gastos Financieros'!G64+'PyG 1'!F15)</f>
        <v>230.33680757450358</v>
      </c>
      <c r="G19" s="1062">
        <f>IF($B$5=0,0,'G.F. 1'!H48+'Prev.Ventas 1'!G39-SUM('G.F. 1'!H11:H12)+'Gastos Financieros'!H24-'Gastos Financieros'!H64+'PyG 1'!G15)</f>
        <v>239.08783895202151</v>
      </c>
      <c r="H19" s="1062">
        <f>IF($B$5=0,0,'G.F. 1'!I48+'Prev.Ventas 1'!H39-SUM('G.F. 1'!I11:I12)+'Gastos Financieros'!I24-'Gastos Financieros'!I64+'PyG 1'!H15)</f>
        <v>247.88991801257498</v>
      </c>
      <c r="I19" s="1062">
        <f>IF($B$5=0,0,'G.F. 1'!J48+'Prev.Ventas 1'!I39-SUM('G.F. 1'!J11:J12)+'Gastos Financieros'!J24-'Gastos Financieros'!J64+'PyG 1'!I15)</f>
        <v>256.74334253431499</v>
      </c>
      <c r="J19" s="1062">
        <f>IF($B$5=0,0,'G.F. 1'!K48+'Prev.Ventas 1'!J39-SUM('G.F. 1'!K11:K12)+'Gastos Financieros'!K24-'Gastos Financieros'!K64+'PyG 1'!J15)</f>
        <v>265.64841203243185</v>
      </c>
      <c r="K19" s="1062">
        <f>IF($B$5=0,0,'G.F. 1'!L48+'Prev.Ventas 1'!K39-SUM('G.F. 1'!L11:L12)+'Gastos Financieros'!L24-'Gastos Financieros'!L64+'PyG 1'!K15)</f>
        <v>274.6054277692877</v>
      </c>
      <c r="L19" s="1062">
        <f>IF($B$5=0,0,'G.F. 1'!M48+'Prev.Ventas 1'!L39-SUM('G.F. 1'!M11:M12)+'Gastos Financieros'!M24-'Gastos Financieros'!M64+'PyG 1'!L15)</f>
        <v>283.61469276460855</v>
      </c>
      <c r="M19" s="1062">
        <f>IF($B$5=0,0,'G.F. 1'!N48+'Prev.Ventas 1'!M39-SUM('G.F. 1'!N11:N12)+'Gastos Financieros'!N24-'Gastos Financieros'!N64+'PyG 1'!M15)</f>
        <v>292.67651180573546</v>
      </c>
      <c r="N19" s="1063">
        <f>SUM(B19:M19)</f>
        <v>2925.4504958238213</v>
      </c>
    </row>
    <row r="20" spans="1:14" s="407" customFormat="1" x14ac:dyDescent="0.25">
      <c r="A20" s="1064" t="s">
        <v>85</v>
      </c>
      <c r="B20" s="1065">
        <v>0</v>
      </c>
      <c r="C20" s="1065"/>
      <c r="D20" s="1065"/>
      <c r="E20" s="1065">
        <f>$B$5*(SUM('Prev.Ventas 1'!B25:D25)-SUM(B19:D19))</f>
        <v>-122.64220330990139</v>
      </c>
      <c r="F20" s="1065"/>
      <c r="G20" s="1065"/>
      <c r="H20" s="1065">
        <f>$B$5*(SUM('Prev.Ventas 1'!$B25:G25)-SUM($B19:G19))</f>
        <v>-260.85443818097349</v>
      </c>
      <c r="I20" s="1065"/>
      <c r="J20" s="1065"/>
      <c r="K20" s="1065">
        <f>$B$5*(SUM('Prev.Ventas 1'!$B25:J25)-SUM($B19:J19))</f>
        <v>-414.91077269683785</v>
      </c>
      <c r="L20" s="1065"/>
      <c r="M20" s="1065"/>
      <c r="N20" s="1063">
        <f>$B$5*(SUM('Prev.Ventas 1'!$B25:M25)-N19)</f>
        <v>-585.0900991647643</v>
      </c>
    </row>
    <row r="21" spans="1:14" s="407" customFormat="1" x14ac:dyDescent="0.25">
      <c r="A21" s="1066"/>
      <c r="B21" s="1067"/>
      <c r="C21" s="1067"/>
      <c r="D21" s="1067"/>
      <c r="E21" s="1067"/>
      <c r="F21" s="1067"/>
      <c r="G21" s="1067"/>
      <c r="H21" s="1067"/>
      <c r="I21" s="1067"/>
      <c r="J21" s="1067"/>
      <c r="K21" s="1067"/>
      <c r="L21" s="1067"/>
      <c r="M21" s="1067"/>
      <c r="N21" s="1068"/>
    </row>
    <row r="22" spans="1:14" s="407" customFormat="1" ht="19.5" customHeight="1" thickBot="1" x14ac:dyDescent="0.3">
      <c r="A22" s="1073" t="s">
        <v>86</v>
      </c>
      <c r="B22" s="1069">
        <f>N13</f>
        <v>0</v>
      </c>
      <c r="C22" s="1070"/>
      <c r="D22" s="1070"/>
      <c r="E22" s="1070">
        <f>MAX(E20-SUM($B18:D18)-SUM($C22:D22),0)</f>
        <v>0</v>
      </c>
      <c r="F22" s="1070"/>
      <c r="G22" s="1070"/>
      <c r="H22" s="1070">
        <f>MAX(H20-SUM($B18:G18)-SUM($C22:G22),0)</f>
        <v>0</v>
      </c>
      <c r="I22" s="1070"/>
      <c r="J22" s="1070"/>
      <c r="K22" s="1070">
        <f>MAX(K20-SUM($B18:J18)-SUM($C22:J22),0)</f>
        <v>0</v>
      </c>
      <c r="L22" s="1070"/>
      <c r="M22" s="1070"/>
      <c r="N22" s="1071">
        <f>MAX(N20-N18-SUM($C22:M22),0)</f>
        <v>0</v>
      </c>
    </row>
    <row r="25" spans="1:14" ht="25.5" thickBot="1" x14ac:dyDescent="0.45">
      <c r="A25" s="449" t="str">
        <f>A7</f>
        <v>Retenciones y pagos a cuenta del I.R.P.F.</v>
      </c>
      <c r="E25" s="1072">
        <f>E16+1</f>
        <v>2</v>
      </c>
      <c r="F25" s="470">
        <f>F16+1</f>
        <v>2028</v>
      </c>
    </row>
    <row r="26" spans="1:14" s="407" customFormat="1" x14ac:dyDescent="0.25">
      <c r="A26" s="1059"/>
      <c r="B26" s="1060" t="str">
        <f t="shared" ref="B26:M26" si="1">B$8</f>
        <v>enero</v>
      </c>
      <c r="C26" s="1060" t="str">
        <f t="shared" si="1"/>
        <v>febrero</v>
      </c>
      <c r="D26" s="1060" t="str">
        <f t="shared" si="1"/>
        <v>marzo</v>
      </c>
      <c r="E26" s="1060" t="str">
        <f t="shared" si="1"/>
        <v>abril</v>
      </c>
      <c r="F26" s="1060" t="str">
        <f t="shared" si="1"/>
        <v>mayo</v>
      </c>
      <c r="G26" s="1060" t="str">
        <f t="shared" si="1"/>
        <v>junio</v>
      </c>
      <c r="H26" s="1060" t="str">
        <f t="shared" si="1"/>
        <v>julio</v>
      </c>
      <c r="I26" s="1060" t="str">
        <f t="shared" si="1"/>
        <v>agosto</v>
      </c>
      <c r="J26" s="1060" t="str">
        <f t="shared" si="1"/>
        <v>septiembre</v>
      </c>
      <c r="K26" s="1060" t="str">
        <f t="shared" si="1"/>
        <v>octubre</v>
      </c>
      <c r="L26" s="1060" t="str">
        <f t="shared" si="1"/>
        <v>noviembre</v>
      </c>
      <c r="M26" s="1060" t="str">
        <f t="shared" si="1"/>
        <v>diciembre</v>
      </c>
      <c r="N26" s="1061" t="s">
        <v>865</v>
      </c>
    </row>
    <row r="27" spans="1:14" s="407" customFormat="1" x14ac:dyDescent="0.25">
      <c r="A27" s="718" t="s">
        <v>83</v>
      </c>
      <c r="B27" s="1062">
        <f>'Prev.Ventas 2'!B25*retIRPF</f>
        <v>0</v>
      </c>
      <c r="C27" s="1062">
        <f>'Prev.Ventas 2'!C25*retIRPF</f>
        <v>0</v>
      </c>
      <c r="D27" s="1062">
        <f>'Prev.Ventas 2'!D25*retIRPF</f>
        <v>0</v>
      </c>
      <c r="E27" s="1062">
        <f>'Prev.Ventas 2'!E25*retIRPF</f>
        <v>0</v>
      </c>
      <c r="F27" s="1062">
        <f>'Prev.Ventas 2'!F25*retIRPF</f>
        <v>0</v>
      </c>
      <c r="G27" s="1062">
        <f>'Prev.Ventas 2'!G25*retIRPF</f>
        <v>0</v>
      </c>
      <c r="H27" s="1062">
        <f>'Prev.Ventas 2'!H25*retIRPF</f>
        <v>0</v>
      </c>
      <c r="I27" s="1062">
        <f>'Prev.Ventas 2'!I25*retIRPF</f>
        <v>0</v>
      </c>
      <c r="J27" s="1062">
        <f>'Prev.Ventas 2'!J25*retIRPF</f>
        <v>0</v>
      </c>
      <c r="K27" s="1062">
        <f>'Prev.Ventas 2'!K25*retIRPF</f>
        <v>0</v>
      </c>
      <c r="L27" s="1062">
        <f>'Prev.Ventas 2'!L25*retIRPF</f>
        <v>0</v>
      </c>
      <c r="M27" s="1062">
        <f>'Prev.Ventas 2'!M25*retIRPF</f>
        <v>0</v>
      </c>
      <c r="N27" s="1063">
        <f>SUM(B27:M27)</f>
        <v>0</v>
      </c>
    </row>
    <row r="28" spans="1:14" s="407" customFormat="1" x14ac:dyDescent="0.25">
      <c r="A28" s="718" t="s">
        <v>84</v>
      </c>
      <c r="B28" s="1062">
        <f>IF($B$5=0,0,'G.F. 2'!$C$48+'Prev.Ventas 2'!$B$39-SUM('G.F. 2'!$C$11:$C$12)+'Gastos Financieros'!C33-'Gastos Financieros'!C69+'PyG 2'!$B$15)</f>
        <v>418.95119145793564</v>
      </c>
      <c r="C28" s="1062">
        <f>IF($B$5=0,0,'G.F. 2'!D48+'Prev.Ventas 2'!C39-SUM('G.F. 2'!D11:D12)+'Gastos Financieros'!D33-'Gastos Financieros'!D69+'PyG 2'!C15)</f>
        <v>429.09876940810693</v>
      </c>
      <c r="D28" s="1062">
        <f>IF($B$5=0,0,'G.F. 2'!E48+'Prev.Ventas 2'!D39-SUM('G.F. 2'!E11:E12)+'Gastos Financieros'!E33-'Gastos Financieros'!E69+'PyG 2'!D15)</f>
        <v>439.30554156298751</v>
      </c>
      <c r="E28" s="1062">
        <f>IF($B$5=0,0,'G.F. 2'!F48+'Prev.Ventas 2'!E39-SUM('G.F. 2'!F11:F12)+'Gastos Financieros'!F33-'Gastos Financieros'!F69+'PyG 2'!E15)</f>
        <v>449.57185322210495</v>
      </c>
      <c r="F28" s="1062">
        <f>IF($B$5=0,0,'G.F. 2'!G48+'Prev.Ventas 2'!F39-SUM('G.F. 2'!G11:G12)+'Gastos Financieros'!G33-'Gastos Financieros'!G69+'PyG 2'!F15)</f>
        <v>459.89805169923392</v>
      </c>
      <c r="G28" s="1062">
        <f>IF($B$5=0,0,'G.F. 2'!H48+'Prev.Ventas 2'!G39-SUM('G.F. 2'!H11:H12)+'Gastos Financieros'!H33-'Gastos Financieros'!H69+'PyG 2'!G15)</f>
        <v>470.2844863341461</v>
      </c>
      <c r="H28" s="1062">
        <f>IF($B$5=0,0,'G.F. 2'!I48+'Prev.Ventas 2'!H39-SUM('G.F. 2'!I11:I12)+'Gastos Financieros'!I33-'Gastos Financieros'!I69+'PyG 2'!H15)</f>
        <v>480.73150850442863</v>
      </c>
      <c r="I28" s="1062">
        <f>IF($B$5=0,0,'G.F. 2'!J48+'Prev.Ventas 2'!I39-SUM('G.F. 2'!J11:J12)+'Gastos Financieros'!J33-'Gastos Financieros'!J69+'PyG 2'!I15)</f>
        <v>491.23947163737114</v>
      </c>
      <c r="J28" s="1062">
        <f>IF($B$5=0,0,'G.F. 2'!K48+'Prev.Ventas 2'!J39-SUM('G.F. 2'!K11:K12)+'Gastos Financieros'!K33-'Gastos Financieros'!K69+'PyG 2'!J15)</f>
        <v>501.80873122192241</v>
      </c>
      <c r="K28" s="1062">
        <f>IF($B$5=0,0,'G.F. 2'!L48+'Prev.Ventas 2'!K39-SUM('G.F. 2'!L11:L12)+'Gastos Financieros'!L33-'Gastos Financieros'!L69+'PyG 2'!K15)</f>
        <v>512.43964482071692</v>
      </c>
      <c r="L28" s="1062">
        <f>IF($B$5=0,0,'G.F. 2'!M48+'Prev.Ventas 2'!L39-SUM('G.F. 2'!M11:M12)+'Gastos Financieros'!M33-'Gastos Financieros'!M69+'PyG 2'!L15)</f>
        <v>523.13257208217124</v>
      </c>
      <c r="M28" s="1062">
        <f>IF($B$5=0,0,'G.F. 2'!N48+'Prev.Ventas 2'!M39-SUM('G.F. 2'!N11:N12)+'Gastos Financieros'!N33-'Gastos Financieros'!N69+'PyG 2'!M15)</f>
        <v>533.88787475265053</v>
      </c>
      <c r="N28" s="1063">
        <f>SUM(B28:M28)</f>
        <v>5710.3496967037763</v>
      </c>
    </row>
    <row r="29" spans="1:14" s="407" customFormat="1" x14ac:dyDescent="0.25">
      <c r="A29" s="1064" t="s">
        <v>85</v>
      </c>
      <c r="B29" s="1065">
        <v>0</v>
      </c>
      <c r="C29" s="1065"/>
      <c r="D29" s="1065"/>
      <c r="E29" s="1065">
        <f>$B$5*(SUM('Prev.Ventas 2'!$B25:D25)-SUM(B28:D28))</f>
        <v>-257.47110048580601</v>
      </c>
      <c r="F29" s="1065"/>
      <c r="G29" s="1065"/>
      <c r="H29" s="1065">
        <f>$B$5*(SUM('Prev.Ventas 2'!$B25:G25)-SUM($B28:G28))</f>
        <v>-533.42197873690293</v>
      </c>
      <c r="I29" s="1065"/>
      <c r="J29" s="1065"/>
      <c r="K29" s="1065">
        <f>$B$5*(SUM('Prev.Ventas 2'!$B25:J25)-SUM($B28:J28))</f>
        <v>-828.17792100964743</v>
      </c>
      <c r="L29" s="1065"/>
      <c r="M29" s="1065"/>
      <c r="N29" s="1063">
        <f>$B$5*(SUM('Prev.Ventas 2'!$B25:M25)-N28)</f>
        <v>-1142.0699393407554</v>
      </c>
    </row>
    <row r="30" spans="1:14" s="407" customFormat="1" x14ac:dyDescent="0.25">
      <c r="A30" s="1066"/>
      <c r="B30" s="1067"/>
      <c r="C30" s="1067"/>
      <c r="D30" s="1067"/>
      <c r="E30" s="1067"/>
      <c r="F30" s="1067"/>
      <c r="G30" s="1067"/>
      <c r="H30" s="1067"/>
      <c r="I30" s="1067"/>
      <c r="J30" s="1067"/>
      <c r="K30" s="1067"/>
      <c r="L30" s="1067"/>
      <c r="M30" s="1067"/>
      <c r="N30" s="1068"/>
    </row>
    <row r="31" spans="1:14" s="407" customFormat="1" ht="19.5" customHeight="1" thickBot="1" x14ac:dyDescent="0.3">
      <c r="A31" s="1073" t="s">
        <v>86</v>
      </c>
      <c r="B31" s="1069">
        <f>N22</f>
        <v>0</v>
      </c>
      <c r="C31" s="1070"/>
      <c r="D31" s="1070"/>
      <c r="E31" s="1070">
        <f>MAX(E29-SUM($B27:D27)-SUM($C31:D31),0)</f>
        <v>0</v>
      </c>
      <c r="F31" s="1070"/>
      <c r="G31" s="1070"/>
      <c r="H31" s="1070">
        <f>MAX(H29-SUM($B27:G27)-SUM($C31:G31),0)</f>
        <v>0</v>
      </c>
      <c r="I31" s="1070"/>
      <c r="J31" s="1070"/>
      <c r="K31" s="1070">
        <f>MAX(K29-SUM($B27:J27)-SUM($C31:J31),0)</f>
        <v>0</v>
      </c>
      <c r="L31" s="1070"/>
      <c r="M31" s="1070"/>
      <c r="N31" s="1071">
        <f>MAX(N29-N27-SUM($C31:M31),0)</f>
        <v>0</v>
      </c>
    </row>
    <row r="33" spans="1:14" x14ac:dyDescent="0.3">
      <c r="M33" s="374"/>
    </row>
    <row r="34" spans="1:14" ht="25.5" thickBot="1" x14ac:dyDescent="0.45">
      <c r="A34" s="449" t="str">
        <f>A16</f>
        <v>Retenciones y pagos a cuenta del I.R.P.F.</v>
      </c>
      <c r="E34" s="1072">
        <f>E25+1</f>
        <v>3</v>
      </c>
      <c r="F34" s="470">
        <f>F25+1</f>
        <v>2029</v>
      </c>
    </row>
    <row r="35" spans="1:14" s="407" customFormat="1" x14ac:dyDescent="0.25">
      <c r="A35" s="1059"/>
      <c r="B35" s="1060" t="str">
        <f t="shared" ref="B35:M35" si="2">B$8</f>
        <v>enero</v>
      </c>
      <c r="C35" s="1060" t="str">
        <f t="shared" si="2"/>
        <v>febrero</v>
      </c>
      <c r="D35" s="1060" t="str">
        <f t="shared" si="2"/>
        <v>marzo</v>
      </c>
      <c r="E35" s="1060" t="str">
        <f t="shared" si="2"/>
        <v>abril</v>
      </c>
      <c r="F35" s="1060" t="str">
        <f t="shared" si="2"/>
        <v>mayo</v>
      </c>
      <c r="G35" s="1060" t="str">
        <f t="shared" si="2"/>
        <v>junio</v>
      </c>
      <c r="H35" s="1060" t="str">
        <f t="shared" si="2"/>
        <v>julio</v>
      </c>
      <c r="I35" s="1060" t="str">
        <f t="shared" si="2"/>
        <v>agosto</v>
      </c>
      <c r="J35" s="1060" t="str">
        <f t="shared" si="2"/>
        <v>septiembre</v>
      </c>
      <c r="K35" s="1060" t="str">
        <f t="shared" si="2"/>
        <v>octubre</v>
      </c>
      <c r="L35" s="1060" t="str">
        <f t="shared" si="2"/>
        <v>noviembre</v>
      </c>
      <c r="M35" s="1060" t="str">
        <f t="shared" si="2"/>
        <v>diciembre</v>
      </c>
      <c r="N35" s="1061" t="s">
        <v>865</v>
      </c>
    </row>
    <row r="36" spans="1:14" s="407" customFormat="1" x14ac:dyDescent="0.25">
      <c r="A36" s="718" t="s">
        <v>83</v>
      </c>
      <c r="B36" s="1062">
        <f>'Prev.Ventas 3'!B25*retIRPF</f>
        <v>0</v>
      </c>
      <c r="C36" s="1062">
        <f>'Prev.Ventas 3'!C25*retIRPF</f>
        <v>0</v>
      </c>
      <c r="D36" s="1062">
        <f>'Prev.Ventas 3'!D25*retIRPF</f>
        <v>0</v>
      </c>
      <c r="E36" s="1062">
        <f>'Prev.Ventas 3'!E25*retIRPF</f>
        <v>0</v>
      </c>
      <c r="F36" s="1062">
        <f>'Prev.Ventas 3'!F25*retIRPF</f>
        <v>0</v>
      </c>
      <c r="G36" s="1062">
        <f>'Prev.Ventas 3'!G25*retIRPF</f>
        <v>0</v>
      </c>
      <c r="H36" s="1062">
        <f>'Prev.Ventas 3'!H25*retIRPF</f>
        <v>0</v>
      </c>
      <c r="I36" s="1062">
        <f>'Prev.Ventas 3'!I25*retIRPF</f>
        <v>0</v>
      </c>
      <c r="J36" s="1062">
        <f>'Prev.Ventas 3'!J25*retIRPF</f>
        <v>0</v>
      </c>
      <c r="K36" s="1062">
        <f>'Prev.Ventas 3'!K25*retIRPF</f>
        <v>0</v>
      </c>
      <c r="L36" s="1062">
        <f>'Prev.Ventas 3'!L25*retIRPF</f>
        <v>0</v>
      </c>
      <c r="M36" s="1062">
        <f>'Prev.Ventas 3'!M25*retIRPF</f>
        <v>0</v>
      </c>
      <c r="N36" s="1063">
        <f>SUM(B36:M36)</f>
        <v>0</v>
      </c>
    </row>
    <row r="37" spans="1:14" s="407" customFormat="1" x14ac:dyDescent="0.25">
      <c r="A37" s="718" t="s">
        <v>84</v>
      </c>
      <c r="B37" s="1062">
        <f>IF($B$5=0,0,'G.F. 3'!$C$48+'Prev.Ventas 3'!$B$39-SUM('G.F. 3'!$C$11:$C$12)+'Gastos Financieros'!C42-'Gastos Financieros'!C74+'PyG 3'!$B$15)</f>
        <v>544.70591668870748</v>
      </c>
      <c r="C37" s="1062">
        <f>IF($B$5=0,0,'G.F. 3'!$C$48+'Prev.Ventas 3'!$B$39-SUM('G.F. 3'!$C$11:$C$12)+'Gastos Financieros'!D42-'Gastos Financieros'!D74+'PyG 3'!$B$15)</f>
        <v>555.89521170939156</v>
      </c>
      <c r="D37" s="1062">
        <f>IF($B$5=0,0,'G.F. 3'!$C$48+'Prev.Ventas 3'!$B$39-SUM('G.F. 3'!$C$11:$C$12)+'Gastos Financieros'!E42-'Gastos Financieros'!E74+'PyG 3'!$B$15)</f>
        <v>567.14977761769637</v>
      </c>
      <c r="E37" s="1062">
        <f>IF($B$5=0,0,'G.F. 3'!$C$48+'Prev.Ventas 3'!$B$39-SUM('G.F. 3'!$C$11:$C$12)+'Gastos Financieros'!F42-'Gastos Financieros'!F74+'PyG 3'!$B$15)</f>
        <v>578.46999516046617</v>
      </c>
      <c r="F37" s="1062">
        <f>IF($B$5=0,0,'G.F. 3'!$C$48+'Prev.Ventas 3'!$B$39-SUM('G.F. 3'!$C$11:$C$12)+'Gastos Financieros'!G42-'Gastos Financieros'!G74+'PyG 3'!$B$15)</f>
        <v>589.85624730556901</v>
      </c>
      <c r="G37" s="1062">
        <f>IF($B$5=0,0,'G.F. 3'!$C$48+'Prev.Ventas 3'!$B$39-SUM('G.F. 3'!$C$11:$C$12)+'Gastos Financieros'!H42-'Gastos Financieros'!H74+'PyG 3'!$B$15)</f>
        <v>601.30891925485139</v>
      </c>
      <c r="H37" s="1062">
        <f>IF($B$5=0,0,'G.F. 3'!$C$48+'Prev.Ventas 3'!$B$39-SUM('G.F. 3'!$C$11:$C$12)+'Gastos Financieros'!I42-'Gastos Financieros'!I74+'PyG 3'!$B$15)</f>
        <v>612.82839845717137</v>
      </c>
      <c r="I37" s="1062">
        <f>IF($B$5=0,0,'G.F. 3'!$C$48+'Prev.Ventas 3'!$B$39-SUM('G.F. 3'!$C$11:$C$12)+'Gastos Financieros'!J42-'Gastos Financieros'!J74+'PyG 3'!$B$15)</f>
        <v>624.41507462150491</v>
      </c>
      <c r="J37" s="1062">
        <f>IF($B$5=0,0,'G.F. 3'!$C$48+'Prev.Ventas 3'!$B$39-SUM('G.F. 3'!$C$11:$C$12)+'Gastos Financieros'!K42-'Gastos Financieros'!K74+'PyG 3'!$B$15)</f>
        <v>636.06933973013031</v>
      </c>
      <c r="K37" s="1062">
        <f>IF($B$5=0,0,'G.F. 3'!$C$48+'Prev.Ventas 3'!$B$39-SUM('G.F. 3'!$C$11:$C$12)+'Gastos Financieros'!L42-'Gastos Financieros'!L74+'PyG 3'!$B$15)</f>
        <v>647.79158805188945</v>
      </c>
      <c r="L37" s="1062">
        <f>IF($B$5=0,0,'G.F. 3'!$C$48+'Prev.Ventas 3'!$B$39-SUM('G.F. 3'!$C$11:$C$12)+'Gastos Financieros'!M42-'Gastos Financieros'!M74+'PyG 3'!$B$15)</f>
        <v>659.58221615552543</v>
      </c>
      <c r="M37" s="1062">
        <f>IF($B$5=0,0,'G.F. 3'!$C$48+'Prev.Ventas 3'!$B$39-SUM('G.F. 3'!$C$11:$C$12)+'Gastos Financieros'!N42-'Gastos Financieros'!N74+'PyG 3'!$B$15)</f>
        <v>671.44162292309932</v>
      </c>
      <c r="N37" s="1063">
        <f>SUM(B37:M37)</f>
        <v>7289.5143076760023</v>
      </c>
    </row>
    <row r="38" spans="1:14" s="407" customFormat="1" x14ac:dyDescent="0.25">
      <c r="A38" s="1064" t="s">
        <v>85</v>
      </c>
      <c r="B38" s="1065">
        <v>0</v>
      </c>
      <c r="C38" s="1065"/>
      <c r="D38" s="1065"/>
      <c r="E38" s="1065">
        <f>$B$5*(SUM('Prev.Ventas 3'!$B25:D25)-SUM($B37:D37))</f>
        <v>-333.55018120315913</v>
      </c>
      <c r="F38" s="1065"/>
      <c r="G38" s="1065"/>
      <c r="H38" s="1065">
        <f>$B$5*(SUM('Prev.Ventas 3'!$B25:G25)-SUM($B37:G37))</f>
        <v>-687.47721354733642</v>
      </c>
      <c r="I38" s="1065"/>
      <c r="J38" s="1065"/>
      <c r="K38" s="1065">
        <f>$B$5*(SUM('Prev.Ventas 3'!$B25:J25)-SUM($B37:J37))</f>
        <v>-1062.1397761090977</v>
      </c>
      <c r="L38" s="1065"/>
      <c r="M38" s="1065"/>
      <c r="N38" s="1063">
        <f>$B$5*(SUM('Prev.Ventas 3'!$B25:M25)-N37)</f>
        <v>-1457.9028615352006</v>
      </c>
    </row>
    <row r="39" spans="1:14" s="407" customFormat="1" x14ac:dyDescent="0.25">
      <c r="A39" s="1066"/>
      <c r="B39" s="1067"/>
      <c r="C39" s="1067"/>
      <c r="D39" s="1067"/>
      <c r="E39" s="1067"/>
      <c r="F39" s="1067"/>
      <c r="G39" s="1067"/>
      <c r="H39" s="1067"/>
      <c r="I39" s="1067"/>
      <c r="J39" s="1067"/>
      <c r="K39" s="1067"/>
      <c r="L39" s="1067"/>
      <c r="M39" s="1067"/>
      <c r="N39" s="1068"/>
    </row>
    <row r="40" spans="1:14" s="407" customFormat="1" ht="19.5" customHeight="1" thickBot="1" x14ac:dyDescent="0.3">
      <c r="A40" s="1073" t="s">
        <v>86</v>
      </c>
      <c r="B40" s="1069">
        <f>N31</f>
        <v>0</v>
      </c>
      <c r="C40" s="1070"/>
      <c r="D40" s="1070"/>
      <c r="E40" s="1070">
        <f>MAX(E38-SUM($B36:D36)-SUM($C40:D40),0)</f>
        <v>0</v>
      </c>
      <c r="F40" s="1070"/>
      <c r="G40" s="1070"/>
      <c r="H40" s="1070">
        <f>MAX(H38-SUM($B36:G36)-SUM($C40:G40),0)</f>
        <v>0</v>
      </c>
      <c r="I40" s="1070"/>
      <c r="J40" s="1070"/>
      <c r="K40" s="1070">
        <f>MAX(K38-SUM($B36:J36)-SUM($C40:J40),0)</f>
        <v>0</v>
      </c>
      <c r="L40" s="1070"/>
      <c r="M40" s="1070"/>
      <c r="N40" s="1071">
        <f>MAX(N38-N36-SUM($C40:M40),0)</f>
        <v>0</v>
      </c>
    </row>
    <row r="43" spans="1:14" ht="25.5" thickBot="1" x14ac:dyDescent="0.45">
      <c r="A43" s="449" t="str">
        <f>A25</f>
        <v>Retenciones y pagos a cuenta del I.R.P.F.</v>
      </c>
      <c r="E43" s="1072">
        <f>E34+1</f>
        <v>4</v>
      </c>
      <c r="F43" s="470">
        <f>F34+1</f>
        <v>2030</v>
      </c>
    </row>
    <row r="44" spans="1:14" s="407" customFormat="1" x14ac:dyDescent="0.25">
      <c r="A44" s="1059"/>
      <c r="B44" s="1060" t="str">
        <f t="shared" ref="B44:M44" si="3">B$8</f>
        <v>enero</v>
      </c>
      <c r="C44" s="1060" t="str">
        <f t="shared" si="3"/>
        <v>febrero</v>
      </c>
      <c r="D44" s="1060" t="str">
        <f t="shared" si="3"/>
        <v>marzo</v>
      </c>
      <c r="E44" s="1060" t="str">
        <f t="shared" si="3"/>
        <v>abril</v>
      </c>
      <c r="F44" s="1060" t="str">
        <f t="shared" si="3"/>
        <v>mayo</v>
      </c>
      <c r="G44" s="1060" t="str">
        <f t="shared" si="3"/>
        <v>junio</v>
      </c>
      <c r="H44" s="1060" t="str">
        <f t="shared" si="3"/>
        <v>julio</v>
      </c>
      <c r="I44" s="1060" t="str">
        <f t="shared" si="3"/>
        <v>agosto</v>
      </c>
      <c r="J44" s="1060" t="str">
        <f t="shared" si="3"/>
        <v>septiembre</v>
      </c>
      <c r="K44" s="1060" t="str">
        <f t="shared" si="3"/>
        <v>octubre</v>
      </c>
      <c r="L44" s="1060" t="str">
        <f t="shared" si="3"/>
        <v>noviembre</v>
      </c>
      <c r="M44" s="1060" t="str">
        <f t="shared" si="3"/>
        <v>diciembre</v>
      </c>
      <c r="N44" s="1061" t="s">
        <v>865</v>
      </c>
    </row>
    <row r="45" spans="1:14" s="407" customFormat="1" x14ac:dyDescent="0.25">
      <c r="A45" s="718" t="s">
        <v>83</v>
      </c>
      <c r="B45" s="1062">
        <f>'Prev.Ventas 4'!B25*retIRPF</f>
        <v>0</v>
      </c>
      <c r="C45" s="1062">
        <f>'Prev.Ventas 4'!C25*retIRPF</f>
        <v>0</v>
      </c>
      <c r="D45" s="1062">
        <f>'Prev.Ventas 4'!D25*retIRPF</f>
        <v>0</v>
      </c>
      <c r="E45" s="1062">
        <f>'Prev.Ventas 4'!E25*retIRPF</f>
        <v>0</v>
      </c>
      <c r="F45" s="1062">
        <f>'Prev.Ventas 4'!F25*retIRPF</f>
        <v>0</v>
      </c>
      <c r="G45" s="1062">
        <f>'Prev.Ventas 4'!G25*retIRPF</f>
        <v>0</v>
      </c>
      <c r="H45" s="1062">
        <f>'Prev.Ventas 4'!H25*retIRPF</f>
        <v>0</v>
      </c>
      <c r="I45" s="1062">
        <f>'Prev.Ventas 4'!I25*retIRPF</f>
        <v>0</v>
      </c>
      <c r="J45" s="1062">
        <f>'Prev.Ventas 4'!J25*retIRPF</f>
        <v>0</v>
      </c>
      <c r="K45" s="1062">
        <f>'Prev.Ventas 4'!K25*retIRPF</f>
        <v>0</v>
      </c>
      <c r="L45" s="1062">
        <f>'Prev.Ventas 4'!L25*retIRPF</f>
        <v>0</v>
      </c>
      <c r="M45" s="1062">
        <f>'Prev.Ventas 4'!M25*retIRPF</f>
        <v>0</v>
      </c>
      <c r="N45" s="1063">
        <f>SUM(B45:M45)</f>
        <v>0</v>
      </c>
    </row>
    <row r="46" spans="1:14" s="407" customFormat="1" x14ac:dyDescent="0.25">
      <c r="A46" s="718" t="s">
        <v>84</v>
      </c>
      <c r="B46" s="1062">
        <f>IF($B$5=0,0,'G.F. 4'!$C$48+'Prev.Ventas 4'!$B$39-SUM('G.F. 4'!$C$11:$C$12)+'Gastos Financieros'!C51-'Gastos Financieros'!C79+'PyG 4'!$B$15)</f>
        <v>683.37020956348408</v>
      </c>
      <c r="C46" s="1062">
        <f>IF($B$5=0,0,'G.F. 4'!$C$48+'Prev.Ventas 4'!$B$39-SUM('G.F. 4'!$C$11:$C$12)+'Gastos Financieros'!D51-'Gastos Financieros'!D79+'PyG 4'!$B$15)</f>
        <v>695.6888533795377</v>
      </c>
      <c r="D46" s="1062">
        <f>IF($B$5=0,0,'G.F. 4'!$C$48+'Prev.Ventas 4'!$B$39-SUM('G.F. 4'!$C$11:$C$12)+'Gastos Financieros'!E51-'Gastos Financieros'!E79+'PyG 4'!$B$15)</f>
        <v>708.07935595118511</v>
      </c>
      <c r="E46" s="1062">
        <f>IF($B$5=0,0,'G.F. 4'!$C$48+'Prev.Ventas 4'!$B$39-SUM('G.F. 4'!$C$11:$C$12)+'Gastos Financieros'!F51-'Gastos Financieros'!F79+'PyG 4'!$B$15)</f>
        <v>720.54213645450034</v>
      </c>
      <c r="F46" s="1062">
        <f>IF($B$5=0,0,'G.F. 4'!$C$48+'Prev.Ventas 4'!$B$39-SUM('G.F. 4'!$C$11:$C$12)+'Gastos Financieros'!G51-'Gastos Financieros'!G79+'PyG 4'!$B$15)</f>
        <v>733.07761651075157</v>
      </c>
      <c r="G46" s="1062">
        <f>IF($B$5=0,0,'G.F. 4'!$C$48+'Prev.Ventas 4'!$B$39-SUM('G.F. 4'!$C$11:$C$12)+'Gastos Financieros'!H51-'Gastos Financieros'!H79+'PyG 4'!$B$15)</f>
        <v>745.68622020066425</v>
      </c>
      <c r="H46" s="1062">
        <f>IF($B$5=0,0,'G.F. 4'!$C$48+'Prev.Ventas 4'!$B$39-SUM('G.F. 4'!$C$11:$C$12)+'Gastos Financieros'!I51-'Gastos Financieros'!I79+'PyG 4'!$B$15)</f>
        <v>758.36837407876806</v>
      </c>
      <c r="I46" s="1062">
        <f>IF($B$5=0,0,'G.F. 4'!$C$48+'Prev.Ventas 4'!$B$39-SUM('G.F. 4'!$C$11:$C$12)+'Gastos Financieros'!J51-'Gastos Financieros'!J79+'PyG 4'!$B$15)</f>
        <v>771.12450718782759</v>
      </c>
      <c r="J46" s="1062">
        <f>IF($B$5=0,0,'G.F. 4'!$C$48+'Prev.Ventas 4'!$B$39-SUM('G.F. 4'!$C$11:$C$12)+'Gastos Financieros'!K51-'Gastos Financieros'!K79+'PyG 4'!$B$15)</f>
        <v>783.95505107335657</v>
      </c>
      <c r="K46" s="1062">
        <f>IF($B$5=0,0,'G.F. 4'!$C$48+'Prev.Ventas 4'!$B$39-SUM('G.F. 4'!$C$11:$C$12)+'Gastos Financieros'!L51-'Gastos Financieros'!L79+'PyG 4'!$B$15)</f>
        <v>796.86043979821784</v>
      </c>
      <c r="L46" s="1062">
        <f>IF($B$5=0,0,'G.F. 4'!$C$48+'Prev.Ventas 4'!$B$39-SUM('G.F. 4'!$C$11:$C$12)+'Gastos Financieros'!M51-'Gastos Financieros'!M79+'PyG 4'!$B$15)</f>
        <v>809.84110995730748</v>
      </c>
      <c r="M46" s="1062">
        <f>IF($B$5=0,0,'G.F. 4'!$C$48+'Prev.Ventas 4'!$B$39-SUM('G.F. 4'!$C$11:$C$12)+'Gastos Financieros'!N51-'Gastos Financieros'!N79+'PyG 4'!$B$15)</f>
        <v>822.89750069232514</v>
      </c>
      <c r="N46" s="1063">
        <f>SUM(B46:M46)</f>
        <v>9029.4913748479248</v>
      </c>
    </row>
    <row r="47" spans="1:14" s="407" customFormat="1" x14ac:dyDescent="0.25">
      <c r="A47" s="1064" t="s">
        <v>85</v>
      </c>
      <c r="B47" s="1065">
        <v>0</v>
      </c>
      <c r="C47" s="1065"/>
      <c r="D47" s="1065"/>
      <c r="E47" s="1065">
        <f>$B$5*(SUM('Prev.Ventas 4'!$B25:D25)-SUM($B46:D46))</f>
        <v>-417.42768377884136</v>
      </c>
      <c r="F47" s="1065"/>
      <c r="G47" s="1065"/>
      <c r="H47" s="1065">
        <f>$B$5*(SUM('Prev.Ventas 4'!$B25:G25)-SUM($B46:G46))</f>
        <v>-857.28887841202459</v>
      </c>
      <c r="I47" s="1065"/>
      <c r="J47" s="1065"/>
      <c r="K47" s="1065">
        <f>$B$5*(SUM('Prev.Ventas 4'!$B25:J25)-SUM($B46:J46))</f>
        <v>-1319.9784648800151</v>
      </c>
      <c r="L47" s="1065"/>
      <c r="M47" s="1065"/>
      <c r="N47" s="1063">
        <f>$B$5*(SUM('Prev.Ventas 4'!$B25:M25)-N46)</f>
        <v>-1805.8982749695851</v>
      </c>
    </row>
    <row r="48" spans="1:14" s="407" customFormat="1" x14ac:dyDescent="0.25">
      <c r="A48" s="1066"/>
      <c r="B48" s="1067"/>
      <c r="C48" s="1067"/>
      <c r="D48" s="1067"/>
      <c r="E48" s="1067"/>
      <c r="F48" s="1067"/>
      <c r="G48" s="1067"/>
      <c r="H48" s="1067"/>
      <c r="I48" s="1067"/>
      <c r="J48" s="1067"/>
      <c r="K48" s="1067"/>
      <c r="L48" s="1067"/>
      <c r="M48" s="1067"/>
      <c r="N48" s="1068"/>
    </row>
    <row r="49" spans="1:14" s="407" customFormat="1" ht="19.5" customHeight="1" thickBot="1" x14ac:dyDescent="0.3">
      <c r="A49" s="1073" t="s">
        <v>86</v>
      </c>
      <c r="B49" s="1069">
        <f>N40</f>
        <v>0</v>
      </c>
      <c r="C49" s="1070"/>
      <c r="D49" s="1070"/>
      <c r="E49" s="1070">
        <f>MAX(E47-SUM($B45:D45)-SUM($C49:D49),0)</f>
        <v>0</v>
      </c>
      <c r="F49" s="1070"/>
      <c r="G49" s="1070"/>
      <c r="H49" s="1070">
        <f>MAX(H47-SUM($B45:G45)-SUM($C49:G49),0)</f>
        <v>0</v>
      </c>
      <c r="I49" s="1070"/>
      <c r="J49" s="1070"/>
      <c r="K49" s="1070">
        <f>MAX(K47-SUM($B45:J45)-SUM($C49:J49),0)</f>
        <v>0</v>
      </c>
      <c r="L49" s="1070"/>
      <c r="M49" s="1070"/>
      <c r="N49" s="1071">
        <f>MAX(N47-N45-SUM($C49:M49),0)</f>
        <v>0</v>
      </c>
    </row>
  </sheetData>
  <sheetProtection sheet="1" objects="1" scenarios="1" formatCells="0" formatColumns="0"/>
  <phoneticPr fontId="13" type="noConversion"/>
  <conditionalFormatting sqref="B5">
    <cfRule type="cellIs" dxfId="33" priority="1" stopIfTrue="1" operator="equal">
      <formula>0</formula>
    </cfRule>
  </conditionalFormatting>
  <conditionalFormatting sqref="B9:M11 B13 E13 H13 K13 E22 H22 K22 E31 H31 K31 E40 H40 K40 E49 H49 K49">
    <cfRule type="expression" dxfId="32" priority="2" stopIfTrue="1">
      <formula>B$14&lt;mes0</formula>
    </cfRule>
  </conditionalFormatting>
  <printOptions horizontalCentered="1"/>
  <pageMargins left="0.57999999999999996" right="0.75" top="0.46" bottom="0.64" header="0" footer="0"/>
  <pageSetup paperSize="9" scale="63" orientation="landscape" horizontalDpi="300" r:id="rId1"/>
  <headerFooter alignWithMargins="0"/>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20">
    <tabColor rgb="FF14A3A8"/>
    <pageSetUpPr fitToPage="1"/>
  </sheetPr>
  <dimension ref="A1:S55"/>
  <sheetViews>
    <sheetView showGridLines="0" workbookViewId="0"/>
  </sheetViews>
  <sheetFormatPr baseColWidth="10" defaultRowHeight="15" x14ac:dyDescent="0.25"/>
  <cols>
    <col min="1" max="1" width="26.375" style="305" customWidth="1"/>
    <col min="2" max="2" width="9.75" style="445" customWidth="1"/>
    <col min="3" max="3" width="10.5" style="446" customWidth="1"/>
    <col min="4" max="4" width="11.75" style="446" customWidth="1"/>
    <col min="5" max="5" width="11.625" style="446" customWidth="1"/>
    <col min="6" max="6" width="12.125" style="446" customWidth="1"/>
    <col min="7" max="8" width="11.75" style="446" customWidth="1"/>
    <col min="9" max="13" width="11.5" style="446" customWidth="1"/>
    <col min="14" max="14" width="10.125" style="446" customWidth="1"/>
    <col min="15" max="15" width="9.5" style="305" customWidth="1"/>
    <col min="16" max="16384" width="11" style="446"/>
  </cols>
  <sheetData>
    <row r="1" spans="1:15" ht="27.75" x14ac:dyDescent="0.45">
      <c r="A1" s="485" t="s">
        <v>1022</v>
      </c>
      <c r="B1" s="841"/>
      <c r="F1" s="409" t="str">
        <f>'Datos Básicos'!B16&amp;":"</f>
        <v>Año 0:</v>
      </c>
      <c r="G1" s="470">
        <f>'Datos Básicos'!$B$17</f>
        <v>2026</v>
      </c>
      <c r="M1" s="842"/>
    </row>
    <row r="2" spans="1:15" s="843" customFormat="1" ht="27.75" x14ac:dyDescent="0.45">
      <c r="A2" s="408">
        <f>'Datos Básicos'!B8</f>
        <v>0</v>
      </c>
      <c r="B2" s="841"/>
      <c r="D2" s="844"/>
      <c r="E2" s="450"/>
      <c r="O2" s="845"/>
    </row>
    <row r="4" spans="1:15" ht="27.75" x14ac:dyDescent="0.45">
      <c r="A4" s="408" t="s">
        <v>262</v>
      </c>
      <c r="E4" s="409"/>
      <c r="F4" s="409"/>
    </row>
    <row r="5" spans="1:15" ht="15.75" thickBot="1" x14ac:dyDescent="0.3"/>
    <row r="6" spans="1:15" s="847" customFormat="1" ht="16.149999999999999" customHeight="1" thickBot="1" x14ac:dyDescent="0.25">
      <c r="A6" s="454" t="s">
        <v>936</v>
      </c>
      <c r="B6" s="846" t="str">
        <f>'Datos Gastos Fijos'!D7</f>
        <v>enero</v>
      </c>
      <c r="C6" s="840" t="str">
        <f>'Datos Gastos Fijos'!E7</f>
        <v>febrero</v>
      </c>
      <c r="D6" s="840" t="str">
        <f>'Datos Gastos Fijos'!F7</f>
        <v>marzo</v>
      </c>
      <c r="E6" s="840" t="str">
        <f>'Datos Gastos Fijos'!G7</f>
        <v>abril</v>
      </c>
      <c r="F6" s="840" t="str">
        <f>'Datos Gastos Fijos'!H7</f>
        <v>mayo</v>
      </c>
      <c r="G6" s="840" t="str">
        <f>'Datos Gastos Fijos'!I7</f>
        <v>junio</v>
      </c>
      <c r="H6" s="840" t="str">
        <f>'Datos Gastos Fijos'!J7</f>
        <v>julio</v>
      </c>
      <c r="I6" s="840" t="str">
        <f>'Datos Gastos Fijos'!K7</f>
        <v>agosto</v>
      </c>
      <c r="J6" s="840" t="str">
        <f>'Datos Gastos Fijos'!L7</f>
        <v>septiembre</v>
      </c>
      <c r="K6" s="840" t="str">
        <f>'Datos Gastos Fijos'!M7</f>
        <v>octubre</v>
      </c>
      <c r="L6" s="840" t="str">
        <f>'Datos Gastos Fijos'!N7</f>
        <v>noviembre</v>
      </c>
      <c r="M6" s="840" t="str">
        <f>'Datos Gastos Fijos'!O7</f>
        <v>diciembre</v>
      </c>
      <c r="N6" s="840" t="s">
        <v>860</v>
      </c>
    </row>
    <row r="7" spans="1:15" s="845" customFormat="1" ht="16.149999999999999" customHeight="1" x14ac:dyDescent="0.3">
      <c r="A7" s="848" t="str">
        <f>'Politicas Cobros y Pagos'!A9</f>
        <v/>
      </c>
      <c r="B7" s="988">
        <f>'Prev.Ventas 0'!B17*(1+Parametros!$E24)-'Prev.Ventas 0'!B17*retIRPF</f>
        <v>0</v>
      </c>
      <c r="C7" s="988">
        <f>'Prev.Ventas 0'!C17*(1+Parametros!$E24)-'Prev.Ventas 0'!C17*retIRPF</f>
        <v>0</v>
      </c>
      <c r="D7" s="988">
        <f>'Prev.Ventas 0'!D17*(1+Parametros!$E24)-'Prev.Ventas 0'!D17*retIRPF</f>
        <v>0</v>
      </c>
      <c r="E7" s="988">
        <f>'Prev.Ventas 0'!E17*(1+Parametros!$E24)-'Prev.Ventas 0'!E17*retIRPF</f>
        <v>0</v>
      </c>
      <c r="F7" s="988">
        <f>'Prev.Ventas 0'!F17*(1+Parametros!$E24)-'Prev.Ventas 0'!F17*retIRPF</f>
        <v>0</v>
      </c>
      <c r="G7" s="988">
        <f>'Prev.Ventas 0'!G17*(1+Parametros!$E24)-'Prev.Ventas 0'!G17*retIRPF</f>
        <v>0</v>
      </c>
      <c r="H7" s="988">
        <f>'Prev.Ventas 0'!H17*(1+Parametros!$E24)-'Prev.Ventas 0'!H17*retIRPF</f>
        <v>0</v>
      </c>
      <c r="I7" s="988">
        <f>'Prev.Ventas 0'!I17*(1+Parametros!$E24)-'Prev.Ventas 0'!I17*retIRPF</f>
        <v>0</v>
      </c>
      <c r="J7" s="988">
        <f>'Prev.Ventas 0'!J17*(1+Parametros!$E24)-'Prev.Ventas 0'!J17*retIRPF</f>
        <v>0</v>
      </c>
      <c r="K7" s="988">
        <f>'Prev.Ventas 0'!K17*(1+Parametros!$E24)-'Prev.Ventas 0'!K17*retIRPF</f>
        <v>0</v>
      </c>
      <c r="L7" s="988">
        <f>'Prev.Ventas 0'!L17*(1+Parametros!$E24)-'Prev.Ventas 0'!L17*retIRPF</f>
        <v>0</v>
      </c>
      <c r="M7" s="988">
        <f>'Prev.Ventas 0'!M17*(1+Parametros!$E24)-'Prev.Ventas 0'!M17*retIRPF</f>
        <v>0</v>
      </c>
      <c r="N7" s="989">
        <f t="shared" ref="N7:N14" si="0">SUM(B7:M7)</f>
        <v>0</v>
      </c>
    </row>
    <row r="8" spans="1:15" s="845" customFormat="1" ht="16.149999999999999" customHeight="1" x14ac:dyDescent="0.3">
      <c r="A8" s="849" t="str">
        <f>'Politicas Cobros y Pagos'!A10</f>
        <v/>
      </c>
      <c r="B8" s="988">
        <f>'Prev.Ventas 0'!B18*(1+Parametros!$E25)-'Prev.Ventas 0'!B18*retIRPF</f>
        <v>0</v>
      </c>
      <c r="C8" s="988">
        <f>'Prev.Ventas 0'!C18*(1+Parametros!$E25)-'Prev.Ventas 0'!C18*retIRPF</f>
        <v>0</v>
      </c>
      <c r="D8" s="988">
        <f>'Prev.Ventas 0'!D18*(1+Parametros!$E25)-'Prev.Ventas 0'!D18*retIRPF</f>
        <v>0</v>
      </c>
      <c r="E8" s="988">
        <f>'Prev.Ventas 0'!E18*(1+Parametros!$E25)-'Prev.Ventas 0'!E18*retIRPF</f>
        <v>0</v>
      </c>
      <c r="F8" s="988">
        <f>'Prev.Ventas 0'!F18*(1+Parametros!$E25)-'Prev.Ventas 0'!F18*retIRPF</f>
        <v>0</v>
      </c>
      <c r="G8" s="988">
        <f>'Prev.Ventas 0'!G18*(1+Parametros!$E25)-'Prev.Ventas 0'!G18*retIRPF</f>
        <v>0</v>
      </c>
      <c r="H8" s="988">
        <f>'Prev.Ventas 0'!H18*(1+Parametros!$E25)-'Prev.Ventas 0'!H18*retIRPF</f>
        <v>0</v>
      </c>
      <c r="I8" s="988">
        <f>'Prev.Ventas 0'!I18*(1+Parametros!$E25)-'Prev.Ventas 0'!I18*retIRPF</f>
        <v>0</v>
      </c>
      <c r="J8" s="988">
        <f>'Prev.Ventas 0'!J18*(1+Parametros!$E25)-'Prev.Ventas 0'!J18*retIRPF</f>
        <v>0</v>
      </c>
      <c r="K8" s="988">
        <f>'Prev.Ventas 0'!K18*(1+Parametros!$E25)-'Prev.Ventas 0'!K18*retIRPF</f>
        <v>0</v>
      </c>
      <c r="L8" s="988">
        <f>'Prev.Ventas 0'!L18*(1+Parametros!$E25)-'Prev.Ventas 0'!L18*retIRPF</f>
        <v>0</v>
      </c>
      <c r="M8" s="988">
        <f>'Prev.Ventas 0'!M18*(1+Parametros!$E25)-'Prev.Ventas 0'!M18*retIRPF</f>
        <v>0</v>
      </c>
      <c r="N8" s="989">
        <f t="shared" si="0"/>
        <v>0</v>
      </c>
    </row>
    <row r="9" spans="1:15" s="845" customFormat="1" ht="16.149999999999999" customHeight="1" x14ac:dyDescent="0.3">
      <c r="A9" s="849" t="str">
        <f>'Politicas Cobros y Pagos'!A11</f>
        <v/>
      </c>
      <c r="B9" s="988">
        <f>'Prev.Ventas 0'!B19*(1+Parametros!$E26)-'Prev.Ventas 0'!B19*retIRPF</f>
        <v>0</v>
      </c>
      <c r="C9" s="988">
        <f>'Prev.Ventas 0'!C19*(1+Parametros!$E26)-'Prev.Ventas 0'!C19*retIRPF</f>
        <v>0</v>
      </c>
      <c r="D9" s="988">
        <f>'Prev.Ventas 0'!D19*(1+Parametros!$E26)-'Prev.Ventas 0'!D19*retIRPF</f>
        <v>0</v>
      </c>
      <c r="E9" s="988">
        <f>'Prev.Ventas 0'!E19*(1+Parametros!$E26)-'Prev.Ventas 0'!E19*retIRPF</f>
        <v>0</v>
      </c>
      <c r="F9" s="988">
        <f>'Prev.Ventas 0'!F19*(1+Parametros!$E26)-'Prev.Ventas 0'!F19*retIRPF</f>
        <v>0</v>
      </c>
      <c r="G9" s="988">
        <f>'Prev.Ventas 0'!G19*(1+Parametros!$E26)-'Prev.Ventas 0'!G19*retIRPF</f>
        <v>0</v>
      </c>
      <c r="H9" s="988">
        <f>'Prev.Ventas 0'!H19*(1+Parametros!$E26)-'Prev.Ventas 0'!H19*retIRPF</f>
        <v>0</v>
      </c>
      <c r="I9" s="988">
        <f>'Prev.Ventas 0'!I19*(1+Parametros!$E26)-'Prev.Ventas 0'!I19*retIRPF</f>
        <v>0</v>
      </c>
      <c r="J9" s="988">
        <f>'Prev.Ventas 0'!J19*(1+Parametros!$E26)-'Prev.Ventas 0'!J19*retIRPF</f>
        <v>0</v>
      </c>
      <c r="K9" s="988">
        <f>'Prev.Ventas 0'!K19*(1+Parametros!$E26)-'Prev.Ventas 0'!K19*retIRPF</f>
        <v>0</v>
      </c>
      <c r="L9" s="988">
        <f>'Prev.Ventas 0'!L19*(1+Parametros!$E26)-'Prev.Ventas 0'!L19*retIRPF</f>
        <v>0</v>
      </c>
      <c r="M9" s="988">
        <f>'Prev.Ventas 0'!M19*(1+Parametros!$E26)-'Prev.Ventas 0'!M19*retIRPF</f>
        <v>0</v>
      </c>
      <c r="N9" s="989">
        <f t="shared" si="0"/>
        <v>0</v>
      </c>
    </row>
    <row r="10" spans="1:15" s="845" customFormat="1" ht="16.149999999999999" customHeight="1" x14ac:dyDescent="0.3">
      <c r="A10" s="849" t="str">
        <f>'Politicas Cobros y Pagos'!A12</f>
        <v/>
      </c>
      <c r="B10" s="988">
        <f>'Prev.Ventas 0'!B20*(1+Parametros!$E27)-'Prev.Ventas 0'!B20*retIRPF</f>
        <v>0</v>
      </c>
      <c r="C10" s="988">
        <f>'Prev.Ventas 0'!C20*(1+Parametros!$E27)-'Prev.Ventas 0'!C20*retIRPF</f>
        <v>0</v>
      </c>
      <c r="D10" s="988">
        <f>'Prev.Ventas 0'!D20*(1+Parametros!$E27)-'Prev.Ventas 0'!D20*retIRPF</f>
        <v>0</v>
      </c>
      <c r="E10" s="988">
        <f>'Prev.Ventas 0'!E20*(1+Parametros!$E27)-'Prev.Ventas 0'!E20*retIRPF</f>
        <v>0</v>
      </c>
      <c r="F10" s="988">
        <f>'Prev.Ventas 0'!F20*(1+Parametros!$E27)-'Prev.Ventas 0'!F20*retIRPF</f>
        <v>0</v>
      </c>
      <c r="G10" s="988">
        <f>'Prev.Ventas 0'!G20*(1+Parametros!$E27)-'Prev.Ventas 0'!G20*retIRPF</f>
        <v>0</v>
      </c>
      <c r="H10" s="988">
        <f>'Prev.Ventas 0'!H20*(1+Parametros!$E27)-'Prev.Ventas 0'!H20*retIRPF</f>
        <v>0</v>
      </c>
      <c r="I10" s="988">
        <f>'Prev.Ventas 0'!I20*(1+Parametros!$E27)-'Prev.Ventas 0'!I20*retIRPF</f>
        <v>0</v>
      </c>
      <c r="J10" s="988">
        <f>'Prev.Ventas 0'!J20*(1+Parametros!$E27)-'Prev.Ventas 0'!J20*retIRPF</f>
        <v>0</v>
      </c>
      <c r="K10" s="988">
        <f>'Prev.Ventas 0'!K20*(1+Parametros!$E27)-'Prev.Ventas 0'!K20*retIRPF</f>
        <v>0</v>
      </c>
      <c r="L10" s="988">
        <f>'Prev.Ventas 0'!L20*(1+Parametros!$E27)-'Prev.Ventas 0'!L20*retIRPF</f>
        <v>0</v>
      </c>
      <c r="M10" s="988">
        <f>'Prev.Ventas 0'!M20*(1+Parametros!$E27)-'Prev.Ventas 0'!M20*retIRPF</f>
        <v>0</v>
      </c>
      <c r="N10" s="989">
        <f t="shared" si="0"/>
        <v>0</v>
      </c>
    </row>
    <row r="11" spans="1:15" s="845" customFormat="1" ht="16.149999999999999" customHeight="1" x14ac:dyDescent="0.3">
      <c r="A11" s="849" t="str">
        <f>'Politicas Cobros y Pagos'!A13</f>
        <v/>
      </c>
      <c r="B11" s="988">
        <f>'Prev.Ventas 0'!B21*(1+Parametros!$E28)-'Prev.Ventas 0'!B21*retIRPF</f>
        <v>0</v>
      </c>
      <c r="C11" s="988">
        <f>'Prev.Ventas 0'!C21*(1+Parametros!$E28)-'Prev.Ventas 0'!C21*retIRPF</f>
        <v>0</v>
      </c>
      <c r="D11" s="988">
        <f>'Prev.Ventas 0'!D21*(1+Parametros!$E28)-'Prev.Ventas 0'!D21*retIRPF</f>
        <v>0</v>
      </c>
      <c r="E11" s="988">
        <f>'Prev.Ventas 0'!E21*(1+Parametros!$E28)-'Prev.Ventas 0'!E21*retIRPF</f>
        <v>0</v>
      </c>
      <c r="F11" s="988">
        <f>'Prev.Ventas 0'!F21*(1+Parametros!$E28)-'Prev.Ventas 0'!F21*retIRPF</f>
        <v>0</v>
      </c>
      <c r="G11" s="988">
        <f>'Prev.Ventas 0'!G21*(1+Parametros!$E28)-'Prev.Ventas 0'!G21*retIRPF</f>
        <v>0</v>
      </c>
      <c r="H11" s="988">
        <f>'Prev.Ventas 0'!H21*(1+Parametros!$E28)-'Prev.Ventas 0'!H21*retIRPF</f>
        <v>0</v>
      </c>
      <c r="I11" s="988">
        <f>'Prev.Ventas 0'!I21*(1+Parametros!$E28)-'Prev.Ventas 0'!I21*retIRPF</f>
        <v>0</v>
      </c>
      <c r="J11" s="988">
        <f>'Prev.Ventas 0'!J21*(1+Parametros!$E28)-'Prev.Ventas 0'!J21*retIRPF</f>
        <v>0</v>
      </c>
      <c r="K11" s="988">
        <f>'Prev.Ventas 0'!K21*(1+Parametros!$E28)-'Prev.Ventas 0'!K21*retIRPF</f>
        <v>0</v>
      </c>
      <c r="L11" s="988">
        <f>'Prev.Ventas 0'!L21*(1+Parametros!$E28)-'Prev.Ventas 0'!L21*retIRPF</f>
        <v>0</v>
      </c>
      <c r="M11" s="988">
        <f>'Prev.Ventas 0'!M21*(1+Parametros!$E28)-'Prev.Ventas 0'!M21*retIRPF</f>
        <v>0</v>
      </c>
      <c r="N11" s="989">
        <f t="shared" si="0"/>
        <v>0</v>
      </c>
    </row>
    <row r="12" spans="1:15" s="845" customFormat="1" ht="16.149999999999999" customHeight="1" x14ac:dyDescent="0.3">
      <c r="A12" s="849" t="str">
        <f>'Politicas Cobros y Pagos'!A14</f>
        <v/>
      </c>
      <c r="B12" s="988">
        <f>'Prev.Ventas 0'!B22*(1+Parametros!$E29)-'Prev.Ventas 0'!B22*retIRPF</f>
        <v>0</v>
      </c>
      <c r="C12" s="988">
        <f>'Prev.Ventas 0'!C22*(1+Parametros!$E29)-'Prev.Ventas 0'!C22*retIRPF</f>
        <v>0</v>
      </c>
      <c r="D12" s="988">
        <f>'Prev.Ventas 0'!D22*(1+Parametros!$E29)-'Prev.Ventas 0'!D22*retIRPF</f>
        <v>0</v>
      </c>
      <c r="E12" s="988">
        <f>'Prev.Ventas 0'!E22*(1+Parametros!$E29)-'Prev.Ventas 0'!E22*retIRPF</f>
        <v>0</v>
      </c>
      <c r="F12" s="988">
        <f>'Prev.Ventas 0'!F22*(1+Parametros!$E29)-'Prev.Ventas 0'!F22*retIRPF</f>
        <v>0</v>
      </c>
      <c r="G12" s="988">
        <f>'Prev.Ventas 0'!G22*(1+Parametros!$E29)-'Prev.Ventas 0'!G22*retIRPF</f>
        <v>0</v>
      </c>
      <c r="H12" s="988">
        <f>'Prev.Ventas 0'!H22*(1+Parametros!$E29)-'Prev.Ventas 0'!H22*retIRPF</f>
        <v>0</v>
      </c>
      <c r="I12" s="988">
        <f>'Prev.Ventas 0'!I22*(1+Parametros!$E29)-'Prev.Ventas 0'!I22*retIRPF</f>
        <v>0</v>
      </c>
      <c r="J12" s="988">
        <f>'Prev.Ventas 0'!J22*(1+Parametros!$E29)-'Prev.Ventas 0'!J22*retIRPF</f>
        <v>0</v>
      </c>
      <c r="K12" s="988">
        <f>'Prev.Ventas 0'!K22*(1+Parametros!$E29)-'Prev.Ventas 0'!K22*retIRPF</f>
        <v>0</v>
      </c>
      <c r="L12" s="988">
        <f>'Prev.Ventas 0'!L22*(1+Parametros!$E29)-'Prev.Ventas 0'!L22*retIRPF</f>
        <v>0</v>
      </c>
      <c r="M12" s="988">
        <f>'Prev.Ventas 0'!M22*(1+Parametros!$E29)-'Prev.Ventas 0'!M22*retIRPF</f>
        <v>0</v>
      </c>
      <c r="N12" s="989">
        <f t="shared" si="0"/>
        <v>0</v>
      </c>
    </row>
    <row r="13" spans="1:15" s="845" customFormat="1" ht="16.149999999999999" customHeight="1" x14ac:dyDescent="0.3">
      <c r="A13" s="849" t="str">
        <f>'Politicas Cobros y Pagos'!A15</f>
        <v/>
      </c>
      <c r="B13" s="988">
        <f>'Prev.Ventas 0'!B23*(1+Parametros!$E30)-'Prev.Ventas 0'!B23*retIRPF</f>
        <v>0</v>
      </c>
      <c r="C13" s="988">
        <f>'Prev.Ventas 0'!C23*(1+Parametros!$E30)-'Prev.Ventas 0'!C23*retIRPF</f>
        <v>0</v>
      </c>
      <c r="D13" s="988">
        <f>'Prev.Ventas 0'!D23*(1+Parametros!$E30)-'Prev.Ventas 0'!D23*retIRPF</f>
        <v>0</v>
      </c>
      <c r="E13" s="988">
        <f>'Prev.Ventas 0'!E23*(1+Parametros!$E30)-'Prev.Ventas 0'!E23*retIRPF</f>
        <v>0</v>
      </c>
      <c r="F13" s="988">
        <f>'Prev.Ventas 0'!F23*(1+Parametros!$E30)-'Prev.Ventas 0'!F23*retIRPF</f>
        <v>0</v>
      </c>
      <c r="G13" s="988">
        <f>'Prev.Ventas 0'!G23*(1+Parametros!$E30)-'Prev.Ventas 0'!G23*retIRPF</f>
        <v>0</v>
      </c>
      <c r="H13" s="988">
        <f>'Prev.Ventas 0'!H23*(1+Parametros!$E30)-'Prev.Ventas 0'!H23*retIRPF</f>
        <v>0</v>
      </c>
      <c r="I13" s="988">
        <f>'Prev.Ventas 0'!I23*(1+Parametros!$E30)-'Prev.Ventas 0'!I23*retIRPF</f>
        <v>0</v>
      </c>
      <c r="J13" s="988">
        <f>'Prev.Ventas 0'!J23*(1+Parametros!$E30)-'Prev.Ventas 0'!J23*retIRPF</f>
        <v>0</v>
      </c>
      <c r="K13" s="988">
        <f>'Prev.Ventas 0'!K23*(1+Parametros!$E30)-'Prev.Ventas 0'!K23*retIRPF</f>
        <v>0</v>
      </c>
      <c r="L13" s="988">
        <f>'Prev.Ventas 0'!L23*(1+Parametros!$E30)-'Prev.Ventas 0'!L23*retIRPF</f>
        <v>0</v>
      </c>
      <c r="M13" s="988">
        <f>'Prev.Ventas 0'!M23*(1+Parametros!$E30)-'Prev.Ventas 0'!M23*retIRPF</f>
        <v>0</v>
      </c>
      <c r="N13" s="989">
        <f t="shared" si="0"/>
        <v>0</v>
      </c>
    </row>
    <row r="14" spans="1:15" s="845" customFormat="1" ht="16.149999999999999" customHeight="1" thickBot="1" x14ac:dyDescent="0.35">
      <c r="A14" s="850" t="str">
        <f>'Politicas Cobros y Pagos'!A16</f>
        <v/>
      </c>
      <c r="B14" s="990">
        <f>'Prev.Ventas 0'!B24*(1+Parametros!$E31)-'Prev.Ventas 0'!B24*retIRPF</f>
        <v>0</v>
      </c>
      <c r="C14" s="990">
        <f>'Prev.Ventas 0'!C24*(1+Parametros!$E31)-'Prev.Ventas 0'!C24*retIRPF</f>
        <v>0</v>
      </c>
      <c r="D14" s="990">
        <f>'Prev.Ventas 0'!D24*(1+Parametros!$E31)-'Prev.Ventas 0'!D24*retIRPF</f>
        <v>0</v>
      </c>
      <c r="E14" s="990">
        <f>'Prev.Ventas 0'!E24*(1+Parametros!$E31)-'Prev.Ventas 0'!E24*retIRPF</f>
        <v>0</v>
      </c>
      <c r="F14" s="990">
        <f>'Prev.Ventas 0'!F24*(1+Parametros!$E31)-'Prev.Ventas 0'!F24*retIRPF</f>
        <v>0</v>
      </c>
      <c r="G14" s="990">
        <f>'Prev.Ventas 0'!G24*(1+Parametros!$E31)-'Prev.Ventas 0'!G24*retIRPF</f>
        <v>0</v>
      </c>
      <c r="H14" s="990">
        <f>'Prev.Ventas 0'!H24*(1+Parametros!$E31)-'Prev.Ventas 0'!H24*retIRPF</f>
        <v>0</v>
      </c>
      <c r="I14" s="990">
        <f>'Prev.Ventas 0'!I24*(1+Parametros!$E31)-'Prev.Ventas 0'!I24*retIRPF</f>
        <v>0</v>
      </c>
      <c r="J14" s="990">
        <f>'Prev.Ventas 0'!J24*(1+Parametros!$E31)-'Prev.Ventas 0'!J24*retIRPF</f>
        <v>0</v>
      </c>
      <c r="K14" s="990">
        <f>'Prev.Ventas 0'!K24*(1+Parametros!$E31)-'Prev.Ventas 0'!K24*retIRPF</f>
        <v>0</v>
      </c>
      <c r="L14" s="990">
        <f>'Prev.Ventas 0'!L24*(1+Parametros!$E31)-'Prev.Ventas 0'!L24*retIRPF</f>
        <v>0</v>
      </c>
      <c r="M14" s="990">
        <f>'Prev.Ventas 0'!M24*(1+Parametros!$E31)-'Prev.Ventas 0'!M24*retIRPF</f>
        <v>0</v>
      </c>
      <c r="N14" s="989">
        <f t="shared" si="0"/>
        <v>0</v>
      </c>
    </row>
    <row r="15" spans="1:15" s="845" customFormat="1" ht="16.149999999999999" customHeight="1" thickBot="1" x14ac:dyDescent="0.35">
      <c r="A15" s="410" t="s">
        <v>860</v>
      </c>
      <c r="B15" s="851">
        <f t="shared" ref="B15:N15" si="1">SUM(B7:B14)</f>
        <v>0</v>
      </c>
      <c r="C15" s="851">
        <f t="shared" si="1"/>
        <v>0</v>
      </c>
      <c r="D15" s="851">
        <f t="shared" si="1"/>
        <v>0</v>
      </c>
      <c r="E15" s="851">
        <f t="shared" si="1"/>
        <v>0</v>
      </c>
      <c r="F15" s="851">
        <f t="shared" si="1"/>
        <v>0</v>
      </c>
      <c r="G15" s="851">
        <f t="shared" si="1"/>
        <v>0</v>
      </c>
      <c r="H15" s="851">
        <f t="shared" si="1"/>
        <v>0</v>
      </c>
      <c r="I15" s="851">
        <f t="shared" si="1"/>
        <v>0</v>
      </c>
      <c r="J15" s="851">
        <f t="shared" si="1"/>
        <v>0</v>
      </c>
      <c r="K15" s="851">
        <f t="shared" si="1"/>
        <v>0</v>
      </c>
      <c r="L15" s="851">
        <f t="shared" si="1"/>
        <v>0</v>
      </c>
      <c r="M15" s="851">
        <f t="shared" si="1"/>
        <v>0</v>
      </c>
      <c r="N15" s="851">
        <f t="shared" si="1"/>
        <v>0</v>
      </c>
    </row>
    <row r="16" spans="1:15" s="845" customFormat="1" ht="16.149999999999999" customHeight="1" x14ac:dyDescent="0.3">
      <c r="A16" s="442"/>
      <c r="B16" s="1014">
        <v>1</v>
      </c>
      <c r="C16" s="1014">
        <v>2</v>
      </c>
      <c r="D16" s="1014">
        <v>3</v>
      </c>
      <c r="E16" s="1014">
        <v>4</v>
      </c>
      <c r="F16" s="1014">
        <v>5</v>
      </c>
      <c r="G16" s="1014">
        <v>6</v>
      </c>
      <c r="H16" s="1014">
        <v>7</v>
      </c>
      <c r="I16" s="1014">
        <v>8</v>
      </c>
      <c r="J16" s="1014">
        <v>9</v>
      </c>
      <c r="K16" s="1014">
        <v>10</v>
      </c>
      <c r="L16" s="1014">
        <v>11</v>
      </c>
      <c r="M16" s="1014">
        <v>12</v>
      </c>
    </row>
    <row r="17" spans="1:19" s="845" customFormat="1" ht="27.75" x14ac:dyDescent="0.45">
      <c r="A17" s="408" t="s">
        <v>988</v>
      </c>
      <c r="B17" s="847"/>
      <c r="E17" s="409"/>
      <c r="F17" s="409"/>
    </row>
    <row r="18" spans="1:19" ht="16.5" thickBot="1" x14ac:dyDescent="0.3">
      <c r="A18" s="446"/>
      <c r="B18" s="446"/>
      <c r="O18" s="446"/>
      <c r="P18" s="852" t="s">
        <v>160</v>
      </c>
      <c r="Q18" s="853" t="str">
        <f>TEXT('Datos Básicos'!$C$17,"#.##0")</f>
        <v>2.027</v>
      </c>
    </row>
    <row r="19" spans="1:19" s="847" customFormat="1" ht="28.5" customHeight="1" thickBot="1" x14ac:dyDescent="0.25">
      <c r="A19" s="454" t="s">
        <v>937</v>
      </c>
      <c r="B19" s="854" t="str">
        <f t="shared" ref="B19:M19" si="2">CONCATENATE(B6," ","
",
$G$1)</f>
        <v>enero 
2026</v>
      </c>
      <c r="C19" s="854" t="str">
        <f t="shared" si="2"/>
        <v>febrero 
2026</v>
      </c>
      <c r="D19" s="854" t="str">
        <f t="shared" si="2"/>
        <v>marzo 
2026</v>
      </c>
      <c r="E19" s="854" t="str">
        <f t="shared" si="2"/>
        <v>abril 
2026</v>
      </c>
      <c r="F19" s="854" t="str">
        <f t="shared" si="2"/>
        <v>mayo 
2026</v>
      </c>
      <c r="G19" s="854" t="str">
        <f t="shared" si="2"/>
        <v>junio 
2026</v>
      </c>
      <c r="H19" s="854" t="str">
        <f t="shared" si="2"/>
        <v>julio 
2026</v>
      </c>
      <c r="I19" s="854" t="str">
        <f t="shared" si="2"/>
        <v>agosto 
2026</v>
      </c>
      <c r="J19" s="854" t="str">
        <f t="shared" si="2"/>
        <v>septiembre 
2026</v>
      </c>
      <c r="K19" s="854" t="str">
        <f t="shared" si="2"/>
        <v>octubre 
2026</v>
      </c>
      <c r="L19" s="854" t="str">
        <f t="shared" si="2"/>
        <v>noviembre 
2026</v>
      </c>
      <c r="M19" s="854" t="str">
        <f t="shared" si="2"/>
        <v>diciembre 
2026</v>
      </c>
      <c r="N19" s="854" t="str">
        <f t="shared" ref="N19:S19" si="3">CONCATENATE(B6," ","
",
$Q$18)</f>
        <v>enero 
2.027</v>
      </c>
      <c r="O19" s="854" t="str">
        <f t="shared" si="3"/>
        <v>febrero 
2.027</v>
      </c>
      <c r="P19" s="854" t="str">
        <f t="shared" si="3"/>
        <v>marzo 
2.027</v>
      </c>
      <c r="Q19" s="854" t="str">
        <f t="shared" si="3"/>
        <v>abril 
2.027</v>
      </c>
      <c r="R19" s="854" t="str">
        <f t="shared" si="3"/>
        <v>mayo 
2.027</v>
      </c>
      <c r="S19" s="854" t="str">
        <f t="shared" si="3"/>
        <v>junio 
2.027</v>
      </c>
    </row>
    <row r="20" spans="1:19" s="843" customFormat="1" ht="16.149999999999999" customHeight="1" x14ac:dyDescent="0.25">
      <c r="A20" s="855" t="s">
        <v>938</v>
      </c>
      <c r="B20" s="988">
        <f>SUMPRODUCT('Politicas Cobros y Pagos'!$B$9:$B$16,B7:B14)</f>
        <v>0</v>
      </c>
      <c r="C20" s="988">
        <f>SUMPRODUCT('Politicas Cobros y Pagos'!$B$9:$B$16,C7:C14)</f>
        <v>0</v>
      </c>
      <c r="D20" s="988">
        <f>SUMPRODUCT('Politicas Cobros y Pagos'!$B$9:$B$16,D7:D14)</f>
        <v>0</v>
      </c>
      <c r="E20" s="988">
        <f>SUMPRODUCT('Politicas Cobros y Pagos'!$B$9:$B$16,E7:E14)</f>
        <v>0</v>
      </c>
      <c r="F20" s="988">
        <f>SUMPRODUCT('Politicas Cobros y Pagos'!$B$9:$B$16,F7:F14)</f>
        <v>0</v>
      </c>
      <c r="G20" s="988">
        <f>SUMPRODUCT('Politicas Cobros y Pagos'!$B$9:$B$16,G7:G14)</f>
        <v>0</v>
      </c>
      <c r="H20" s="988">
        <f>SUMPRODUCT('Politicas Cobros y Pagos'!$B$9:$B$16,H7:H14)</f>
        <v>0</v>
      </c>
      <c r="I20" s="988">
        <f>SUMPRODUCT('Politicas Cobros y Pagos'!$B$9:$B$16,I7:I14)</f>
        <v>0</v>
      </c>
      <c r="J20" s="988">
        <f>SUMPRODUCT('Politicas Cobros y Pagos'!$B$9:$B$16,J7:J14)</f>
        <v>0</v>
      </c>
      <c r="K20" s="988">
        <f>SUMPRODUCT('Politicas Cobros y Pagos'!$B$9:$B$16,K7:K14)</f>
        <v>0</v>
      </c>
      <c r="L20" s="988">
        <f>SUMPRODUCT('Politicas Cobros y Pagos'!$B$9:$B$16,L7:L14)</f>
        <v>0</v>
      </c>
      <c r="M20" s="988">
        <f>SUMPRODUCT('Politicas Cobros y Pagos'!$B$9:$B$16,M7:M14)</f>
        <v>0</v>
      </c>
      <c r="N20" s="988"/>
      <c r="O20" s="988"/>
      <c r="P20" s="988"/>
      <c r="Q20" s="988"/>
      <c r="R20" s="988"/>
      <c r="S20" s="988"/>
    </row>
    <row r="21" spans="1:19" s="845" customFormat="1" ht="16.149999999999999" customHeight="1" x14ac:dyDescent="0.25">
      <c r="A21" s="856">
        <v>30</v>
      </c>
      <c r="B21" s="991"/>
      <c r="C21" s="988">
        <f>SUMPRODUCT('Politicas Cobros y Pagos'!$C$9:$C$16,B$7:B$14)</f>
        <v>0</v>
      </c>
      <c r="D21" s="988">
        <f>SUMPRODUCT('Politicas Cobros y Pagos'!$C$9:$C$16,C$7:C$14)</f>
        <v>0</v>
      </c>
      <c r="E21" s="988">
        <f>SUMPRODUCT('Politicas Cobros y Pagos'!$C$9:$C$16,D$7:D$14)</f>
        <v>0</v>
      </c>
      <c r="F21" s="988">
        <f>SUMPRODUCT('Politicas Cobros y Pagos'!$C$9:$C$16,E$7:E$14)</f>
        <v>0</v>
      </c>
      <c r="G21" s="988">
        <f>SUMPRODUCT('Politicas Cobros y Pagos'!$C$9:$C$16,F$7:F$14)</f>
        <v>0</v>
      </c>
      <c r="H21" s="988">
        <f>SUMPRODUCT('Politicas Cobros y Pagos'!$C$9:$C$16,G$7:G$14)</f>
        <v>0</v>
      </c>
      <c r="I21" s="988">
        <f>SUMPRODUCT('Politicas Cobros y Pagos'!$C$9:$C$16,H$7:H$14)</f>
        <v>0</v>
      </c>
      <c r="J21" s="988">
        <f>SUMPRODUCT('Politicas Cobros y Pagos'!$C$9:$C$16,I$7:I$14)</f>
        <v>0</v>
      </c>
      <c r="K21" s="988">
        <f>SUMPRODUCT('Politicas Cobros y Pagos'!$C$9:$C$16,J$7:J$14)</f>
        <v>0</v>
      </c>
      <c r="L21" s="988">
        <f>SUMPRODUCT('Politicas Cobros y Pagos'!$C$9:$C$16,K$7:K$14)</f>
        <v>0</v>
      </c>
      <c r="M21" s="988">
        <f>SUMPRODUCT('Politicas Cobros y Pagos'!$C$9:$C$16,L$7:L$14)</f>
        <v>0</v>
      </c>
      <c r="N21" s="988">
        <f>SUMPRODUCT('Politicas Cobros y Pagos'!$C$9:$C$16,M$7:M$14)</f>
        <v>0</v>
      </c>
      <c r="O21" s="988"/>
      <c r="P21" s="988"/>
      <c r="Q21" s="988"/>
      <c r="R21" s="988"/>
      <c r="S21" s="988"/>
    </row>
    <row r="22" spans="1:19" s="843" customFormat="1" ht="16.149999999999999" customHeight="1" x14ac:dyDescent="0.25">
      <c r="A22" s="856">
        <v>60</v>
      </c>
      <c r="B22" s="991"/>
      <c r="C22" s="991"/>
      <c r="D22" s="988">
        <f>SUMPRODUCT('Politicas Cobros y Pagos'!$D$9:$D$16,B$7:B$14)</f>
        <v>0</v>
      </c>
      <c r="E22" s="988">
        <f>SUMPRODUCT('Politicas Cobros y Pagos'!$D$9:$D$16,C$7:C$14)</f>
        <v>0</v>
      </c>
      <c r="F22" s="988">
        <f>SUMPRODUCT('Politicas Cobros y Pagos'!$D$9:$D$16,D$7:D$14)</f>
        <v>0</v>
      </c>
      <c r="G22" s="988">
        <f>SUMPRODUCT('Politicas Cobros y Pagos'!$D$9:$D$16,E$7:E$14)</f>
        <v>0</v>
      </c>
      <c r="H22" s="988">
        <f>SUMPRODUCT('Politicas Cobros y Pagos'!$D$9:$D$16,F$7:F$14)</f>
        <v>0</v>
      </c>
      <c r="I22" s="988">
        <f>SUMPRODUCT('Politicas Cobros y Pagos'!$D$9:$D$16,G$7:G$14)</f>
        <v>0</v>
      </c>
      <c r="J22" s="988">
        <f>SUMPRODUCT('Politicas Cobros y Pagos'!$D$9:$D$16,H$7:H$14)</f>
        <v>0</v>
      </c>
      <c r="K22" s="988">
        <f>SUMPRODUCT('Politicas Cobros y Pagos'!$D$9:$D$16,I$7:I$14)</f>
        <v>0</v>
      </c>
      <c r="L22" s="988">
        <f>SUMPRODUCT('Politicas Cobros y Pagos'!$D$9:$D$16,J$7:J$14)</f>
        <v>0</v>
      </c>
      <c r="M22" s="988">
        <f>SUMPRODUCT('Politicas Cobros y Pagos'!$D$9:$D$16,K$7:K$14)</f>
        <v>0</v>
      </c>
      <c r="N22" s="988">
        <f>SUMPRODUCT('Politicas Cobros y Pagos'!$D$9:$D$16,L$7:L$14)</f>
        <v>0</v>
      </c>
      <c r="O22" s="988">
        <f>SUMPRODUCT('Politicas Cobros y Pagos'!$D$9:$D$16,M$7:M$14)</f>
        <v>0</v>
      </c>
      <c r="P22" s="988"/>
      <c r="Q22" s="988"/>
      <c r="R22" s="988"/>
      <c r="S22" s="988"/>
    </row>
    <row r="23" spans="1:19" s="843" customFormat="1" ht="16.149999999999999" customHeight="1" x14ac:dyDescent="0.25">
      <c r="A23" s="856">
        <v>90</v>
      </c>
      <c r="B23" s="991"/>
      <c r="C23" s="991"/>
      <c r="D23" s="991"/>
      <c r="E23" s="988">
        <f>SUMPRODUCT('Politicas Cobros y Pagos'!$E$9:$E$16,B$7:B$14)</f>
        <v>0</v>
      </c>
      <c r="F23" s="988">
        <f>SUMPRODUCT('Politicas Cobros y Pagos'!$E$9:$E$16,C$7:C$14)</f>
        <v>0</v>
      </c>
      <c r="G23" s="988">
        <f>SUMPRODUCT('Politicas Cobros y Pagos'!$E$9:$E$16,D$7:D$14)</f>
        <v>0</v>
      </c>
      <c r="H23" s="988">
        <f>SUMPRODUCT('Politicas Cobros y Pagos'!$E$9:$E$16,E$7:E$14)</f>
        <v>0</v>
      </c>
      <c r="I23" s="988">
        <f>SUMPRODUCT('Politicas Cobros y Pagos'!$E$9:$E$16,F$7:F$14)</f>
        <v>0</v>
      </c>
      <c r="J23" s="988">
        <f>SUMPRODUCT('Politicas Cobros y Pagos'!$E$9:$E$16,G$7:G$14)</f>
        <v>0</v>
      </c>
      <c r="K23" s="988">
        <f>SUMPRODUCT('Politicas Cobros y Pagos'!$E$9:$E$16,H$7:H$14)</f>
        <v>0</v>
      </c>
      <c r="L23" s="988">
        <f>SUMPRODUCT('Politicas Cobros y Pagos'!$E$9:$E$16,I$7:I$14)</f>
        <v>0</v>
      </c>
      <c r="M23" s="988">
        <f>SUMPRODUCT('Politicas Cobros y Pagos'!$E$9:$E$16,J$7:J$14)</f>
        <v>0</v>
      </c>
      <c r="N23" s="988">
        <f>SUMPRODUCT('Politicas Cobros y Pagos'!$E$9:$E$16,K$7:K$14)</f>
        <v>0</v>
      </c>
      <c r="O23" s="988">
        <f>SUMPRODUCT('Politicas Cobros y Pagos'!$E$9:$E$16,L$7:L$14)</f>
        <v>0</v>
      </c>
      <c r="P23" s="988">
        <f>SUMPRODUCT('Politicas Cobros y Pagos'!$E$9:$E$16,M$7:M$14)</f>
        <v>0</v>
      </c>
      <c r="Q23" s="988"/>
      <c r="R23" s="988"/>
      <c r="S23" s="988"/>
    </row>
    <row r="24" spans="1:19" s="843" customFormat="1" ht="16.149999999999999" customHeight="1" x14ac:dyDescent="0.25">
      <c r="A24" s="856">
        <v>120</v>
      </c>
      <c r="B24" s="991"/>
      <c r="C24" s="991"/>
      <c r="D24" s="991"/>
      <c r="E24" s="991"/>
      <c r="F24" s="988">
        <f>SUMPRODUCT('Politicas Cobros y Pagos'!$F$9:$F$16,B$7:B$14)</f>
        <v>0</v>
      </c>
      <c r="G24" s="988">
        <f>SUMPRODUCT('Politicas Cobros y Pagos'!$F$9:$F$16,C$7:C$14)</f>
        <v>0</v>
      </c>
      <c r="H24" s="988">
        <f>SUMPRODUCT('Politicas Cobros y Pagos'!$F$9:$F$16,D$7:D$14)</f>
        <v>0</v>
      </c>
      <c r="I24" s="988">
        <f>SUMPRODUCT('Politicas Cobros y Pagos'!$F$9:$F$16,E$7:E$14)</f>
        <v>0</v>
      </c>
      <c r="J24" s="988">
        <f>SUMPRODUCT('Politicas Cobros y Pagos'!$F$9:$F$16,F$7:F$14)</f>
        <v>0</v>
      </c>
      <c r="K24" s="988">
        <f>SUMPRODUCT('Politicas Cobros y Pagos'!$F$9:$F$16,G$7:G$14)</f>
        <v>0</v>
      </c>
      <c r="L24" s="988">
        <f>SUMPRODUCT('Politicas Cobros y Pagos'!$F$9:$F$16,H$7:H$14)</f>
        <v>0</v>
      </c>
      <c r="M24" s="988">
        <f>SUMPRODUCT('Politicas Cobros y Pagos'!$F$9:$F$16,I$7:I$14)</f>
        <v>0</v>
      </c>
      <c r="N24" s="988">
        <f>SUMPRODUCT('Politicas Cobros y Pagos'!$F$9:$F$16,J$7:J$14)</f>
        <v>0</v>
      </c>
      <c r="O24" s="988">
        <f>SUMPRODUCT('Politicas Cobros y Pagos'!$F$9:$F$16,K$7:K$14)</f>
        <v>0</v>
      </c>
      <c r="P24" s="988">
        <f>SUMPRODUCT('Politicas Cobros y Pagos'!$F$9:$F$16,L$7:L$14)</f>
        <v>0</v>
      </c>
      <c r="Q24" s="988">
        <f>SUMPRODUCT('Politicas Cobros y Pagos'!$F$9:$F$16,M$7:M$14)</f>
        <v>0</v>
      </c>
      <c r="R24" s="988"/>
      <c r="S24" s="988"/>
    </row>
    <row r="25" spans="1:19" s="843" customFormat="1" ht="16.149999999999999" customHeight="1" x14ac:dyDescent="0.25">
      <c r="A25" s="856">
        <v>150</v>
      </c>
      <c r="B25" s="991"/>
      <c r="C25" s="991"/>
      <c r="D25" s="991"/>
      <c r="E25" s="991"/>
      <c r="F25" s="991"/>
      <c r="G25" s="988">
        <f>SUMPRODUCT('Politicas Cobros y Pagos'!$G$9:$G$16,B$7:B$14)</f>
        <v>0</v>
      </c>
      <c r="H25" s="988">
        <f>SUMPRODUCT('Politicas Cobros y Pagos'!$G$9:$G$16,C$7:C$14)</f>
        <v>0</v>
      </c>
      <c r="I25" s="988">
        <f>SUMPRODUCT('Politicas Cobros y Pagos'!$G$9:$G$16,D$7:D$14)</f>
        <v>0</v>
      </c>
      <c r="J25" s="988">
        <f>SUMPRODUCT('Politicas Cobros y Pagos'!$G$9:$G$16,E$7:E$14)</f>
        <v>0</v>
      </c>
      <c r="K25" s="988">
        <f>SUMPRODUCT('Politicas Cobros y Pagos'!$G$9:$G$16,F$7:F$14)</f>
        <v>0</v>
      </c>
      <c r="L25" s="988">
        <f>SUMPRODUCT('Politicas Cobros y Pagos'!$G$9:$G$16,G$7:G$14)</f>
        <v>0</v>
      </c>
      <c r="M25" s="988">
        <f>SUMPRODUCT('Politicas Cobros y Pagos'!$G$9:$G$16,H$7:H$14)</f>
        <v>0</v>
      </c>
      <c r="N25" s="988">
        <f>SUMPRODUCT('Politicas Cobros y Pagos'!$G$9:$G$16,I$7:I$14)</f>
        <v>0</v>
      </c>
      <c r="O25" s="988">
        <f>SUMPRODUCT('Politicas Cobros y Pagos'!$G$9:$G$16,J$7:J$14)</f>
        <v>0</v>
      </c>
      <c r="P25" s="988">
        <f>SUMPRODUCT('Politicas Cobros y Pagos'!$G$9:$G$16,K$7:K$14)</f>
        <v>0</v>
      </c>
      <c r="Q25" s="988">
        <f>SUMPRODUCT('Politicas Cobros y Pagos'!$G$9:$G$16,L$7:L$14)</f>
        <v>0</v>
      </c>
      <c r="R25" s="988">
        <f>SUMPRODUCT('Politicas Cobros y Pagos'!$G$9:$G$16,M$7:M$14)</f>
        <v>0</v>
      </c>
      <c r="S25" s="988"/>
    </row>
    <row r="26" spans="1:19" s="843" customFormat="1" ht="16.149999999999999" customHeight="1" x14ac:dyDescent="0.25">
      <c r="A26" s="856">
        <v>180</v>
      </c>
      <c r="B26" s="991"/>
      <c r="C26" s="991"/>
      <c r="D26" s="991"/>
      <c r="E26" s="991"/>
      <c r="F26" s="991"/>
      <c r="G26" s="991"/>
      <c r="H26" s="988">
        <f>SUMPRODUCT('Politicas Cobros y Pagos'!$H$9:$H$16,B$7:B$14)</f>
        <v>0</v>
      </c>
      <c r="I26" s="988">
        <f>SUMPRODUCT('Politicas Cobros y Pagos'!$H$9:$H$16,C$7:C$14)</f>
        <v>0</v>
      </c>
      <c r="J26" s="988">
        <f>SUMPRODUCT('Politicas Cobros y Pagos'!$H$9:$H$16,D$7:D$14)</f>
        <v>0</v>
      </c>
      <c r="K26" s="988">
        <f>SUMPRODUCT('Politicas Cobros y Pagos'!$H$9:$H$16,E$7:E$14)</f>
        <v>0</v>
      </c>
      <c r="L26" s="988">
        <f>SUMPRODUCT('Politicas Cobros y Pagos'!$H$9:$H$16,F$7:F$14)</f>
        <v>0</v>
      </c>
      <c r="M26" s="988">
        <f>SUMPRODUCT('Politicas Cobros y Pagos'!$H$9:$H$16,G$7:G$14)</f>
        <v>0</v>
      </c>
      <c r="N26" s="988">
        <f>SUMPRODUCT('Politicas Cobros y Pagos'!$H$9:$H$16,H$7:H$14)</f>
        <v>0</v>
      </c>
      <c r="O26" s="988">
        <f>SUMPRODUCT('Politicas Cobros y Pagos'!$H$9:$H$16,I$7:I$14)</f>
        <v>0</v>
      </c>
      <c r="P26" s="988">
        <f>SUMPRODUCT('Politicas Cobros y Pagos'!$H$9:$H$16,J$7:J$14)</f>
        <v>0</v>
      </c>
      <c r="Q26" s="988">
        <f>SUMPRODUCT('Politicas Cobros y Pagos'!$H$9:$H$16,K$7:K$14)</f>
        <v>0</v>
      </c>
      <c r="R26" s="988">
        <f>SUMPRODUCT('Politicas Cobros y Pagos'!$H$9:$H$16,L$7:L$14)</f>
        <v>0</v>
      </c>
      <c r="S26" s="988">
        <f>SUMPRODUCT('Politicas Cobros y Pagos'!$H$9:$H$16,M$7:M$14)</f>
        <v>0</v>
      </c>
    </row>
    <row r="27" spans="1:19" s="845" customFormat="1" ht="16.149999999999999" customHeight="1" thickBot="1" x14ac:dyDescent="0.25">
      <c r="A27" s="857" t="s">
        <v>860</v>
      </c>
      <c r="B27" s="858">
        <f t="shared" ref="B27:S27" si="4">SUM(B20:B26)</f>
        <v>0</v>
      </c>
      <c r="C27" s="858">
        <f t="shared" si="4"/>
        <v>0</v>
      </c>
      <c r="D27" s="858">
        <f t="shared" si="4"/>
        <v>0</v>
      </c>
      <c r="E27" s="858">
        <f t="shared" si="4"/>
        <v>0</v>
      </c>
      <c r="F27" s="858">
        <f t="shared" si="4"/>
        <v>0</v>
      </c>
      <c r="G27" s="858">
        <f t="shared" si="4"/>
        <v>0</v>
      </c>
      <c r="H27" s="858">
        <f t="shared" si="4"/>
        <v>0</v>
      </c>
      <c r="I27" s="858">
        <f t="shared" si="4"/>
        <v>0</v>
      </c>
      <c r="J27" s="858">
        <f t="shared" si="4"/>
        <v>0</v>
      </c>
      <c r="K27" s="858">
        <f t="shared" si="4"/>
        <v>0</v>
      </c>
      <c r="L27" s="858">
        <f t="shared" si="4"/>
        <v>0</v>
      </c>
      <c r="M27" s="858">
        <f t="shared" si="4"/>
        <v>0</v>
      </c>
      <c r="N27" s="858">
        <f t="shared" si="4"/>
        <v>0</v>
      </c>
      <c r="O27" s="858">
        <f t="shared" si="4"/>
        <v>0</v>
      </c>
      <c r="P27" s="858">
        <f t="shared" si="4"/>
        <v>0</v>
      </c>
      <c r="Q27" s="858">
        <f t="shared" si="4"/>
        <v>0</v>
      </c>
      <c r="R27" s="858">
        <f t="shared" si="4"/>
        <v>0</v>
      </c>
      <c r="S27" s="858">
        <f t="shared" si="4"/>
        <v>0</v>
      </c>
    </row>
    <row r="28" spans="1:19" s="845" customFormat="1" ht="13.5" customHeight="1" thickBot="1" x14ac:dyDescent="0.25">
      <c r="B28" s="859"/>
    </row>
    <row r="29" spans="1:19" s="843" customFormat="1" ht="16.149999999999999" customHeight="1" thickBot="1" x14ac:dyDescent="0.3">
      <c r="A29" s="305"/>
      <c r="B29" s="859"/>
      <c r="O29" s="860"/>
      <c r="P29" s="861"/>
      <c r="Q29" s="861"/>
      <c r="R29" s="862" t="str">
        <f>CONCATENATE("Cobros de ventas pendintes para el año ",Q18," (sin IVA)")</f>
        <v>Cobros de ventas pendintes para el año 2.027 (sin IVA)</v>
      </c>
      <c r="S29" s="863">
        <f>SUM(N27:S27)</f>
        <v>0</v>
      </c>
    </row>
    <row r="30" spans="1:19" ht="27.75" x14ac:dyDescent="0.45">
      <c r="A30" s="408" t="s">
        <v>261</v>
      </c>
      <c r="G30" s="409"/>
      <c r="H30" s="409"/>
      <c r="P30" s="845"/>
    </row>
    <row r="31" spans="1:19" ht="7.5" customHeight="1" thickBot="1" x14ac:dyDescent="0.3">
      <c r="P31" s="845"/>
    </row>
    <row r="32" spans="1:19" ht="18" thickBot="1" x14ac:dyDescent="0.3">
      <c r="A32" s="454" t="s">
        <v>939</v>
      </c>
      <c r="B32" s="846" t="str">
        <f t="shared" ref="B32:M32" si="5">B$6</f>
        <v>enero</v>
      </c>
      <c r="C32" s="846" t="str">
        <f t="shared" si="5"/>
        <v>febrero</v>
      </c>
      <c r="D32" s="846" t="str">
        <f t="shared" si="5"/>
        <v>marzo</v>
      </c>
      <c r="E32" s="846" t="str">
        <f t="shared" si="5"/>
        <v>abril</v>
      </c>
      <c r="F32" s="846" t="str">
        <f t="shared" si="5"/>
        <v>mayo</v>
      </c>
      <c r="G32" s="846" t="str">
        <f t="shared" si="5"/>
        <v>junio</v>
      </c>
      <c r="H32" s="846" t="str">
        <f t="shared" si="5"/>
        <v>julio</v>
      </c>
      <c r="I32" s="846" t="str">
        <f t="shared" si="5"/>
        <v>agosto</v>
      </c>
      <c r="J32" s="846" t="str">
        <f t="shared" si="5"/>
        <v>septiembre</v>
      </c>
      <c r="K32" s="846" t="str">
        <f t="shared" si="5"/>
        <v>octubre</v>
      </c>
      <c r="L32" s="846" t="str">
        <f t="shared" si="5"/>
        <v>noviembre</v>
      </c>
      <c r="M32" s="846" t="str">
        <f t="shared" si="5"/>
        <v>diciembre</v>
      </c>
      <c r="N32" s="840" t="s">
        <v>860</v>
      </c>
      <c r="O32" s="845"/>
    </row>
    <row r="33" spans="1:19" ht="17.25" x14ac:dyDescent="0.3">
      <c r="A33" s="848" t="str">
        <f t="shared" ref="A33:A40" si="6">A7</f>
        <v/>
      </c>
      <c r="B33" s="988">
        <f>'Prev.Ventas 0'!B31*(1+Parametros!$F24)</f>
        <v>0</v>
      </c>
      <c r="C33" s="988">
        <f>'Prev.Ventas 0'!C31*(1+Parametros!$F24)</f>
        <v>0</v>
      </c>
      <c r="D33" s="988">
        <f>'Prev.Ventas 0'!D31*(1+Parametros!$F24)</f>
        <v>0</v>
      </c>
      <c r="E33" s="988">
        <f>'Prev.Ventas 0'!E31*(1+Parametros!$F24)</f>
        <v>0</v>
      </c>
      <c r="F33" s="988">
        <f>'Prev.Ventas 0'!F31*(1+Parametros!$F24)</f>
        <v>0</v>
      </c>
      <c r="G33" s="988">
        <f>'Prev.Ventas 0'!G31*(1+Parametros!$F24)</f>
        <v>0</v>
      </c>
      <c r="H33" s="988">
        <f>'Prev.Ventas 0'!H31*(1+Parametros!$F24)</f>
        <v>0</v>
      </c>
      <c r="I33" s="988">
        <f>'Prev.Ventas 0'!I31*(1+Parametros!$F24)</f>
        <v>0</v>
      </c>
      <c r="J33" s="988">
        <f>'Prev.Ventas 0'!J31*(1+Parametros!$F24)</f>
        <v>0</v>
      </c>
      <c r="K33" s="988">
        <f>'Prev.Ventas 0'!K31*(1+Parametros!$F24)</f>
        <v>0</v>
      </c>
      <c r="L33" s="988">
        <f>'Prev.Ventas 0'!L31*(1+Parametros!$F24)</f>
        <v>0</v>
      </c>
      <c r="M33" s="988">
        <f>'Prev.Ventas 0'!M31*(1+Parametros!$F24)</f>
        <v>0</v>
      </c>
      <c r="N33" s="992">
        <f t="shared" ref="N33:N40" si="7">SUM(B33:M33)</f>
        <v>0</v>
      </c>
      <c r="O33" s="845"/>
    </row>
    <row r="34" spans="1:19" ht="17.25" x14ac:dyDescent="0.3">
      <c r="A34" s="849" t="str">
        <f t="shared" si="6"/>
        <v/>
      </c>
      <c r="B34" s="988">
        <f>'Prev.Ventas 0'!B32*(1+Parametros!$F25)</f>
        <v>0</v>
      </c>
      <c r="C34" s="988">
        <f>'Prev.Ventas 0'!C32*(1+Parametros!$F25)</f>
        <v>0</v>
      </c>
      <c r="D34" s="988">
        <f>'Prev.Ventas 0'!D32*(1+Parametros!$F25)</f>
        <v>0</v>
      </c>
      <c r="E34" s="988">
        <f>'Prev.Ventas 0'!E32*(1+Parametros!$F25)</f>
        <v>0</v>
      </c>
      <c r="F34" s="988">
        <f>'Prev.Ventas 0'!F32*(1+Parametros!$F25)</f>
        <v>0</v>
      </c>
      <c r="G34" s="988">
        <f>'Prev.Ventas 0'!G32*(1+Parametros!$F25)</f>
        <v>0</v>
      </c>
      <c r="H34" s="988">
        <f>'Prev.Ventas 0'!H32*(1+Parametros!$F25)</f>
        <v>0</v>
      </c>
      <c r="I34" s="988">
        <f>'Prev.Ventas 0'!I32*(1+Parametros!$F25)</f>
        <v>0</v>
      </c>
      <c r="J34" s="988">
        <f>'Prev.Ventas 0'!J32*(1+Parametros!$F25)</f>
        <v>0</v>
      </c>
      <c r="K34" s="988">
        <f>'Prev.Ventas 0'!K32*(1+Parametros!$F25)</f>
        <v>0</v>
      </c>
      <c r="L34" s="988">
        <f>'Prev.Ventas 0'!L32*(1+Parametros!$F25)</f>
        <v>0</v>
      </c>
      <c r="M34" s="988">
        <f>'Prev.Ventas 0'!M32*(1+Parametros!$F25)</f>
        <v>0</v>
      </c>
      <c r="N34" s="992">
        <f t="shared" si="7"/>
        <v>0</v>
      </c>
      <c r="O34" s="845"/>
    </row>
    <row r="35" spans="1:19" ht="17.25" x14ac:dyDescent="0.3">
      <c r="A35" s="849" t="str">
        <f t="shared" si="6"/>
        <v/>
      </c>
      <c r="B35" s="988">
        <f>'Prev.Ventas 0'!B33*(1+Parametros!$F26)</f>
        <v>0</v>
      </c>
      <c r="C35" s="988">
        <f>'Prev.Ventas 0'!C33*(1+Parametros!$F26)</f>
        <v>0</v>
      </c>
      <c r="D35" s="988">
        <f>'Prev.Ventas 0'!D33*(1+Parametros!$F26)</f>
        <v>0</v>
      </c>
      <c r="E35" s="988">
        <f>'Prev.Ventas 0'!E33*(1+Parametros!$F26)</f>
        <v>0</v>
      </c>
      <c r="F35" s="988">
        <f>'Prev.Ventas 0'!F33*(1+Parametros!$F26)</f>
        <v>0</v>
      </c>
      <c r="G35" s="988">
        <f>'Prev.Ventas 0'!G33*(1+Parametros!$F26)</f>
        <v>0</v>
      </c>
      <c r="H35" s="988">
        <f>'Prev.Ventas 0'!H33*(1+Parametros!$F26)</f>
        <v>0</v>
      </c>
      <c r="I35" s="988">
        <f>'Prev.Ventas 0'!I33*(1+Parametros!$F26)</f>
        <v>0</v>
      </c>
      <c r="J35" s="988">
        <f>'Prev.Ventas 0'!J33*(1+Parametros!$F26)</f>
        <v>0</v>
      </c>
      <c r="K35" s="988">
        <f>'Prev.Ventas 0'!K33*(1+Parametros!$F26)</f>
        <v>0</v>
      </c>
      <c r="L35" s="988">
        <f>'Prev.Ventas 0'!L33*(1+Parametros!$F26)</f>
        <v>0</v>
      </c>
      <c r="M35" s="988">
        <f>'Prev.Ventas 0'!M33*(1+Parametros!$F26)</f>
        <v>0</v>
      </c>
      <c r="N35" s="992">
        <f t="shared" si="7"/>
        <v>0</v>
      </c>
      <c r="O35" s="845"/>
    </row>
    <row r="36" spans="1:19" ht="17.25" x14ac:dyDescent="0.3">
      <c r="A36" s="849" t="str">
        <f t="shared" si="6"/>
        <v/>
      </c>
      <c r="B36" s="988">
        <f>'Prev.Ventas 0'!B34*(1+Parametros!$F27)</f>
        <v>0</v>
      </c>
      <c r="C36" s="988">
        <f>'Prev.Ventas 0'!C34*(1+Parametros!$F27)</f>
        <v>0</v>
      </c>
      <c r="D36" s="988">
        <f>'Prev.Ventas 0'!D34*(1+Parametros!$F27)</f>
        <v>0</v>
      </c>
      <c r="E36" s="988">
        <f>'Prev.Ventas 0'!E34*(1+Parametros!$F27)</f>
        <v>0</v>
      </c>
      <c r="F36" s="988">
        <f>'Prev.Ventas 0'!F34*(1+Parametros!$F27)</f>
        <v>0</v>
      </c>
      <c r="G36" s="988">
        <f>'Prev.Ventas 0'!G34*(1+Parametros!$F27)</f>
        <v>0</v>
      </c>
      <c r="H36" s="988">
        <f>'Prev.Ventas 0'!H34*(1+Parametros!$F27)</f>
        <v>0</v>
      </c>
      <c r="I36" s="988">
        <f>'Prev.Ventas 0'!I34*(1+Parametros!$F27)</f>
        <v>0</v>
      </c>
      <c r="J36" s="988">
        <f>'Prev.Ventas 0'!J34*(1+Parametros!$F27)</f>
        <v>0</v>
      </c>
      <c r="K36" s="988">
        <f>'Prev.Ventas 0'!K34*(1+Parametros!$F27)</f>
        <v>0</v>
      </c>
      <c r="L36" s="988">
        <f>'Prev.Ventas 0'!L34*(1+Parametros!$F27)</f>
        <v>0</v>
      </c>
      <c r="M36" s="988">
        <f>'Prev.Ventas 0'!M34*(1+Parametros!$F27)</f>
        <v>0</v>
      </c>
      <c r="N36" s="992">
        <f t="shared" si="7"/>
        <v>0</v>
      </c>
      <c r="O36" s="845"/>
    </row>
    <row r="37" spans="1:19" ht="17.25" x14ac:dyDescent="0.3">
      <c r="A37" s="849" t="str">
        <f t="shared" si="6"/>
        <v/>
      </c>
      <c r="B37" s="988">
        <f>'Prev.Ventas 0'!B35*(1+Parametros!$F28)</f>
        <v>0</v>
      </c>
      <c r="C37" s="988">
        <f>'Prev.Ventas 0'!C35*(1+Parametros!$F28)</f>
        <v>0</v>
      </c>
      <c r="D37" s="988">
        <f>'Prev.Ventas 0'!D35*(1+Parametros!$F28)</f>
        <v>0</v>
      </c>
      <c r="E37" s="988">
        <f>'Prev.Ventas 0'!E35*(1+Parametros!$F28)</f>
        <v>0</v>
      </c>
      <c r="F37" s="988">
        <f>'Prev.Ventas 0'!F35*(1+Parametros!$F28)</f>
        <v>0</v>
      </c>
      <c r="G37" s="988">
        <f>'Prev.Ventas 0'!G35*(1+Parametros!$F28)</f>
        <v>0</v>
      </c>
      <c r="H37" s="988">
        <f>'Prev.Ventas 0'!H35*(1+Parametros!$F28)</f>
        <v>0</v>
      </c>
      <c r="I37" s="988">
        <f>'Prev.Ventas 0'!I35*(1+Parametros!$F28)</f>
        <v>0</v>
      </c>
      <c r="J37" s="988">
        <f>'Prev.Ventas 0'!J35*(1+Parametros!$F28)</f>
        <v>0</v>
      </c>
      <c r="K37" s="988">
        <f>'Prev.Ventas 0'!K35*(1+Parametros!$F28)</f>
        <v>0</v>
      </c>
      <c r="L37" s="988">
        <f>'Prev.Ventas 0'!L35*(1+Parametros!$F28)</f>
        <v>0</v>
      </c>
      <c r="M37" s="988">
        <f>'Prev.Ventas 0'!M35*(1+Parametros!$F28)</f>
        <v>0</v>
      </c>
      <c r="N37" s="992">
        <f t="shared" si="7"/>
        <v>0</v>
      </c>
      <c r="O37" s="845"/>
    </row>
    <row r="38" spans="1:19" ht="17.25" x14ac:dyDescent="0.3">
      <c r="A38" s="849" t="str">
        <f t="shared" si="6"/>
        <v/>
      </c>
      <c r="B38" s="988">
        <f>'Prev.Ventas 0'!B36*(1+Parametros!$F29)</f>
        <v>0</v>
      </c>
      <c r="C38" s="988">
        <f>'Prev.Ventas 0'!C36*(1+Parametros!$F29)</f>
        <v>0</v>
      </c>
      <c r="D38" s="988">
        <f>'Prev.Ventas 0'!D36*(1+Parametros!$F29)</f>
        <v>0</v>
      </c>
      <c r="E38" s="988">
        <f>'Prev.Ventas 0'!E36*(1+Parametros!$F29)</f>
        <v>0</v>
      </c>
      <c r="F38" s="988">
        <f>'Prev.Ventas 0'!F36*(1+Parametros!$F29)</f>
        <v>0</v>
      </c>
      <c r="G38" s="988">
        <f>'Prev.Ventas 0'!G36*(1+Parametros!$F29)</f>
        <v>0</v>
      </c>
      <c r="H38" s="988">
        <f>'Prev.Ventas 0'!H36*(1+Parametros!$F29)</f>
        <v>0</v>
      </c>
      <c r="I38" s="988">
        <f>'Prev.Ventas 0'!I36*(1+Parametros!$F29)</f>
        <v>0</v>
      </c>
      <c r="J38" s="988">
        <f>'Prev.Ventas 0'!J36*(1+Parametros!$F29)</f>
        <v>0</v>
      </c>
      <c r="K38" s="988">
        <f>'Prev.Ventas 0'!K36*(1+Parametros!$F29)</f>
        <v>0</v>
      </c>
      <c r="L38" s="988">
        <f>'Prev.Ventas 0'!L36*(1+Parametros!$F29)</f>
        <v>0</v>
      </c>
      <c r="M38" s="988">
        <f>'Prev.Ventas 0'!M36*(1+Parametros!$F29)</f>
        <v>0</v>
      </c>
      <c r="N38" s="992">
        <f t="shared" si="7"/>
        <v>0</v>
      </c>
      <c r="O38" s="845"/>
    </row>
    <row r="39" spans="1:19" ht="17.25" x14ac:dyDescent="0.3">
      <c r="A39" s="849" t="str">
        <f t="shared" si="6"/>
        <v/>
      </c>
      <c r="B39" s="988">
        <f>'Prev.Ventas 0'!B37*(1+Parametros!$F30)</f>
        <v>0</v>
      </c>
      <c r="C39" s="988">
        <f>'Prev.Ventas 0'!C37*(1+Parametros!$F30)</f>
        <v>0</v>
      </c>
      <c r="D39" s="988">
        <f>'Prev.Ventas 0'!D37*(1+Parametros!$F30)</f>
        <v>0</v>
      </c>
      <c r="E39" s="988">
        <f>'Prev.Ventas 0'!E37*(1+Parametros!$F30)</f>
        <v>0</v>
      </c>
      <c r="F39" s="988">
        <f>'Prev.Ventas 0'!F37*(1+Parametros!$F30)</f>
        <v>0</v>
      </c>
      <c r="G39" s="988">
        <f>'Prev.Ventas 0'!G37*(1+Parametros!$F30)</f>
        <v>0</v>
      </c>
      <c r="H39" s="988">
        <f>'Prev.Ventas 0'!H37*(1+Parametros!$F30)</f>
        <v>0</v>
      </c>
      <c r="I39" s="988">
        <f>'Prev.Ventas 0'!I37*(1+Parametros!$F30)</f>
        <v>0</v>
      </c>
      <c r="J39" s="988">
        <f>'Prev.Ventas 0'!J37*(1+Parametros!$F30)</f>
        <v>0</v>
      </c>
      <c r="K39" s="988">
        <f>'Prev.Ventas 0'!K37*(1+Parametros!$F30)</f>
        <v>0</v>
      </c>
      <c r="L39" s="988">
        <f>'Prev.Ventas 0'!L37*(1+Parametros!$F30)</f>
        <v>0</v>
      </c>
      <c r="M39" s="988">
        <f>'Prev.Ventas 0'!M37*(1+Parametros!$F30)</f>
        <v>0</v>
      </c>
      <c r="N39" s="992">
        <f t="shared" si="7"/>
        <v>0</v>
      </c>
      <c r="O39" s="845"/>
    </row>
    <row r="40" spans="1:19" ht="18" thickBot="1" x14ac:dyDescent="0.35">
      <c r="A40" s="864" t="str">
        <f t="shared" si="6"/>
        <v/>
      </c>
      <c r="B40" s="990">
        <f>'Prev.Ventas 0'!B38*(1+Parametros!$F31)</f>
        <v>0</v>
      </c>
      <c r="C40" s="990">
        <f>'Prev.Ventas 0'!C38*(1+Parametros!$F31)</f>
        <v>0</v>
      </c>
      <c r="D40" s="990">
        <f>'Prev.Ventas 0'!D38*(1+Parametros!$F31)</f>
        <v>0</v>
      </c>
      <c r="E40" s="990">
        <f>'Prev.Ventas 0'!E38*(1+Parametros!$F31)</f>
        <v>0</v>
      </c>
      <c r="F40" s="990">
        <f>'Prev.Ventas 0'!F38*(1+Parametros!$F31)</f>
        <v>0</v>
      </c>
      <c r="G40" s="990">
        <f>'Prev.Ventas 0'!G38*(1+Parametros!$F31)</f>
        <v>0</v>
      </c>
      <c r="H40" s="990">
        <f>'Prev.Ventas 0'!H38*(1+Parametros!$F31)</f>
        <v>0</v>
      </c>
      <c r="I40" s="990">
        <f>'Prev.Ventas 0'!I38*(1+Parametros!$F31)</f>
        <v>0</v>
      </c>
      <c r="J40" s="990">
        <f>'Prev.Ventas 0'!J38*(1+Parametros!$F31)</f>
        <v>0</v>
      </c>
      <c r="K40" s="990">
        <f>'Prev.Ventas 0'!K38*(1+Parametros!$F31)</f>
        <v>0</v>
      </c>
      <c r="L40" s="990">
        <f>'Prev.Ventas 0'!L38*(1+Parametros!$F31)</f>
        <v>0</v>
      </c>
      <c r="M40" s="990">
        <f>'Prev.Ventas 0'!M38*(1+Parametros!$F31)</f>
        <v>0</v>
      </c>
      <c r="N40" s="992">
        <f t="shared" si="7"/>
        <v>0</v>
      </c>
      <c r="O40" s="845"/>
    </row>
    <row r="41" spans="1:19" ht="18" thickBot="1" x14ac:dyDescent="0.35">
      <c r="A41" s="410" t="s">
        <v>860</v>
      </c>
      <c r="B41" s="851">
        <f t="shared" ref="B41:N41" si="8">SUM(B33:B40)</f>
        <v>0</v>
      </c>
      <c r="C41" s="851">
        <f t="shared" si="8"/>
        <v>0</v>
      </c>
      <c r="D41" s="851">
        <f t="shared" si="8"/>
        <v>0</v>
      </c>
      <c r="E41" s="851">
        <f t="shared" si="8"/>
        <v>0</v>
      </c>
      <c r="F41" s="851">
        <f t="shared" si="8"/>
        <v>0</v>
      </c>
      <c r="G41" s="851">
        <f t="shared" si="8"/>
        <v>0</v>
      </c>
      <c r="H41" s="851">
        <f t="shared" si="8"/>
        <v>0</v>
      </c>
      <c r="I41" s="851">
        <f t="shared" si="8"/>
        <v>0</v>
      </c>
      <c r="J41" s="851">
        <f t="shared" si="8"/>
        <v>0</v>
      </c>
      <c r="K41" s="851">
        <f t="shared" si="8"/>
        <v>0</v>
      </c>
      <c r="L41" s="851">
        <f t="shared" si="8"/>
        <v>0</v>
      </c>
      <c r="M41" s="851">
        <f t="shared" si="8"/>
        <v>0</v>
      </c>
      <c r="N41" s="851">
        <f t="shared" si="8"/>
        <v>0</v>
      </c>
      <c r="O41" s="845"/>
    </row>
    <row r="42" spans="1:19" x14ac:dyDescent="0.25">
      <c r="C42" s="845"/>
      <c r="D42" s="845"/>
      <c r="E42" s="845"/>
      <c r="F42" s="845"/>
      <c r="G42" s="845"/>
      <c r="H42" s="845"/>
      <c r="I42" s="845"/>
      <c r="J42" s="845"/>
      <c r="K42" s="845"/>
      <c r="L42" s="845"/>
      <c r="M42" s="845"/>
      <c r="N42" s="845"/>
      <c r="O42" s="845"/>
      <c r="P42" s="845"/>
    </row>
    <row r="43" spans="1:19" ht="27.75" x14ac:dyDescent="0.45">
      <c r="A43" s="408" t="s">
        <v>260</v>
      </c>
      <c r="C43" s="845"/>
      <c r="D43" s="845"/>
      <c r="E43" s="845"/>
      <c r="G43" s="409"/>
      <c r="H43" s="409"/>
      <c r="I43" s="845"/>
      <c r="J43" s="845"/>
      <c r="K43" s="845"/>
      <c r="L43" s="845"/>
      <c r="M43" s="845"/>
      <c r="N43" s="845"/>
      <c r="O43" s="845"/>
      <c r="P43" s="845"/>
    </row>
    <row r="44" spans="1:19" ht="16.5" thickBot="1" x14ac:dyDescent="0.3">
      <c r="A44" s="845"/>
      <c r="B44" s="847"/>
      <c r="C44" s="845"/>
      <c r="D44" s="845"/>
      <c r="E44" s="845"/>
      <c r="F44" s="845"/>
      <c r="G44" s="845"/>
      <c r="H44" s="845"/>
      <c r="I44" s="845"/>
      <c r="J44" s="845"/>
      <c r="K44" s="845"/>
      <c r="L44" s="845"/>
      <c r="M44" s="845"/>
      <c r="N44" s="845"/>
      <c r="O44" s="845"/>
      <c r="P44" s="852" t="s">
        <v>160</v>
      </c>
      <c r="Q44" s="853" t="str">
        <f>Q18</f>
        <v>2.027</v>
      </c>
    </row>
    <row r="45" spans="1:19" ht="27.75" customHeight="1" thickBot="1" x14ac:dyDescent="0.3">
      <c r="A45" s="454" t="s">
        <v>940</v>
      </c>
      <c r="B45" s="854" t="str">
        <f t="shared" ref="B45:K45" si="9">B19</f>
        <v>enero 
2026</v>
      </c>
      <c r="C45" s="854" t="str">
        <f t="shared" si="9"/>
        <v>febrero 
2026</v>
      </c>
      <c r="D45" s="854" t="str">
        <f t="shared" si="9"/>
        <v>marzo 
2026</v>
      </c>
      <c r="E45" s="854" t="str">
        <f t="shared" si="9"/>
        <v>abril 
2026</v>
      </c>
      <c r="F45" s="854" t="str">
        <f t="shared" si="9"/>
        <v>mayo 
2026</v>
      </c>
      <c r="G45" s="854" t="str">
        <f t="shared" si="9"/>
        <v>junio 
2026</v>
      </c>
      <c r="H45" s="854" t="str">
        <f t="shared" si="9"/>
        <v>julio 
2026</v>
      </c>
      <c r="I45" s="854" t="str">
        <f t="shared" si="9"/>
        <v>agosto 
2026</v>
      </c>
      <c r="J45" s="854" t="str">
        <f t="shared" si="9"/>
        <v>septiembre 
2026</v>
      </c>
      <c r="K45" s="854" t="str">
        <f t="shared" si="9"/>
        <v>octubre 
2026</v>
      </c>
      <c r="L45" s="854" t="str">
        <f t="shared" ref="L45:S45" si="10">L19</f>
        <v>noviembre 
2026</v>
      </c>
      <c r="M45" s="854" t="str">
        <f t="shared" si="10"/>
        <v>diciembre 
2026</v>
      </c>
      <c r="N45" s="854" t="str">
        <f t="shared" si="10"/>
        <v>enero 
2.027</v>
      </c>
      <c r="O45" s="854" t="str">
        <f t="shared" si="10"/>
        <v>febrero 
2.027</v>
      </c>
      <c r="P45" s="854" t="str">
        <f t="shared" si="10"/>
        <v>marzo 
2.027</v>
      </c>
      <c r="Q45" s="854" t="str">
        <f t="shared" si="10"/>
        <v>abril 
2.027</v>
      </c>
      <c r="R45" s="854" t="str">
        <f t="shared" si="10"/>
        <v>mayo 
2.027</v>
      </c>
      <c r="S45" s="854" t="str">
        <f t="shared" si="10"/>
        <v>junio 
2.027</v>
      </c>
    </row>
    <row r="46" spans="1:19" x14ac:dyDescent="0.25">
      <c r="A46" s="855" t="s">
        <v>938</v>
      </c>
      <c r="B46" s="988">
        <f>SUMPRODUCT('Politicas Cobros y Pagos'!$B$56:$B$63,B$33:B$40)</f>
        <v>0</v>
      </c>
      <c r="C46" s="988">
        <f>SUMPRODUCT('Politicas Cobros y Pagos'!$B$56:$B$63,C$33:C$40)</f>
        <v>0</v>
      </c>
      <c r="D46" s="988">
        <f>SUMPRODUCT('Politicas Cobros y Pagos'!$B$56:$B$63,D$33:D$40)</f>
        <v>0</v>
      </c>
      <c r="E46" s="988">
        <f>SUMPRODUCT('Politicas Cobros y Pagos'!$B$56:$B$63,E$33:E$40)</f>
        <v>0</v>
      </c>
      <c r="F46" s="988">
        <f>SUMPRODUCT('Politicas Cobros y Pagos'!$B$56:$B$63,F$33:F$40)</f>
        <v>0</v>
      </c>
      <c r="G46" s="988">
        <f>SUMPRODUCT('Politicas Cobros y Pagos'!$B$56:$B$63,G$33:G$40)</f>
        <v>0</v>
      </c>
      <c r="H46" s="988">
        <f>SUMPRODUCT('Politicas Cobros y Pagos'!$B$56:$B$63,H$33:H$40)</f>
        <v>0</v>
      </c>
      <c r="I46" s="988">
        <f>SUMPRODUCT('Politicas Cobros y Pagos'!$B$56:$B$63,I$33:I$40)</f>
        <v>0</v>
      </c>
      <c r="J46" s="988">
        <f>SUMPRODUCT('Politicas Cobros y Pagos'!$B$56:$B$63,J$33:J$40)</f>
        <v>0</v>
      </c>
      <c r="K46" s="988">
        <f>SUMPRODUCT('Politicas Cobros y Pagos'!$B$56:$B$63,K$33:K$40)</f>
        <v>0</v>
      </c>
      <c r="L46" s="988">
        <f>SUMPRODUCT('Politicas Cobros y Pagos'!$B$56:$B$63,L$33:L$40)</f>
        <v>0</v>
      </c>
      <c r="M46" s="988">
        <f>SUMPRODUCT('Politicas Cobros y Pagos'!$B$56:$B$63,M$33:M$40)</f>
        <v>0</v>
      </c>
      <c r="N46" s="988"/>
      <c r="O46" s="988"/>
      <c r="P46" s="988"/>
      <c r="Q46" s="988"/>
      <c r="R46" s="988"/>
      <c r="S46" s="988"/>
    </row>
    <row r="47" spans="1:19" x14ac:dyDescent="0.25">
      <c r="A47" s="856">
        <v>30</v>
      </c>
      <c r="B47" s="991"/>
      <c r="C47" s="988">
        <f>SUMPRODUCT('Politicas Cobros y Pagos'!$C$56:$C$63,B$33:B$40)</f>
        <v>0</v>
      </c>
      <c r="D47" s="988">
        <f>SUMPRODUCT('Politicas Cobros y Pagos'!$C$56:$C$63,C$33:C$40)</f>
        <v>0</v>
      </c>
      <c r="E47" s="988">
        <f>SUMPRODUCT('Politicas Cobros y Pagos'!$C$56:$C$63,D$33:D$40)</f>
        <v>0</v>
      </c>
      <c r="F47" s="988">
        <f>SUMPRODUCT('Politicas Cobros y Pagos'!$C$56:$C$63,E$33:E$40)</f>
        <v>0</v>
      </c>
      <c r="G47" s="988">
        <f>SUMPRODUCT('Politicas Cobros y Pagos'!$C$56:$C$63,F$33:F$40)</f>
        <v>0</v>
      </c>
      <c r="H47" s="988">
        <f>SUMPRODUCT('Politicas Cobros y Pagos'!$C$56:$C$63,G$33:G$40)</f>
        <v>0</v>
      </c>
      <c r="I47" s="988">
        <f>SUMPRODUCT('Politicas Cobros y Pagos'!$C$56:$C$63,H$33:H$40)</f>
        <v>0</v>
      </c>
      <c r="J47" s="988">
        <f>SUMPRODUCT('Politicas Cobros y Pagos'!$C$56:$C$63,I$33:I$40)</f>
        <v>0</v>
      </c>
      <c r="K47" s="988">
        <f>SUMPRODUCT('Politicas Cobros y Pagos'!$C$56:$C$63,J$33:J$40)</f>
        <v>0</v>
      </c>
      <c r="L47" s="988">
        <f>SUMPRODUCT('Politicas Cobros y Pagos'!$C$56:$C$63,K$33:K$40)</f>
        <v>0</v>
      </c>
      <c r="M47" s="988">
        <f>SUMPRODUCT('Politicas Cobros y Pagos'!$C$56:$C$63,L$33:L$40)</f>
        <v>0</v>
      </c>
      <c r="N47" s="988">
        <f>SUMPRODUCT('Politicas Cobros y Pagos'!$C$56:$C$63,M$33:M$40)</f>
        <v>0</v>
      </c>
      <c r="O47" s="988"/>
      <c r="P47" s="988"/>
      <c r="Q47" s="988"/>
      <c r="R47" s="988"/>
      <c r="S47" s="988"/>
    </row>
    <row r="48" spans="1:19" x14ac:dyDescent="0.25">
      <c r="A48" s="856">
        <v>60</v>
      </c>
      <c r="B48" s="991"/>
      <c r="C48" s="991"/>
      <c r="D48" s="988">
        <f>SUMPRODUCT('Politicas Cobros y Pagos'!$D$56:$D$63,B$33:B$40)</f>
        <v>0</v>
      </c>
      <c r="E48" s="988">
        <f>SUMPRODUCT('Politicas Cobros y Pagos'!$D$56:$D$63,C$33:C$40)</f>
        <v>0</v>
      </c>
      <c r="F48" s="988">
        <f>SUMPRODUCT('Politicas Cobros y Pagos'!$D$56:$D$63,D$33:D$40)</f>
        <v>0</v>
      </c>
      <c r="G48" s="988">
        <f>SUMPRODUCT('Politicas Cobros y Pagos'!$D$56:$D$63,E$33:E$40)</f>
        <v>0</v>
      </c>
      <c r="H48" s="988">
        <f>SUMPRODUCT('Politicas Cobros y Pagos'!$D$56:$D$63,F$33:F$40)</f>
        <v>0</v>
      </c>
      <c r="I48" s="988">
        <f>SUMPRODUCT('Politicas Cobros y Pagos'!$D$56:$D$63,G$33:G$40)</f>
        <v>0</v>
      </c>
      <c r="J48" s="988">
        <f>SUMPRODUCT('Politicas Cobros y Pagos'!$D$56:$D$63,H$33:H$40)</f>
        <v>0</v>
      </c>
      <c r="K48" s="988">
        <f>SUMPRODUCT('Politicas Cobros y Pagos'!$D$56:$D$63,I$33:I$40)</f>
        <v>0</v>
      </c>
      <c r="L48" s="988">
        <f>SUMPRODUCT('Politicas Cobros y Pagos'!$D$56:$D$63,J$33:J$40)</f>
        <v>0</v>
      </c>
      <c r="M48" s="988">
        <f>SUMPRODUCT('Politicas Cobros y Pagos'!$D$56:$D$63,K$33:K$40)</f>
        <v>0</v>
      </c>
      <c r="N48" s="988">
        <f>SUMPRODUCT('Politicas Cobros y Pagos'!$D$56:$D$63,L$33:L$40)</f>
        <v>0</v>
      </c>
      <c r="O48" s="988">
        <f>SUMPRODUCT('Politicas Cobros y Pagos'!$D$56:$D$63,M$33:M$40)</f>
        <v>0</v>
      </c>
      <c r="P48" s="988"/>
      <c r="Q48" s="988"/>
      <c r="R48" s="988"/>
      <c r="S48" s="988"/>
    </row>
    <row r="49" spans="1:19" x14ac:dyDescent="0.25">
      <c r="A49" s="856">
        <v>90</v>
      </c>
      <c r="B49" s="991"/>
      <c r="C49" s="991"/>
      <c r="D49" s="991"/>
      <c r="E49" s="988">
        <f>SUMPRODUCT('Politicas Cobros y Pagos'!$E$56:$E$63,B$33:B$40)</f>
        <v>0</v>
      </c>
      <c r="F49" s="988">
        <f>SUMPRODUCT('Politicas Cobros y Pagos'!$E$56:$E$63,C$33:C$40)</f>
        <v>0</v>
      </c>
      <c r="G49" s="988">
        <f>SUMPRODUCT('Politicas Cobros y Pagos'!$E$56:$E$63,D$33:D$40)</f>
        <v>0</v>
      </c>
      <c r="H49" s="988">
        <f>SUMPRODUCT('Politicas Cobros y Pagos'!$E$56:$E$63,E$33:E$40)</f>
        <v>0</v>
      </c>
      <c r="I49" s="988">
        <f>SUMPRODUCT('Politicas Cobros y Pagos'!$E$56:$E$63,F$33:F$40)</f>
        <v>0</v>
      </c>
      <c r="J49" s="988">
        <f>SUMPRODUCT('Politicas Cobros y Pagos'!$E$56:$E$63,G$33:G$40)</f>
        <v>0</v>
      </c>
      <c r="K49" s="988">
        <f>SUMPRODUCT('Politicas Cobros y Pagos'!$E$56:$E$63,H$33:H$40)</f>
        <v>0</v>
      </c>
      <c r="L49" s="988">
        <f>SUMPRODUCT('Politicas Cobros y Pagos'!$E$56:$E$63,I$33:I$40)</f>
        <v>0</v>
      </c>
      <c r="M49" s="988">
        <f>SUMPRODUCT('Politicas Cobros y Pagos'!$E$56:$E$63,J$33:J$40)</f>
        <v>0</v>
      </c>
      <c r="N49" s="988">
        <f>SUMPRODUCT('Politicas Cobros y Pagos'!$E$56:$E$63,K$33:K$40)</f>
        <v>0</v>
      </c>
      <c r="O49" s="988">
        <f>SUMPRODUCT('Politicas Cobros y Pagos'!$E$56:$E$63,L$33:L$40)</f>
        <v>0</v>
      </c>
      <c r="P49" s="988">
        <f>SUMPRODUCT('Politicas Cobros y Pagos'!$E$56:$E$63,M$33:M$40)</f>
        <v>0</v>
      </c>
      <c r="Q49" s="988"/>
      <c r="R49" s="988"/>
      <c r="S49" s="988"/>
    </row>
    <row r="50" spans="1:19" x14ac:dyDescent="0.25">
      <c r="A50" s="856">
        <v>120</v>
      </c>
      <c r="B50" s="991"/>
      <c r="C50" s="991"/>
      <c r="D50" s="991"/>
      <c r="E50" s="991"/>
      <c r="F50" s="988">
        <f>SUMPRODUCT('Politicas Cobros y Pagos'!$F$56:$F$63,B$33:B$40)</f>
        <v>0</v>
      </c>
      <c r="G50" s="988">
        <f>SUMPRODUCT('Politicas Cobros y Pagos'!$F$56:$F$63,C$33:C$40)</f>
        <v>0</v>
      </c>
      <c r="H50" s="988">
        <f>SUMPRODUCT('Politicas Cobros y Pagos'!$F$56:$F$63,D$33:D$40)</f>
        <v>0</v>
      </c>
      <c r="I50" s="988">
        <f>SUMPRODUCT('Politicas Cobros y Pagos'!$F$56:$F$63,E$33:E$40)</f>
        <v>0</v>
      </c>
      <c r="J50" s="988">
        <f>SUMPRODUCT('Politicas Cobros y Pagos'!$F$56:$F$63,F$33:F$40)</f>
        <v>0</v>
      </c>
      <c r="K50" s="988">
        <f>SUMPRODUCT('Politicas Cobros y Pagos'!$F$56:$F$63,G$33:G$40)</f>
        <v>0</v>
      </c>
      <c r="L50" s="988">
        <f>SUMPRODUCT('Politicas Cobros y Pagos'!$F$56:$F$63,H$33:H$40)</f>
        <v>0</v>
      </c>
      <c r="M50" s="988">
        <f>SUMPRODUCT('Politicas Cobros y Pagos'!$F$56:$F$63,I$33:I$40)</f>
        <v>0</v>
      </c>
      <c r="N50" s="988">
        <f>SUMPRODUCT('Politicas Cobros y Pagos'!$F$56:$F$63,J$33:J$40)</f>
        <v>0</v>
      </c>
      <c r="O50" s="988">
        <f>SUMPRODUCT('Politicas Cobros y Pagos'!$F$56:$F$63,K$33:K$40)</f>
        <v>0</v>
      </c>
      <c r="P50" s="988">
        <f>SUMPRODUCT('Politicas Cobros y Pagos'!$F$56:$F$63,L$33:L$40)</f>
        <v>0</v>
      </c>
      <c r="Q50" s="988">
        <f>SUMPRODUCT('Politicas Cobros y Pagos'!$F$56:$F$63,M$33:M$40)</f>
        <v>0</v>
      </c>
      <c r="R50" s="988"/>
      <c r="S50" s="988"/>
    </row>
    <row r="51" spans="1:19" x14ac:dyDescent="0.25">
      <c r="A51" s="856">
        <v>150</v>
      </c>
      <c r="B51" s="991"/>
      <c r="C51" s="991"/>
      <c r="D51" s="991"/>
      <c r="E51" s="991"/>
      <c r="F51" s="991"/>
      <c r="G51" s="988">
        <f>SUMPRODUCT('Politicas Cobros y Pagos'!$G$56:$G$63,B$33:B$40)</f>
        <v>0</v>
      </c>
      <c r="H51" s="988">
        <f>SUMPRODUCT('Politicas Cobros y Pagos'!$G$56:$G$63,C$33:C$40)</f>
        <v>0</v>
      </c>
      <c r="I51" s="988">
        <f>SUMPRODUCT('Politicas Cobros y Pagos'!$G$56:$G$63,D$33:D$40)</f>
        <v>0</v>
      </c>
      <c r="J51" s="988">
        <f>SUMPRODUCT('Politicas Cobros y Pagos'!$G$56:$G$63,E$33:E$40)</f>
        <v>0</v>
      </c>
      <c r="K51" s="988">
        <f>SUMPRODUCT('Politicas Cobros y Pagos'!$G$56:$G$63,F$33:F$40)</f>
        <v>0</v>
      </c>
      <c r="L51" s="988">
        <f>SUMPRODUCT('Politicas Cobros y Pagos'!$G$56:$G$63,G$33:G$40)</f>
        <v>0</v>
      </c>
      <c r="M51" s="988">
        <f>SUMPRODUCT('Politicas Cobros y Pagos'!$G$56:$G$63,H$33:H$40)</f>
        <v>0</v>
      </c>
      <c r="N51" s="988">
        <f>SUMPRODUCT('Politicas Cobros y Pagos'!$G$56:$G$63,I$33:I$40)</f>
        <v>0</v>
      </c>
      <c r="O51" s="988">
        <f>SUMPRODUCT('Politicas Cobros y Pagos'!$G$56:$G$63,J$33:J$40)</f>
        <v>0</v>
      </c>
      <c r="P51" s="988">
        <f>SUMPRODUCT('Politicas Cobros y Pagos'!$G$56:$G$63,K$33:K$40)</f>
        <v>0</v>
      </c>
      <c r="Q51" s="988">
        <f>SUMPRODUCT('Politicas Cobros y Pagos'!$G$56:$G$63,L$33:L$40)</f>
        <v>0</v>
      </c>
      <c r="R51" s="988">
        <f>SUMPRODUCT('Politicas Cobros y Pagos'!$G$56:$G$63,M$33:M$40)</f>
        <v>0</v>
      </c>
      <c r="S51" s="988"/>
    </row>
    <row r="52" spans="1:19" x14ac:dyDescent="0.25">
      <c r="A52" s="856">
        <v>180</v>
      </c>
      <c r="B52" s="991"/>
      <c r="C52" s="991"/>
      <c r="D52" s="991"/>
      <c r="E52" s="991"/>
      <c r="F52" s="991"/>
      <c r="G52" s="991"/>
      <c r="H52" s="988">
        <f>SUMPRODUCT('Politicas Cobros y Pagos'!$H$56:$H$63,B$33:B$40)</f>
        <v>0</v>
      </c>
      <c r="I52" s="988">
        <f>SUMPRODUCT('Politicas Cobros y Pagos'!$H$56:$H$63,C$33:C$40)</f>
        <v>0</v>
      </c>
      <c r="J52" s="988">
        <f>SUMPRODUCT('Politicas Cobros y Pagos'!$H$56:$H$63,D$33:D$40)</f>
        <v>0</v>
      </c>
      <c r="K52" s="988">
        <f>SUMPRODUCT('Politicas Cobros y Pagos'!$H$56:$H$63,E$33:E$40)</f>
        <v>0</v>
      </c>
      <c r="L52" s="988">
        <f>SUMPRODUCT('Politicas Cobros y Pagos'!$H$56:$H$63,F$33:F$40)</f>
        <v>0</v>
      </c>
      <c r="M52" s="988">
        <f>SUMPRODUCT('Politicas Cobros y Pagos'!$H$56:$H$63,G$33:G$40)</f>
        <v>0</v>
      </c>
      <c r="N52" s="988">
        <f>SUMPRODUCT('Politicas Cobros y Pagos'!$H$56:$H$63,H$33:H$40)</f>
        <v>0</v>
      </c>
      <c r="O52" s="988">
        <f>SUMPRODUCT('Politicas Cobros y Pagos'!$H$56:$H$63,I$33:I$40)</f>
        <v>0</v>
      </c>
      <c r="P52" s="988">
        <f>SUMPRODUCT('Politicas Cobros y Pagos'!$H$56:$H$63,J$33:J$40)</f>
        <v>0</v>
      </c>
      <c r="Q52" s="988">
        <f>SUMPRODUCT('Politicas Cobros y Pagos'!$H$56:$H$63,K$33:K$40)</f>
        <v>0</v>
      </c>
      <c r="R52" s="988">
        <f>SUMPRODUCT('Politicas Cobros y Pagos'!$H$56:$H$63,L$33:L$40)</f>
        <v>0</v>
      </c>
      <c r="S52" s="988">
        <f>SUMPRODUCT('Politicas Cobros y Pagos'!$H$56:$H$63,M$33:M$40)</f>
        <v>0</v>
      </c>
    </row>
    <row r="53" spans="1:19" ht="15.75" thickBot="1" x14ac:dyDescent="0.3">
      <c r="A53" s="865" t="s">
        <v>860</v>
      </c>
      <c r="B53" s="993">
        <f>SUM(B46:B52)</f>
        <v>0</v>
      </c>
      <c r="C53" s="993">
        <f t="shared" ref="C53:M53" si="11">SUM(C46:C52)</f>
        <v>0</v>
      </c>
      <c r="D53" s="993">
        <f t="shared" si="11"/>
        <v>0</v>
      </c>
      <c r="E53" s="993">
        <f t="shared" si="11"/>
        <v>0</v>
      </c>
      <c r="F53" s="993">
        <f t="shared" si="11"/>
        <v>0</v>
      </c>
      <c r="G53" s="993">
        <f t="shared" si="11"/>
        <v>0</v>
      </c>
      <c r="H53" s="993">
        <f t="shared" si="11"/>
        <v>0</v>
      </c>
      <c r="I53" s="993">
        <f t="shared" si="11"/>
        <v>0</v>
      </c>
      <c r="J53" s="993">
        <f t="shared" si="11"/>
        <v>0</v>
      </c>
      <c r="K53" s="993">
        <f t="shared" si="11"/>
        <v>0</v>
      </c>
      <c r="L53" s="993">
        <f t="shared" si="11"/>
        <v>0</v>
      </c>
      <c r="M53" s="993">
        <f t="shared" si="11"/>
        <v>0</v>
      </c>
      <c r="N53" s="993">
        <f t="shared" ref="N53:S53" si="12">SUM(N46:N52)</f>
        <v>0</v>
      </c>
      <c r="O53" s="993">
        <f t="shared" si="12"/>
        <v>0</v>
      </c>
      <c r="P53" s="993">
        <f t="shared" si="12"/>
        <v>0</v>
      </c>
      <c r="Q53" s="993">
        <f t="shared" si="12"/>
        <v>0</v>
      </c>
      <c r="R53" s="993">
        <f t="shared" si="12"/>
        <v>0</v>
      </c>
      <c r="S53" s="993">
        <f t="shared" si="12"/>
        <v>0</v>
      </c>
    </row>
    <row r="54" spans="1:19" ht="15.75" thickBot="1" x14ac:dyDescent="0.3">
      <c r="A54" s="845"/>
      <c r="B54" s="847"/>
      <c r="C54" s="843"/>
      <c r="D54" s="843"/>
      <c r="E54" s="843"/>
      <c r="F54" s="843"/>
      <c r="G54" s="843"/>
      <c r="H54" s="843"/>
      <c r="I54" s="843"/>
      <c r="J54" s="843"/>
      <c r="K54" s="843"/>
      <c r="L54" s="843"/>
      <c r="M54" s="843"/>
      <c r="N54" s="843"/>
      <c r="O54" s="845"/>
      <c r="P54" s="843"/>
    </row>
    <row r="55" spans="1:19" ht="15.75" thickBot="1" x14ac:dyDescent="0.3">
      <c r="N55" s="827"/>
      <c r="O55" s="860"/>
      <c r="P55" s="861"/>
      <c r="Q55" s="861"/>
      <c r="R55" s="862" t="str">
        <f>CONCATENATE("Pagos de compras y CV pendintes para el año ",Q44," (sin IVA)")</f>
        <v>Pagos de compras y CV pendintes para el año 2.027 (sin IVA)</v>
      </c>
      <c r="S55" s="638">
        <f>SUM(N53:S53)</f>
        <v>0</v>
      </c>
    </row>
  </sheetData>
  <sheetProtection sheet="1" objects="1" scenarios="1" formatCells="0" formatColumns="0"/>
  <phoneticPr fontId="13" type="noConversion"/>
  <conditionalFormatting sqref="B46:L46 C47:L47 D48:L48 E49:L49 F50:L50 G51:L51 H52:L52">
    <cfRule type="expression" dxfId="31" priority="2" stopIfTrue="1">
      <formula>B$16-ROW($A1)+1&lt;mes0</formula>
    </cfRule>
  </conditionalFormatting>
  <conditionalFormatting sqref="B7:M15 B33:M41">
    <cfRule type="expression" dxfId="30" priority="1" stopIfTrue="1">
      <formula>B$16&lt;mes0</formula>
    </cfRule>
  </conditionalFormatting>
  <conditionalFormatting sqref="B20:M20 C21:M21 D22:M22 N22:N23 E23:M23 O23:O26 F24:N24 P24 G25:M25 N25:N26 P25:Q26 H26:M26 R26 M46:M47 M48:N52 O49:O52 P50 P51:Q52 R52">
    <cfRule type="expression" dxfId="29" priority="3" stopIfTrue="1">
      <formula>B$16-ROW($A1)+1&lt;mes0</formula>
    </cfRule>
  </conditionalFormatting>
  <printOptions horizontalCentered="1" verticalCentered="1"/>
  <pageMargins left="0.39370078740157483" right="0.39370078740157483" top="0.38" bottom="0.32" header="0.31496062992125984" footer="0.31496062992125984"/>
  <pageSetup paperSize="9" scale="57" orientation="landscape" horizontalDpi="300" verticalDpi="300" r:id="rId1"/>
  <headerFooter alignWithMargins="0">
    <oddFooter>&amp;A</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21">
    <tabColor rgb="FF14A3A8"/>
    <pageSetUpPr fitToPage="1"/>
  </sheetPr>
  <dimension ref="A1:S55"/>
  <sheetViews>
    <sheetView showGridLines="0" workbookViewId="0"/>
  </sheetViews>
  <sheetFormatPr baseColWidth="10" defaultRowHeight="15" x14ac:dyDescent="0.25"/>
  <cols>
    <col min="1" max="1" width="24.75" style="305" customWidth="1"/>
    <col min="2" max="2" width="9.75" style="445" customWidth="1"/>
    <col min="3" max="4" width="10" style="446" customWidth="1"/>
    <col min="5" max="5" width="11.625" style="446" customWidth="1"/>
    <col min="6" max="6" width="12.125" style="446" customWidth="1"/>
    <col min="7" max="14" width="10" style="446" customWidth="1"/>
    <col min="15" max="15" width="9.5" style="305" customWidth="1"/>
    <col min="16" max="16384" width="11" style="446"/>
  </cols>
  <sheetData>
    <row r="1" spans="1:15" ht="27.75" x14ac:dyDescent="0.45">
      <c r="A1" s="485" t="s">
        <v>1022</v>
      </c>
      <c r="B1" s="841"/>
      <c r="F1" s="866">
        <f>'Datos Básicos'!C16</f>
        <v>1</v>
      </c>
      <c r="G1" s="470">
        <f>'Datos Básicos'!$C$17</f>
        <v>2027</v>
      </c>
      <c r="M1" s="842"/>
    </row>
    <row r="2" spans="1:15" s="843" customFormat="1" ht="27.75" x14ac:dyDescent="0.45">
      <c r="A2" s="408">
        <f>'Datos Básicos'!B8</f>
        <v>0</v>
      </c>
      <c r="B2" s="841"/>
      <c r="D2" s="844"/>
      <c r="E2" s="450"/>
      <c r="O2" s="845"/>
    </row>
    <row r="4" spans="1:15" ht="27.75" x14ac:dyDescent="0.45">
      <c r="A4" s="408" t="s">
        <v>262</v>
      </c>
      <c r="E4" s="409"/>
      <c r="F4" s="409"/>
    </row>
    <row r="5" spans="1:15" ht="15.75" thickBot="1" x14ac:dyDescent="0.3"/>
    <row r="6" spans="1:15" s="847" customFormat="1" ht="16.149999999999999" customHeight="1" thickBot="1" x14ac:dyDescent="0.25">
      <c r="A6" s="454" t="s">
        <v>936</v>
      </c>
      <c r="B6" s="846" t="str">
        <f>'Datos Gastos Fijos'!D7</f>
        <v>enero</v>
      </c>
      <c r="C6" s="840" t="str">
        <f>'Datos Gastos Fijos'!E7</f>
        <v>febrero</v>
      </c>
      <c r="D6" s="840" t="str">
        <f>'Datos Gastos Fijos'!F7</f>
        <v>marzo</v>
      </c>
      <c r="E6" s="840" t="str">
        <f>'Datos Gastos Fijos'!G7</f>
        <v>abril</v>
      </c>
      <c r="F6" s="840" t="str">
        <f>'Datos Gastos Fijos'!H7</f>
        <v>mayo</v>
      </c>
      <c r="G6" s="840" t="str">
        <f>'Datos Gastos Fijos'!I7</f>
        <v>junio</v>
      </c>
      <c r="H6" s="840" t="str">
        <f>'Datos Gastos Fijos'!J7</f>
        <v>julio</v>
      </c>
      <c r="I6" s="840" t="str">
        <f>'Datos Gastos Fijos'!K7</f>
        <v>agosto</v>
      </c>
      <c r="J6" s="840" t="str">
        <f>'Datos Gastos Fijos'!L7</f>
        <v>septiembre</v>
      </c>
      <c r="K6" s="840" t="str">
        <f>'Datos Gastos Fijos'!M7</f>
        <v>octubre</v>
      </c>
      <c r="L6" s="840" t="str">
        <f>'Datos Gastos Fijos'!N7</f>
        <v>noviembre</v>
      </c>
      <c r="M6" s="840" t="str">
        <f>'Datos Gastos Fijos'!O7</f>
        <v>diciembre</v>
      </c>
      <c r="N6" s="840" t="s">
        <v>860</v>
      </c>
    </row>
    <row r="7" spans="1:15" s="845" customFormat="1" ht="16.149999999999999" customHeight="1" x14ac:dyDescent="0.3">
      <c r="A7" s="848" t="str">
        <f>'Politicas Cobros y Pagos'!A25</f>
        <v/>
      </c>
      <c r="B7" s="988">
        <f>'Prev.Ventas 1'!B17*(1+Parametros!$E24)-'Prev.Ventas 1'!B17*retIRPF</f>
        <v>0</v>
      </c>
      <c r="C7" s="988">
        <f>'Prev.Ventas 1'!C17*(1+Parametros!$E24)-'Prev.Ventas 1'!C17*retIRPF</f>
        <v>0</v>
      </c>
      <c r="D7" s="988">
        <f>'Prev.Ventas 1'!D17*(1+Parametros!$E24)-'Prev.Ventas 1'!D17*retIRPF</f>
        <v>0</v>
      </c>
      <c r="E7" s="988">
        <f>'Prev.Ventas 1'!E17*(1+Parametros!$E24)-'Prev.Ventas 1'!E17*retIRPF</f>
        <v>0</v>
      </c>
      <c r="F7" s="988">
        <f>'Prev.Ventas 1'!F17*(1+Parametros!$E24)-'Prev.Ventas 1'!F17*retIRPF</f>
        <v>0</v>
      </c>
      <c r="G7" s="988">
        <f>'Prev.Ventas 1'!G17*(1+Parametros!$E24)-'Prev.Ventas 1'!G17*retIRPF</f>
        <v>0</v>
      </c>
      <c r="H7" s="988">
        <f>'Prev.Ventas 1'!H17*(1+Parametros!$E24)-'Prev.Ventas 1'!H17*retIRPF</f>
        <v>0</v>
      </c>
      <c r="I7" s="988">
        <f>'Prev.Ventas 1'!I17*(1+Parametros!$E24)-'Prev.Ventas 1'!I17*retIRPF</f>
        <v>0</v>
      </c>
      <c r="J7" s="988">
        <f>'Prev.Ventas 1'!J17*(1+Parametros!$E24)-'Prev.Ventas 1'!J17*retIRPF</f>
        <v>0</v>
      </c>
      <c r="K7" s="988">
        <f>'Prev.Ventas 1'!K17*(1+Parametros!$E24)-'Prev.Ventas 1'!K17*retIRPF</f>
        <v>0</v>
      </c>
      <c r="L7" s="988">
        <f>'Prev.Ventas 1'!L17*(1+Parametros!$E24)-'Prev.Ventas 1'!L17*retIRPF</f>
        <v>0</v>
      </c>
      <c r="M7" s="988">
        <f>'Prev.Ventas 1'!M17*(1+Parametros!$E24)-'Prev.Ventas 1'!M17*retIRPF</f>
        <v>0</v>
      </c>
      <c r="N7" s="989">
        <f t="shared" ref="N7:N14" si="0">SUM(B7:M7)</f>
        <v>0</v>
      </c>
    </row>
    <row r="8" spans="1:15" s="845" customFormat="1" ht="16.149999999999999" customHeight="1" x14ac:dyDescent="0.3">
      <c r="A8" s="849" t="str">
        <f>'Politicas Cobros y Pagos'!A26</f>
        <v/>
      </c>
      <c r="B8" s="988">
        <f>'Prev.Ventas 1'!B18*(1+Parametros!$E25)-'Prev.Ventas 1'!B18*retIRPF</f>
        <v>0</v>
      </c>
      <c r="C8" s="988">
        <f>'Prev.Ventas 1'!C18*(1+Parametros!$E25)-'Prev.Ventas 1'!C18*retIRPF</f>
        <v>0</v>
      </c>
      <c r="D8" s="988">
        <f>'Prev.Ventas 1'!D18*(1+Parametros!$E25)-'Prev.Ventas 1'!D18*retIRPF</f>
        <v>0</v>
      </c>
      <c r="E8" s="988">
        <f>'Prev.Ventas 1'!E18*(1+Parametros!$E25)-'Prev.Ventas 1'!E18*retIRPF</f>
        <v>0</v>
      </c>
      <c r="F8" s="988">
        <f>'Prev.Ventas 1'!F18*(1+Parametros!$E25)-'Prev.Ventas 1'!F18*retIRPF</f>
        <v>0</v>
      </c>
      <c r="G8" s="988">
        <f>'Prev.Ventas 1'!G18*(1+Parametros!$E25)-'Prev.Ventas 1'!G18*retIRPF</f>
        <v>0</v>
      </c>
      <c r="H8" s="988">
        <f>'Prev.Ventas 1'!H18*(1+Parametros!$E25)-'Prev.Ventas 1'!H18*retIRPF</f>
        <v>0</v>
      </c>
      <c r="I8" s="988">
        <f>'Prev.Ventas 1'!I18*(1+Parametros!$E25)-'Prev.Ventas 1'!I18*retIRPF</f>
        <v>0</v>
      </c>
      <c r="J8" s="988">
        <f>'Prev.Ventas 1'!J18*(1+Parametros!$E25)-'Prev.Ventas 1'!J18*retIRPF</f>
        <v>0</v>
      </c>
      <c r="K8" s="988">
        <f>'Prev.Ventas 1'!K18*(1+Parametros!$E25)-'Prev.Ventas 1'!K18*retIRPF</f>
        <v>0</v>
      </c>
      <c r="L8" s="988">
        <f>'Prev.Ventas 1'!L18*(1+Parametros!$E25)-'Prev.Ventas 1'!L18*retIRPF</f>
        <v>0</v>
      </c>
      <c r="M8" s="988">
        <f>'Prev.Ventas 1'!M18*(1+Parametros!$E25)-'Prev.Ventas 1'!M18*retIRPF</f>
        <v>0</v>
      </c>
      <c r="N8" s="989">
        <f t="shared" si="0"/>
        <v>0</v>
      </c>
    </row>
    <row r="9" spans="1:15" s="845" customFormat="1" ht="16.149999999999999" customHeight="1" x14ac:dyDescent="0.3">
      <c r="A9" s="849" t="str">
        <f>'Politicas Cobros y Pagos'!A27</f>
        <v/>
      </c>
      <c r="B9" s="988">
        <f>'Prev.Ventas 1'!B19*(1+Parametros!$E26)-'Prev.Ventas 1'!B19*retIRPF</f>
        <v>0</v>
      </c>
      <c r="C9" s="988">
        <f>'Prev.Ventas 1'!C19*(1+Parametros!$E26)-'Prev.Ventas 1'!C19*retIRPF</f>
        <v>0</v>
      </c>
      <c r="D9" s="988">
        <f>'Prev.Ventas 1'!D19*(1+Parametros!$E26)-'Prev.Ventas 1'!D19*retIRPF</f>
        <v>0</v>
      </c>
      <c r="E9" s="988">
        <f>'Prev.Ventas 1'!E19*(1+Parametros!$E26)-'Prev.Ventas 1'!E19*retIRPF</f>
        <v>0</v>
      </c>
      <c r="F9" s="988">
        <f>'Prev.Ventas 1'!F19*(1+Parametros!$E26)-'Prev.Ventas 1'!F19*retIRPF</f>
        <v>0</v>
      </c>
      <c r="G9" s="988">
        <f>'Prev.Ventas 1'!G19*(1+Parametros!$E26)-'Prev.Ventas 1'!G19*retIRPF</f>
        <v>0</v>
      </c>
      <c r="H9" s="988">
        <f>'Prev.Ventas 1'!H19*(1+Parametros!$E26)-'Prev.Ventas 1'!H19*retIRPF</f>
        <v>0</v>
      </c>
      <c r="I9" s="988">
        <f>'Prev.Ventas 1'!I19*(1+Parametros!$E26)-'Prev.Ventas 1'!I19*retIRPF</f>
        <v>0</v>
      </c>
      <c r="J9" s="988">
        <f>'Prev.Ventas 1'!J19*(1+Parametros!$E26)-'Prev.Ventas 1'!J19*retIRPF</f>
        <v>0</v>
      </c>
      <c r="K9" s="988">
        <f>'Prev.Ventas 1'!K19*(1+Parametros!$E26)-'Prev.Ventas 1'!K19*retIRPF</f>
        <v>0</v>
      </c>
      <c r="L9" s="988">
        <f>'Prev.Ventas 1'!L19*(1+Parametros!$E26)-'Prev.Ventas 1'!L19*retIRPF</f>
        <v>0</v>
      </c>
      <c r="M9" s="988">
        <f>'Prev.Ventas 1'!M19*(1+Parametros!$E26)-'Prev.Ventas 1'!M19*retIRPF</f>
        <v>0</v>
      </c>
      <c r="N9" s="989">
        <f t="shared" si="0"/>
        <v>0</v>
      </c>
    </row>
    <row r="10" spans="1:15" s="845" customFormat="1" ht="16.149999999999999" customHeight="1" x14ac:dyDescent="0.3">
      <c r="A10" s="849" t="str">
        <f>'Politicas Cobros y Pagos'!A28</f>
        <v/>
      </c>
      <c r="B10" s="988">
        <f>'Prev.Ventas 1'!B20*(1+Parametros!$E27)-'Prev.Ventas 1'!B20*retIRPF</f>
        <v>0</v>
      </c>
      <c r="C10" s="988">
        <f>'Prev.Ventas 1'!C20*(1+Parametros!$E27)-'Prev.Ventas 1'!C20*retIRPF</f>
        <v>0</v>
      </c>
      <c r="D10" s="988">
        <f>'Prev.Ventas 1'!D20*(1+Parametros!$E27)-'Prev.Ventas 1'!D20*retIRPF</f>
        <v>0</v>
      </c>
      <c r="E10" s="988">
        <f>'Prev.Ventas 1'!E20*(1+Parametros!$E27)-'Prev.Ventas 1'!E20*retIRPF</f>
        <v>0</v>
      </c>
      <c r="F10" s="988">
        <f>'Prev.Ventas 1'!F20*(1+Parametros!$E27)-'Prev.Ventas 1'!F20*retIRPF</f>
        <v>0</v>
      </c>
      <c r="G10" s="988">
        <f>'Prev.Ventas 1'!G20*(1+Parametros!$E27)-'Prev.Ventas 1'!G20*retIRPF</f>
        <v>0</v>
      </c>
      <c r="H10" s="988">
        <f>'Prev.Ventas 1'!H20*(1+Parametros!$E27)-'Prev.Ventas 1'!H20*retIRPF</f>
        <v>0</v>
      </c>
      <c r="I10" s="988">
        <f>'Prev.Ventas 1'!I20*(1+Parametros!$E27)-'Prev.Ventas 1'!I20*retIRPF</f>
        <v>0</v>
      </c>
      <c r="J10" s="988">
        <f>'Prev.Ventas 1'!J20*(1+Parametros!$E27)-'Prev.Ventas 1'!J20*retIRPF</f>
        <v>0</v>
      </c>
      <c r="K10" s="988">
        <f>'Prev.Ventas 1'!K20*(1+Parametros!$E27)-'Prev.Ventas 1'!K20*retIRPF</f>
        <v>0</v>
      </c>
      <c r="L10" s="988">
        <f>'Prev.Ventas 1'!L20*(1+Parametros!$E27)-'Prev.Ventas 1'!L20*retIRPF</f>
        <v>0</v>
      </c>
      <c r="M10" s="988">
        <f>'Prev.Ventas 1'!M20*(1+Parametros!$E27)-'Prev.Ventas 1'!M20*retIRPF</f>
        <v>0</v>
      </c>
      <c r="N10" s="989">
        <f t="shared" si="0"/>
        <v>0</v>
      </c>
    </row>
    <row r="11" spans="1:15" s="845" customFormat="1" ht="16.149999999999999" customHeight="1" x14ac:dyDescent="0.3">
      <c r="A11" s="849" t="str">
        <f>'Politicas Cobros y Pagos'!A29</f>
        <v/>
      </c>
      <c r="B11" s="988">
        <f>'Prev.Ventas 1'!B21*(1+Parametros!$E28)-'Prev.Ventas 1'!B21*retIRPF</f>
        <v>0</v>
      </c>
      <c r="C11" s="988">
        <f>'Prev.Ventas 1'!C21*(1+Parametros!$E28)-'Prev.Ventas 1'!C21*retIRPF</f>
        <v>0</v>
      </c>
      <c r="D11" s="988">
        <f>'Prev.Ventas 1'!D21*(1+Parametros!$E28)-'Prev.Ventas 1'!D21*retIRPF</f>
        <v>0</v>
      </c>
      <c r="E11" s="988">
        <f>'Prev.Ventas 1'!E21*(1+Parametros!$E28)-'Prev.Ventas 1'!E21*retIRPF</f>
        <v>0</v>
      </c>
      <c r="F11" s="988">
        <f>'Prev.Ventas 1'!F21*(1+Parametros!$E28)-'Prev.Ventas 1'!F21*retIRPF</f>
        <v>0</v>
      </c>
      <c r="G11" s="988">
        <f>'Prev.Ventas 1'!G21*(1+Parametros!$E28)-'Prev.Ventas 1'!G21*retIRPF</f>
        <v>0</v>
      </c>
      <c r="H11" s="988">
        <f>'Prev.Ventas 1'!H21*(1+Parametros!$E28)-'Prev.Ventas 1'!H21*retIRPF</f>
        <v>0</v>
      </c>
      <c r="I11" s="988">
        <f>'Prev.Ventas 1'!I21*(1+Parametros!$E28)-'Prev.Ventas 1'!I21*retIRPF</f>
        <v>0</v>
      </c>
      <c r="J11" s="988">
        <f>'Prev.Ventas 1'!J21*(1+Parametros!$E28)-'Prev.Ventas 1'!J21*retIRPF</f>
        <v>0</v>
      </c>
      <c r="K11" s="988">
        <f>'Prev.Ventas 1'!K21*(1+Parametros!$E28)-'Prev.Ventas 1'!K21*retIRPF</f>
        <v>0</v>
      </c>
      <c r="L11" s="988">
        <f>'Prev.Ventas 1'!L21*(1+Parametros!$E28)-'Prev.Ventas 1'!L21*retIRPF</f>
        <v>0</v>
      </c>
      <c r="M11" s="988">
        <f>'Prev.Ventas 1'!M21*(1+Parametros!$E28)-'Prev.Ventas 1'!M21*retIRPF</f>
        <v>0</v>
      </c>
      <c r="N11" s="989">
        <f t="shared" si="0"/>
        <v>0</v>
      </c>
    </row>
    <row r="12" spans="1:15" s="845" customFormat="1" ht="16.149999999999999" customHeight="1" x14ac:dyDescent="0.3">
      <c r="A12" s="849" t="str">
        <f>'Politicas Cobros y Pagos'!A30</f>
        <v/>
      </c>
      <c r="B12" s="988">
        <f>'Prev.Ventas 1'!B22*(1+Parametros!$E29)-'Prev.Ventas 1'!B22*retIRPF</f>
        <v>0</v>
      </c>
      <c r="C12" s="988">
        <f>'Prev.Ventas 1'!C22*(1+Parametros!$E29)-'Prev.Ventas 1'!C22*retIRPF</f>
        <v>0</v>
      </c>
      <c r="D12" s="988">
        <f>'Prev.Ventas 1'!D22*(1+Parametros!$E29)-'Prev.Ventas 1'!D22*retIRPF</f>
        <v>0</v>
      </c>
      <c r="E12" s="988">
        <f>'Prev.Ventas 1'!E22*(1+Parametros!$E29)-'Prev.Ventas 1'!E22*retIRPF</f>
        <v>0</v>
      </c>
      <c r="F12" s="988">
        <f>'Prev.Ventas 1'!F22*(1+Parametros!$E29)-'Prev.Ventas 1'!F22*retIRPF</f>
        <v>0</v>
      </c>
      <c r="G12" s="988">
        <f>'Prev.Ventas 1'!G22*(1+Parametros!$E29)-'Prev.Ventas 1'!G22*retIRPF</f>
        <v>0</v>
      </c>
      <c r="H12" s="988">
        <f>'Prev.Ventas 1'!H22*(1+Parametros!$E29)-'Prev.Ventas 1'!H22*retIRPF</f>
        <v>0</v>
      </c>
      <c r="I12" s="988">
        <f>'Prev.Ventas 1'!I22*(1+Parametros!$E29)-'Prev.Ventas 1'!I22*retIRPF</f>
        <v>0</v>
      </c>
      <c r="J12" s="988">
        <f>'Prev.Ventas 1'!J22*(1+Parametros!$E29)-'Prev.Ventas 1'!J22*retIRPF</f>
        <v>0</v>
      </c>
      <c r="K12" s="988">
        <f>'Prev.Ventas 1'!K22*(1+Parametros!$E29)-'Prev.Ventas 1'!K22*retIRPF</f>
        <v>0</v>
      </c>
      <c r="L12" s="988">
        <f>'Prev.Ventas 1'!L22*(1+Parametros!$E29)-'Prev.Ventas 1'!L22*retIRPF</f>
        <v>0</v>
      </c>
      <c r="M12" s="988">
        <f>'Prev.Ventas 1'!M22*(1+Parametros!$E29)-'Prev.Ventas 1'!M22*retIRPF</f>
        <v>0</v>
      </c>
      <c r="N12" s="989">
        <f t="shared" si="0"/>
        <v>0</v>
      </c>
    </row>
    <row r="13" spans="1:15" s="845" customFormat="1" ht="16.149999999999999" customHeight="1" x14ac:dyDescent="0.3">
      <c r="A13" s="849" t="str">
        <f>'Politicas Cobros y Pagos'!A31</f>
        <v/>
      </c>
      <c r="B13" s="988">
        <f>'Prev.Ventas 1'!B23*(1+Parametros!$E30)-'Prev.Ventas 1'!B23*retIRPF</f>
        <v>0</v>
      </c>
      <c r="C13" s="988">
        <f>'Prev.Ventas 1'!C23*(1+Parametros!$E30)-'Prev.Ventas 1'!C23*retIRPF</f>
        <v>0</v>
      </c>
      <c r="D13" s="988">
        <f>'Prev.Ventas 1'!D23*(1+Parametros!$E30)-'Prev.Ventas 1'!D23*retIRPF</f>
        <v>0</v>
      </c>
      <c r="E13" s="988">
        <f>'Prev.Ventas 1'!E23*(1+Parametros!$E30)-'Prev.Ventas 1'!E23*retIRPF</f>
        <v>0</v>
      </c>
      <c r="F13" s="988">
        <f>'Prev.Ventas 1'!F23*(1+Parametros!$E30)-'Prev.Ventas 1'!F23*retIRPF</f>
        <v>0</v>
      </c>
      <c r="G13" s="988">
        <f>'Prev.Ventas 1'!G23*(1+Parametros!$E30)-'Prev.Ventas 1'!G23*retIRPF</f>
        <v>0</v>
      </c>
      <c r="H13" s="988">
        <f>'Prev.Ventas 1'!H23*(1+Parametros!$E30)-'Prev.Ventas 1'!H23*retIRPF</f>
        <v>0</v>
      </c>
      <c r="I13" s="988">
        <f>'Prev.Ventas 1'!I23*(1+Parametros!$E30)-'Prev.Ventas 1'!I23*retIRPF</f>
        <v>0</v>
      </c>
      <c r="J13" s="988">
        <f>'Prev.Ventas 1'!J23*(1+Parametros!$E30)-'Prev.Ventas 1'!J23*retIRPF</f>
        <v>0</v>
      </c>
      <c r="K13" s="988">
        <f>'Prev.Ventas 1'!K23*(1+Parametros!$E30)-'Prev.Ventas 1'!K23*retIRPF</f>
        <v>0</v>
      </c>
      <c r="L13" s="988">
        <f>'Prev.Ventas 1'!L23*(1+Parametros!$E30)-'Prev.Ventas 1'!L23*retIRPF</f>
        <v>0</v>
      </c>
      <c r="M13" s="988">
        <f>'Prev.Ventas 1'!M23*(1+Parametros!$E30)-'Prev.Ventas 1'!M23*retIRPF</f>
        <v>0</v>
      </c>
      <c r="N13" s="989">
        <f t="shared" si="0"/>
        <v>0</v>
      </c>
    </row>
    <row r="14" spans="1:15" s="845" customFormat="1" ht="16.149999999999999" customHeight="1" thickBot="1" x14ac:dyDescent="0.35">
      <c r="A14" s="850" t="str">
        <f>'Politicas Cobros y Pagos'!A32</f>
        <v/>
      </c>
      <c r="B14" s="990">
        <f>'Prev.Ventas 1'!B24*(1+Parametros!$E31)-'Prev.Ventas 1'!B24*retIRPF</f>
        <v>0</v>
      </c>
      <c r="C14" s="990">
        <f>'Prev.Ventas 1'!C24*(1+Parametros!$E31)-'Prev.Ventas 1'!C24*retIRPF</f>
        <v>0</v>
      </c>
      <c r="D14" s="990">
        <f>'Prev.Ventas 1'!D24*(1+Parametros!$E31)-'Prev.Ventas 1'!D24*retIRPF</f>
        <v>0</v>
      </c>
      <c r="E14" s="990">
        <f>'Prev.Ventas 1'!E24*(1+Parametros!$E31)-'Prev.Ventas 1'!E24*retIRPF</f>
        <v>0</v>
      </c>
      <c r="F14" s="990">
        <f>'Prev.Ventas 1'!F24*(1+Parametros!$E31)-'Prev.Ventas 1'!F24*retIRPF</f>
        <v>0</v>
      </c>
      <c r="G14" s="990">
        <f>'Prev.Ventas 1'!G24*(1+Parametros!$E31)-'Prev.Ventas 1'!G24*retIRPF</f>
        <v>0</v>
      </c>
      <c r="H14" s="990">
        <f>'Prev.Ventas 1'!H24*(1+Parametros!$E31)-'Prev.Ventas 1'!H24*retIRPF</f>
        <v>0</v>
      </c>
      <c r="I14" s="990">
        <f>'Prev.Ventas 1'!I24*(1+Parametros!$E31)-'Prev.Ventas 1'!I24*retIRPF</f>
        <v>0</v>
      </c>
      <c r="J14" s="990">
        <f>'Prev.Ventas 1'!J24*(1+Parametros!$E31)-'Prev.Ventas 1'!J24*retIRPF</f>
        <v>0</v>
      </c>
      <c r="K14" s="990">
        <f>'Prev.Ventas 1'!K24*(1+Parametros!$E31)-'Prev.Ventas 1'!K24*retIRPF</f>
        <v>0</v>
      </c>
      <c r="L14" s="990">
        <f>'Prev.Ventas 1'!L24*(1+Parametros!$E31)-'Prev.Ventas 1'!L24*retIRPF</f>
        <v>0</v>
      </c>
      <c r="M14" s="990">
        <f>'Prev.Ventas 1'!M24*(1+Parametros!$E31)-'Prev.Ventas 1'!M24*retIRPF</f>
        <v>0</v>
      </c>
      <c r="N14" s="989">
        <f t="shared" si="0"/>
        <v>0</v>
      </c>
    </row>
    <row r="15" spans="1:15" s="845" customFormat="1" ht="16.149999999999999" customHeight="1" thickBot="1" x14ac:dyDescent="0.35">
      <c r="A15" s="410" t="s">
        <v>860</v>
      </c>
      <c r="B15" s="851">
        <f t="shared" ref="B15:N15" si="1">SUM(B7:B14)</f>
        <v>0</v>
      </c>
      <c r="C15" s="851">
        <f t="shared" si="1"/>
        <v>0</v>
      </c>
      <c r="D15" s="851">
        <f t="shared" si="1"/>
        <v>0</v>
      </c>
      <c r="E15" s="851">
        <f t="shared" si="1"/>
        <v>0</v>
      </c>
      <c r="F15" s="851">
        <f t="shared" si="1"/>
        <v>0</v>
      </c>
      <c r="G15" s="851">
        <f t="shared" si="1"/>
        <v>0</v>
      </c>
      <c r="H15" s="851">
        <f t="shared" si="1"/>
        <v>0</v>
      </c>
      <c r="I15" s="851">
        <f t="shared" si="1"/>
        <v>0</v>
      </c>
      <c r="J15" s="851">
        <f t="shared" si="1"/>
        <v>0</v>
      </c>
      <c r="K15" s="851">
        <f t="shared" si="1"/>
        <v>0</v>
      </c>
      <c r="L15" s="851">
        <f t="shared" si="1"/>
        <v>0</v>
      </c>
      <c r="M15" s="851">
        <f t="shared" si="1"/>
        <v>0</v>
      </c>
      <c r="N15" s="851">
        <f t="shared" si="1"/>
        <v>0</v>
      </c>
    </row>
    <row r="16" spans="1:15" s="845" customFormat="1" ht="16.149999999999999" customHeight="1" x14ac:dyDescent="0.3">
      <c r="A16" s="442"/>
    </row>
    <row r="17" spans="1:19" s="845" customFormat="1" ht="27.75" x14ac:dyDescent="0.45">
      <c r="A17" s="408" t="s">
        <v>988</v>
      </c>
      <c r="B17" s="847"/>
      <c r="E17" s="409"/>
      <c r="F17" s="409"/>
    </row>
    <row r="18" spans="1:19" ht="16.5" thickBot="1" x14ac:dyDescent="0.3">
      <c r="A18" s="446"/>
      <c r="B18" s="446"/>
      <c r="O18" s="446"/>
      <c r="P18" s="852" t="s">
        <v>160</v>
      </c>
      <c r="Q18" s="853" t="str">
        <f>TEXT('Datos Básicos'!$D$17,"#.##0")</f>
        <v>2.028</v>
      </c>
    </row>
    <row r="19" spans="1:19" s="847" customFormat="1" ht="28.5" customHeight="1" thickBot="1" x14ac:dyDescent="0.25">
      <c r="A19" s="454" t="s">
        <v>937</v>
      </c>
      <c r="B19" s="854" t="str">
        <f t="shared" ref="B19:M19" si="2">CONCATENATE(B6," ","
",
$G$1)</f>
        <v>enero 
2027</v>
      </c>
      <c r="C19" s="854" t="str">
        <f t="shared" si="2"/>
        <v>febrero 
2027</v>
      </c>
      <c r="D19" s="854" t="str">
        <f t="shared" si="2"/>
        <v>marzo 
2027</v>
      </c>
      <c r="E19" s="854" t="str">
        <f t="shared" si="2"/>
        <v>abril 
2027</v>
      </c>
      <c r="F19" s="854" t="str">
        <f t="shared" si="2"/>
        <v>mayo 
2027</v>
      </c>
      <c r="G19" s="854" t="str">
        <f t="shared" si="2"/>
        <v>junio 
2027</v>
      </c>
      <c r="H19" s="854" t="str">
        <f t="shared" si="2"/>
        <v>julio 
2027</v>
      </c>
      <c r="I19" s="854" t="str">
        <f t="shared" si="2"/>
        <v>agosto 
2027</v>
      </c>
      <c r="J19" s="854" t="str">
        <f t="shared" si="2"/>
        <v>septiembre 
2027</v>
      </c>
      <c r="K19" s="854" t="str">
        <f t="shared" si="2"/>
        <v>octubre 
2027</v>
      </c>
      <c r="L19" s="854" t="str">
        <f t="shared" si="2"/>
        <v>noviembre 
2027</v>
      </c>
      <c r="M19" s="854" t="str">
        <f t="shared" si="2"/>
        <v>diciembre 
2027</v>
      </c>
      <c r="N19" s="854" t="str">
        <f t="shared" ref="N19:S19" si="3">CONCATENATE(B6," ","
",
$Q$18)</f>
        <v>enero 
2.028</v>
      </c>
      <c r="O19" s="854" t="str">
        <f t="shared" si="3"/>
        <v>febrero 
2.028</v>
      </c>
      <c r="P19" s="854" t="str">
        <f t="shared" si="3"/>
        <v>marzo 
2.028</v>
      </c>
      <c r="Q19" s="854" t="str">
        <f t="shared" si="3"/>
        <v>abril 
2.028</v>
      </c>
      <c r="R19" s="854" t="str">
        <f t="shared" si="3"/>
        <v>mayo 
2.028</v>
      </c>
      <c r="S19" s="854" t="str">
        <f t="shared" si="3"/>
        <v>junio 
2.028</v>
      </c>
    </row>
    <row r="20" spans="1:19" s="843" customFormat="1" ht="16.149999999999999" customHeight="1" x14ac:dyDescent="0.25">
      <c r="A20" s="855" t="s">
        <v>938</v>
      </c>
      <c r="B20" s="988">
        <f>SUMPRODUCT('Politicas Cobros y Pagos'!$B$25:$B$32,B7:B14)</f>
        <v>0</v>
      </c>
      <c r="C20" s="988">
        <f>SUMPRODUCT('Politicas Cobros y Pagos'!$B$25:$B$32,C7:C14)</f>
        <v>0</v>
      </c>
      <c r="D20" s="988">
        <f>SUMPRODUCT('Politicas Cobros y Pagos'!$B$25:$B$32,D7:D14)</f>
        <v>0</v>
      </c>
      <c r="E20" s="988">
        <f>SUMPRODUCT('Politicas Cobros y Pagos'!$B$25:$B$32,E7:E14)</f>
        <v>0</v>
      </c>
      <c r="F20" s="988">
        <f>SUMPRODUCT('Politicas Cobros y Pagos'!$B$25:$B$32,F7:F14)</f>
        <v>0</v>
      </c>
      <c r="G20" s="988">
        <f>SUMPRODUCT('Politicas Cobros y Pagos'!$B$25:$B$32,G7:G14)</f>
        <v>0</v>
      </c>
      <c r="H20" s="988">
        <f>SUMPRODUCT('Politicas Cobros y Pagos'!$B$25:$B$32,H7:H14)</f>
        <v>0</v>
      </c>
      <c r="I20" s="988">
        <f>SUMPRODUCT('Politicas Cobros y Pagos'!$B$25:$B$32,I7:I14)</f>
        <v>0</v>
      </c>
      <c r="J20" s="988">
        <f>SUMPRODUCT('Politicas Cobros y Pagos'!$B$25:$B$32,J7:J14)</f>
        <v>0</v>
      </c>
      <c r="K20" s="988">
        <f>SUMPRODUCT('Politicas Cobros y Pagos'!$B$25:$B$32,K7:K14)</f>
        <v>0</v>
      </c>
      <c r="L20" s="988">
        <f>SUMPRODUCT('Politicas Cobros y Pagos'!$B$25:$B$32,L7:L14)</f>
        <v>0</v>
      </c>
      <c r="M20" s="988">
        <f>SUMPRODUCT('Politicas Cobros y Pagos'!$B$25:$B$32,M7:M14)</f>
        <v>0</v>
      </c>
      <c r="N20" s="988"/>
      <c r="O20" s="988"/>
      <c r="P20" s="988"/>
      <c r="Q20" s="988"/>
      <c r="R20" s="988"/>
      <c r="S20" s="988"/>
    </row>
    <row r="21" spans="1:19" s="845" customFormat="1" ht="16.149999999999999" customHeight="1" x14ac:dyDescent="0.25">
      <c r="A21" s="856">
        <v>30</v>
      </c>
      <c r="B21" s="991">
        <f>'Cobros y pagos 0'!N21</f>
        <v>0</v>
      </c>
      <c r="C21" s="988">
        <f>SUMPRODUCT('Politicas Cobros y Pagos'!$C$25:$C$32,B$7:B$14)</f>
        <v>0</v>
      </c>
      <c r="D21" s="988">
        <f>SUMPRODUCT('Politicas Cobros y Pagos'!$C$25:$C$32,C$7:C$14)</f>
        <v>0</v>
      </c>
      <c r="E21" s="988">
        <f>SUMPRODUCT('Politicas Cobros y Pagos'!$C$25:$C$32,D$7:D$14)</f>
        <v>0</v>
      </c>
      <c r="F21" s="988">
        <f>SUMPRODUCT('Politicas Cobros y Pagos'!$C$25:$C$32,E$7:E$14)</f>
        <v>0</v>
      </c>
      <c r="G21" s="988">
        <f>SUMPRODUCT('Politicas Cobros y Pagos'!$C$25:$C$32,F$7:F$14)</f>
        <v>0</v>
      </c>
      <c r="H21" s="988">
        <f>SUMPRODUCT('Politicas Cobros y Pagos'!$C$25:$C$32,G$7:G$14)</f>
        <v>0</v>
      </c>
      <c r="I21" s="988">
        <f>SUMPRODUCT('Politicas Cobros y Pagos'!$C$25:$C$32,H$7:H$14)</f>
        <v>0</v>
      </c>
      <c r="J21" s="988">
        <f>SUMPRODUCT('Politicas Cobros y Pagos'!$C$25:$C$32,I$7:I$14)</f>
        <v>0</v>
      </c>
      <c r="K21" s="988">
        <f>SUMPRODUCT('Politicas Cobros y Pagos'!$C$25:$C$32,J$7:J$14)</f>
        <v>0</v>
      </c>
      <c r="L21" s="988">
        <f>SUMPRODUCT('Politicas Cobros y Pagos'!$C$25:$C$32,K$7:K$14)</f>
        <v>0</v>
      </c>
      <c r="M21" s="988">
        <f>SUMPRODUCT('Politicas Cobros y Pagos'!$C$25:$C$32,L$7:L$14)</f>
        <v>0</v>
      </c>
      <c r="N21" s="988">
        <f>SUMPRODUCT('Politicas Cobros y Pagos'!$C$25:$C$32,M$7:M$14)</f>
        <v>0</v>
      </c>
      <c r="O21" s="988"/>
      <c r="P21" s="988"/>
      <c r="Q21" s="988"/>
      <c r="R21" s="988"/>
      <c r="S21" s="988"/>
    </row>
    <row r="22" spans="1:19" s="843" customFormat="1" ht="16.149999999999999" customHeight="1" x14ac:dyDescent="0.25">
      <c r="A22" s="856">
        <v>60</v>
      </c>
      <c r="B22" s="991">
        <f>'Cobros y pagos 0'!N22</f>
        <v>0</v>
      </c>
      <c r="C22" s="991">
        <f>'Cobros y pagos 0'!O22</f>
        <v>0</v>
      </c>
      <c r="D22" s="988">
        <f>SUMPRODUCT('Politicas Cobros y Pagos'!$D$25:$D$32,B$7:B$14)</f>
        <v>0</v>
      </c>
      <c r="E22" s="988">
        <f>SUMPRODUCT('Politicas Cobros y Pagos'!$D$25:$D$32,C$7:C$14)</f>
        <v>0</v>
      </c>
      <c r="F22" s="988">
        <f>SUMPRODUCT('Politicas Cobros y Pagos'!$D$25:$D$32,D$7:D$14)</f>
        <v>0</v>
      </c>
      <c r="G22" s="988">
        <f>SUMPRODUCT('Politicas Cobros y Pagos'!$D$25:$D$32,E$7:E$14)</f>
        <v>0</v>
      </c>
      <c r="H22" s="988">
        <f>SUMPRODUCT('Politicas Cobros y Pagos'!$D$25:$D$32,F$7:F$14)</f>
        <v>0</v>
      </c>
      <c r="I22" s="988">
        <f>SUMPRODUCT('Politicas Cobros y Pagos'!$D$25:$D$32,G$7:G$14)</f>
        <v>0</v>
      </c>
      <c r="J22" s="988">
        <f>SUMPRODUCT('Politicas Cobros y Pagos'!$D$25:$D$32,H$7:H$14)</f>
        <v>0</v>
      </c>
      <c r="K22" s="988">
        <f>SUMPRODUCT('Politicas Cobros y Pagos'!$D$25:$D$32,I$7:I$14)</f>
        <v>0</v>
      </c>
      <c r="L22" s="988">
        <f>SUMPRODUCT('Politicas Cobros y Pagos'!$D$25:$D$32,J$7:J$14)</f>
        <v>0</v>
      </c>
      <c r="M22" s="988">
        <f>SUMPRODUCT('Politicas Cobros y Pagos'!$D$25:$D$32,K$7:K$14)</f>
        <v>0</v>
      </c>
      <c r="N22" s="988">
        <f>SUMPRODUCT('Politicas Cobros y Pagos'!$D$25:$D$32,L$7:L$14)</f>
        <v>0</v>
      </c>
      <c r="O22" s="988">
        <f>SUMPRODUCT('Politicas Cobros y Pagos'!$D$25:$D$32,M$7:M$14)</f>
        <v>0</v>
      </c>
      <c r="P22" s="988"/>
      <c r="Q22" s="988"/>
      <c r="R22" s="988"/>
      <c r="S22" s="988"/>
    </row>
    <row r="23" spans="1:19" s="843" customFormat="1" ht="16.149999999999999" customHeight="1" x14ac:dyDescent="0.25">
      <c r="A23" s="856">
        <v>90</v>
      </c>
      <c r="B23" s="991">
        <f>'Cobros y pagos 0'!N23</f>
        <v>0</v>
      </c>
      <c r="C23" s="991">
        <f>'Cobros y pagos 0'!O23</f>
        <v>0</v>
      </c>
      <c r="D23" s="991">
        <f>'Cobros y pagos 0'!P23</f>
        <v>0</v>
      </c>
      <c r="E23" s="988">
        <f>SUMPRODUCT('Politicas Cobros y Pagos'!$E$25:$E$32,B$7:B$14)</f>
        <v>0</v>
      </c>
      <c r="F23" s="988">
        <f>SUMPRODUCT('Politicas Cobros y Pagos'!$E$25:$E$32,C$7:C$14)</f>
        <v>0</v>
      </c>
      <c r="G23" s="988">
        <f>SUMPRODUCT('Politicas Cobros y Pagos'!$E$25:$E$32,D$7:D$14)</f>
        <v>0</v>
      </c>
      <c r="H23" s="988">
        <f>SUMPRODUCT('Politicas Cobros y Pagos'!$E$25:$E$32,E$7:E$14)</f>
        <v>0</v>
      </c>
      <c r="I23" s="988">
        <f>SUMPRODUCT('Politicas Cobros y Pagos'!$E$25:$E$32,F$7:F$14)</f>
        <v>0</v>
      </c>
      <c r="J23" s="988">
        <f>SUMPRODUCT('Politicas Cobros y Pagos'!$E$25:$E$32,G$7:G$14)</f>
        <v>0</v>
      </c>
      <c r="K23" s="988">
        <f>SUMPRODUCT('Politicas Cobros y Pagos'!$E$25:$E$32,H$7:H$14)</f>
        <v>0</v>
      </c>
      <c r="L23" s="988">
        <f>SUMPRODUCT('Politicas Cobros y Pagos'!$E$25:$E$32,I$7:I$14)</f>
        <v>0</v>
      </c>
      <c r="M23" s="988">
        <f>SUMPRODUCT('Politicas Cobros y Pagos'!$E$25:$E$32,J$7:J$14)</f>
        <v>0</v>
      </c>
      <c r="N23" s="988">
        <f>SUMPRODUCT('Politicas Cobros y Pagos'!$E$25:$E$32,K$7:K$14)</f>
        <v>0</v>
      </c>
      <c r="O23" s="988">
        <f>SUMPRODUCT('Politicas Cobros y Pagos'!$E$25:$E$32,L$7:L$14)</f>
        <v>0</v>
      </c>
      <c r="P23" s="988">
        <f>SUMPRODUCT('Politicas Cobros y Pagos'!$E$25:$E$32,M$7:M$14)</f>
        <v>0</v>
      </c>
      <c r="Q23" s="988"/>
      <c r="R23" s="988"/>
      <c r="S23" s="988"/>
    </row>
    <row r="24" spans="1:19" s="843" customFormat="1" ht="16.149999999999999" customHeight="1" x14ac:dyDescent="0.25">
      <c r="A24" s="856">
        <v>120</v>
      </c>
      <c r="B24" s="991">
        <f>'Cobros y pagos 0'!N24</f>
        <v>0</v>
      </c>
      <c r="C24" s="991">
        <f>'Cobros y pagos 0'!O24</f>
        <v>0</v>
      </c>
      <c r="D24" s="991">
        <f>'Cobros y pagos 0'!P24</f>
        <v>0</v>
      </c>
      <c r="E24" s="991">
        <f>'Cobros y pagos 0'!Q24</f>
        <v>0</v>
      </c>
      <c r="F24" s="988">
        <f>SUMPRODUCT('Politicas Cobros y Pagos'!$F$25:$F$32,B$7:B$14)</f>
        <v>0</v>
      </c>
      <c r="G24" s="988">
        <f>SUMPRODUCT('Politicas Cobros y Pagos'!$F$25:$F$32,C$7:C$14)</f>
        <v>0</v>
      </c>
      <c r="H24" s="988">
        <f>SUMPRODUCT('Politicas Cobros y Pagos'!$F$25:$F$32,D$7:D$14)</f>
        <v>0</v>
      </c>
      <c r="I24" s="988">
        <f>SUMPRODUCT('Politicas Cobros y Pagos'!$F$25:$F$32,E$7:E$14)</f>
        <v>0</v>
      </c>
      <c r="J24" s="988">
        <f>SUMPRODUCT('Politicas Cobros y Pagos'!$F$25:$F$32,F$7:F$14)</f>
        <v>0</v>
      </c>
      <c r="K24" s="988">
        <f>SUMPRODUCT('Politicas Cobros y Pagos'!$F$25:$F$32,G$7:G$14)</f>
        <v>0</v>
      </c>
      <c r="L24" s="988">
        <f>SUMPRODUCT('Politicas Cobros y Pagos'!$F$25:$F$32,H$7:H$14)</f>
        <v>0</v>
      </c>
      <c r="M24" s="988">
        <f>SUMPRODUCT('Politicas Cobros y Pagos'!$F$25:$F$32,I$7:I$14)</f>
        <v>0</v>
      </c>
      <c r="N24" s="988">
        <f>SUMPRODUCT('Politicas Cobros y Pagos'!$F$25:$F$32,J$7:J$14)</f>
        <v>0</v>
      </c>
      <c r="O24" s="988">
        <f>SUMPRODUCT('Politicas Cobros y Pagos'!$F$25:$F$32,K$7:K$14)</f>
        <v>0</v>
      </c>
      <c r="P24" s="988">
        <f>SUMPRODUCT('Politicas Cobros y Pagos'!$F$25:$F$32,L$7:L$14)</f>
        <v>0</v>
      </c>
      <c r="Q24" s="988">
        <f>SUMPRODUCT('Politicas Cobros y Pagos'!$F$25:$F$32,M$7:M$14)</f>
        <v>0</v>
      </c>
      <c r="R24" s="988"/>
      <c r="S24" s="988"/>
    </row>
    <row r="25" spans="1:19" s="843" customFormat="1" ht="16.149999999999999" customHeight="1" x14ac:dyDescent="0.25">
      <c r="A25" s="856">
        <v>150</v>
      </c>
      <c r="B25" s="991">
        <f>'Cobros y pagos 0'!N25</f>
        <v>0</v>
      </c>
      <c r="C25" s="991">
        <f>'Cobros y pagos 0'!O25</f>
        <v>0</v>
      </c>
      <c r="D25" s="991">
        <f>'Cobros y pagos 0'!P25</f>
        <v>0</v>
      </c>
      <c r="E25" s="991">
        <f>'Cobros y pagos 0'!Q25</f>
        <v>0</v>
      </c>
      <c r="F25" s="991">
        <f>'Cobros y pagos 0'!R25</f>
        <v>0</v>
      </c>
      <c r="G25" s="988">
        <f>SUMPRODUCT('Politicas Cobros y Pagos'!$G$25:$G$32,B$7:B$14)</f>
        <v>0</v>
      </c>
      <c r="H25" s="988">
        <f>SUMPRODUCT('Politicas Cobros y Pagos'!$G$25:$G$32,C$7:C$14)</f>
        <v>0</v>
      </c>
      <c r="I25" s="988">
        <f>SUMPRODUCT('Politicas Cobros y Pagos'!$G$25:$G$32,D$7:D$14)</f>
        <v>0</v>
      </c>
      <c r="J25" s="988">
        <f>SUMPRODUCT('Politicas Cobros y Pagos'!$G$25:$G$32,E$7:E$14)</f>
        <v>0</v>
      </c>
      <c r="K25" s="988">
        <f>SUMPRODUCT('Politicas Cobros y Pagos'!$G$25:$G$32,F$7:F$14)</f>
        <v>0</v>
      </c>
      <c r="L25" s="988">
        <f>SUMPRODUCT('Politicas Cobros y Pagos'!$G$25:$G$32,G$7:G$14)</f>
        <v>0</v>
      </c>
      <c r="M25" s="988">
        <f>SUMPRODUCT('Politicas Cobros y Pagos'!$G$25:$G$32,H$7:H$14)</f>
        <v>0</v>
      </c>
      <c r="N25" s="988">
        <f>SUMPRODUCT('Politicas Cobros y Pagos'!$G$25:$G$32,I$7:I$14)</f>
        <v>0</v>
      </c>
      <c r="O25" s="988">
        <f>SUMPRODUCT('Politicas Cobros y Pagos'!$G$25:$G$32,J$7:J$14)</f>
        <v>0</v>
      </c>
      <c r="P25" s="988">
        <f>SUMPRODUCT('Politicas Cobros y Pagos'!$G$25:$G$32,K$7:K$14)</f>
        <v>0</v>
      </c>
      <c r="Q25" s="988">
        <f>SUMPRODUCT('Politicas Cobros y Pagos'!$G$25:$G$32,L$7:L$14)</f>
        <v>0</v>
      </c>
      <c r="R25" s="988">
        <f>SUMPRODUCT('Politicas Cobros y Pagos'!$G$25:$G$32,M$7:M$14)</f>
        <v>0</v>
      </c>
      <c r="S25" s="988"/>
    </row>
    <row r="26" spans="1:19" s="843" customFormat="1" ht="16.149999999999999" customHeight="1" x14ac:dyDescent="0.25">
      <c r="A26" s="856">
        <v>180</v>
      </c>
      <c r="B26" s="991">
        <f>'Cobros y pagos 0'!N26</f>
        <v>0</v>
      </c>
      <c r="C26" s="991">
        <f>'Cobros y pagos 0'!O26</f>
        <v>0</v>
      </c>
      <c r="D26" s="991">
        <f>'Cobros y pagos 0'!P26</f>
        <v>0</v>
      </c>
      <c r="E26" s="991">
        <f>'Cobros y pagos 0'!Q26</f>
        <v>0</v>
      </c>
      <c r="F26" s="991">
        <f>'Cobros y pagos 0'!R26</f>
        <v>0</v>
      </c>
      <c r="G26" s="991">
        <f>'Cobros y pagos 0'!S26</f>
        <v>0</v>
      </c>
      <c r="H26" s="988">
        <f>SUMPRODUCT('Politicas Cobros y Pagos'!$H$25:$H$32,B$7:B$14)</f>
        <v>0</v>
      </c>
      <c r="I26" s="988">
        <f>SUMPRODUCT('Politicas Cobros y Pagos'!$H$25:$H$32,C$7:C$14)</f>
        <v>0</v>
      </c>
      <c r="J26" s="988">
        <f>SUMPRODUCT('Politicas Cobros y Pagos'!$H$25:$H$32,D$7:D$14)</f>
        <v>0</v>
      </c>
      <c r="K26" s="988">
        <f>SUMPRODUCT('Politicas Cobros y Pagos'!$H$25:$H$32,E$7:E$14)</f>
        <v>0</v>
      </c>
      <c r="L26" s="988">
        <f>SUMPRODUCT('Politicas Cobros y Pagos'!$H$25:$H$32,F$7:F$14)</f>
        <v>0</v>
      </c>
      <c r="M26" s="988">
        <f>SUMPRODUCT('Politicas Cobros y Pagos'!$H$25:$H$32,G$7:G$14)</f>
        <v>0</v>
      </c>
      <c r="N26" s="988">
        <f>SUMPRODUCT('Politicas Cobros y Pagos'!$H$25:$H$32,H$7:H$14)</f>
        <v>0</v>
      </c>
      <c r="O26" s="988">
        <f>SUMPRODUCT('Politicas Cobros y Pagos'!$H$25:$H$32,I$7:I$14)</f>
        <v>0</v>
      </c>
      <c r="P26" s="988">
        <f>SUMPRODUCT('Politicas Cobros y Pagos'!$H$25:$H$32,J$7:J$14)</f>
        <v>0</v>
      </c>
      <c r="Q26" s="988">
        <f>SUMPRODUCT('Politicas Cobros y Pagos'!$H$25:$H$32,K$7:K$14)</f>
        <v>0</v>
      </c>
      <c r="R26" s="988">
        <f>SUMPRODUCT('Politicas Cobros y Pagos'!$H$25:$H$32,L$7:L$14)</f>
        <v>0</v>
      </c>
      <c r="S26" s="988">
        <f>SUMPRODUCT('Politicas Cobros y Pagos'!$H$25:$H$32,M$7:M$14)</f>
        <v>0</v>
      </c>
    </row>
    <row r="27" spans="1:19" s="845" customFormat="1" ht="16.149999999999999" customHeight="1" thickBot="1" x14ac:dyDescent="0.25">
      <c r="A27" s="857" t="s">
        <v>860</v>
      </c>
      <c r="B27" s="858">
        <f t="shared" ref="B27:S27" si="4">SUM(B20:B26)</f>
        <v>0</v>
      </c>
      <c r="C27" s="858">
        <f t="shared" si="4"/>
        <v>0</v>
      </c>
      <c r="D27" s="858">
        <f t="shared" si="4"/>
        <v>0</v>
      </c>
      <c r="E27" s="858">
        <f t="shared" si="4"/>
        <v>0</v>
      </c>
      <c r="F27" s="858">
        <f t="shared" si="4"/>
        <v>0</v>
      </c>
      <c r="G27" s="858">
        <f t="shared" si="4"/>
        <v>0</v>
      </c>
      <c r="H27" s="858">
        <f t="shared" si="4"/>
        <v>0</v>
      </c>
      <c r="I27" s="858">
        <f t="shared" si="4"/>
        <v>0</v>
      </c>
      <c r="J27" s="858">
        <f t="shared" si="4"/>
        <v>0</v>
      </c>
      <c r="K27" s="858">
        <f t="shared" si="4"/>
        <v>0</v>
      </c>
      <c r="L27" s="858">
        <f t="shared" si="4"/>
        <v>0</v>
      </c>
      <c r="M27" s="858">
        <f t="shared" si="4"/>
        <v>0</v>
      </c>
      <c r="N27" s="858">
        <f t="shared" si="4"/>
        <v>0</v>
      </c>
      <c r="O27" s="858">
        <f t="shared" si="4"/>
        <v>0</v>
      </c>
      <c r="P27" s="858">
        <f t="shared" si="4"/>
        <v>0</v>
      </c>
      <c r="Q27" s="858">
        <f t="shared" si="4"/>
        <v>0</v>
      </c>
      <c r="R27" s="858">
        <f t="shared" si="4"/>
        <v>0</v>
      </c>
      <c r="S27" s="858">
        <f t="shared" si="4"/>
        <v>0</v>
      </c>
    </row>
    <row r="28" spans="1:19" s="845" customFormat="1" ht="13.5" customHeight="1" thickBot="1" x14ac:dyDescent="0.25">
      <c r="B28" s="859"/>
    </row>
    <row r="29" spans="1:19" s="843" customFormat="1" ht="16.149999999999999" customHeight="1" thickBot="1" x14ac:dyDescent="0.3">
      <c r="A29" s="305"/>
      <c r="B29" s="859"/>
      <c r="O29" s="860"/>
      <c r="P29" s="861"/>
      <c r="Q29" s="861"/>
      <c r="R29" s="862" t="str">
        <f>CONCATENATE("Cobros de ventas pendintes para el año ",Q18," (sin IVA)")</f>
        <v>Cobros de ventas pendintes para el año 2.028 (sin IVA)</v>
      </c>
      <c r="S29" s="863">
        <f>SUM(N27:S27)</f>
        <v>0</v>
      </c>
    </row>
    <row r="30" spans="1:19" ht="27.75" x14ac:dyDescent="0.45">
      <c r="A30" s="408" t="s">
        <v>261</v>
      </c>
      <c r="G30" s="409"/>
      <c r="H30" s="409"/>
      <c r="P30" s="845"/>
    </row>
    <row r="31" spans="1:19" ht="7.5" customHeight="1" thickBot="1" x14ac:dyDescent="0.3">
      <c r="P31" s="845"/>
    </row>
    <row r="32" spans="1:19" ht="18" thickBot="1" x14ac:dyDescent="0.3">
      <c r="A32" s="454" t="s">
        <v>939</v>
      </c>
      <c r="B32" s="846" t="str">
        <f t="shared" ref="B32:M32" si="5">B$6</f>
        <v>enero</v>
      </c>
      <c r="C32" s="846" t="str">
        <f t="shared" si="5"/>
        <v>febrero</v>
      </c>
      <c r="D32" s="846" t="str">
        <f t="shared" si="5"/>
        <v>marzo</v>
      </c>
      <c r="E32" s="846" t="str">
        <f t="shared" si="5"/>
        <v>abril</v>
      </c>
      <c r="F32" s="846" t="str">
        <f t="shared" si="5"/>
        <v>mayo</v>
      </c>
      <c r="G32" s="846" t="str">
        <f t="shared" si="5"/>
        <v>junio</v>
      </c>
      <c r="H32" s="846" t="str">
        <f t="shared" si="5"/>
        <v>julio</v>
      </c>
      <c r="I32" s="846" t="str">
        <f t="shared" si="5"/>
        <v>agosto</v>
      </c>
      <c r="J32" s="846" t="str">
        <f t="shared" si="5"/>
        <v>septiembre</v>
      </c>
      <c r="K32" s="846" t="str">
        <f t="shared" si="5"/>
        <v>octubre</v>
      </c>
      <c r="L32" s="846" t="str">
        <f t="shared" si="5"/>
        <v>noviembre</v>
      </c>
      <c r="M32" s="846" t="str">
        <f t="shared" si="5"/>
        <v>diciembre</v>
      </c>
      <c r="N32" s="840" t="s">
        <v>860</v>
      </c>
      <c r="O32" s="845"/>
    </row>
    <row r="33" spans="1:19" ht="17.25" x14ac:dyDescent="0.3">
      <c r="A33" s="848" t="str">
        <f t="shared" ref="A33:A40" si="6">A7</f>
        <v/>
      </c>
      <c r="B33" s="988">
        <f>'Prev.Ventas 1'!B31*(1+Parametros!$F24)</f>
        <v>0</v>
      </c>
      <c r="C33" s="988">
        <f>'Prev.Ventas 1'!C31*(1+Parametros!$F24)</f>
        <v>0</v>
      </c>
      <c r="D33" s="988">
        <f>'Prev.Ventas 1'!D31*(1+Parametros!$F24)</f>
        <v>0</v>
      </c>
      <c r="E33" s="988">
        <f>'Prev.Ventas 1'!E31*(1+Parametros!$F24)</f>
        <v>0</v>
      </c>
      <c r="F33" s="988">
        <f>'Prev.Ventas 1'!F31*(1+Parametros!$F24)</f>
        <v>0</v>
      </c>
      <c r="G33" s="988">
        <f>'Prev.Ventas 1'!G31*(1+Parametros!$F24)</f>
        <v>0</v>
      </c>
      <c r="H33" s="988">
        <f>'Prev.Ventas 1'!H31*(1+Parametros!$F24)</f>
        <v>0</v>
      </c>
      <c r="I33" s="988">
        <f>'Prev.Ventas 1'!I31*(1+Parametros!$F24)</f>
        <v>0</v>
      </c>
      <c r="J33" s="988">
        <f>'Prev.Ventas 1'!J31*(1+Parametros!$F24)</f>
        <v>0</v>
      </c>
      <c r="K33" s="988">
        <f>'Prev.Ventas 1'!K31*(1+Parametros!$F24)</f>
        <v>0</v>
      </c>
      <c r="L33" s="988">
        <f>'Prev.Ventas 1'!L31*(1+Parametros!$F24)</f>
        <v>0</v>
      </c>
      <c r="M33" s="988">
        <f>'Prev.Ventas 1'!M31*(1+Parametros!$F24)</f>
        <v>0</v>
      </c>
      <c r="N33" s="992">
        <f t="shared" ref="N33:N40" si="7">SUM(B33:M33)</f>
        <v>0</v>
      </c>
      <c r="O33" s="845"/>
    </row>
    <row r="34" spans="1:19" ht="17.25" x14ac:dyDescent="0.3">
      <c r="A34" s="849" t="str">
        <f t="shared" si="6"/>
        <v/>
      </c>
      <c r="B34" s="988">
        <f>'Prev.Ventas 1'!B32*(1+Parametros!$F25)</f>
        <v>0</v>
      </c>
      <c r="C34" s="988">
        <f>'Prev.Ventas 1'!C32*(1+Parametros!$F25)</f>
        <v>0</v>
      </c>
      <c r="D34" s="988">
        <f>'Prev.Ventas 1'!D32*(1+Parametros!$F25)</f>
        <v>0</v>
      </c>
      <c r="E34" s="988">
        <f>'Prev.Ventas 1'!E32*(1+Parametros!$F25)</f>
        <v>0</v>
      </c>
      <c r="F34" s="988">
        <f>'Prev.Ventas 1'!F32*(1+Parametros!$F25)</f>
        <v>0</v>
      </c>
      <c r="G34" s="988">
        <f>'Prev.Ventas 1'!G32*(1+Parametros!$F25)</f>
        <v>0</v>
      </c>
      <c r="H34" s="988">
        <f>'Prev.Ventas 1'!H32*(1+Parametros!$F25)</f>
        <v>0</v>
      </c>
      <c r="I34" s="988">
        <f>'Prev.Ventas 1'!I32*(1+Parametros!$F25)</f>
        <v>0</v>
      </c>
      <c r="J34" s="988">
        <f>'Prev.Ventas 1'!J32*(1+Parametros!$F25)</f>
        <v>0</v>
      </c>
      <c r="K34" s="988">
        <f>'Prev.Ventas 1'!K32*(1+Parametros!$F25)</f>
        <v>0</v>
      </c>
      <c r="L34" s="988">
        <f>'Prev.Ventas 1'!L32*(1+Parametros!$F25)</f>
        <v>0</v>
      </c>
      <c r="M34" s="988">
        <f>'Prev.Ventas 1'!M32*(1+Parametros!$F25)</f>
        <v>0</v>
      </c>
      <c r="N34" s="992">
        <f t="shared" si="7"/>
        <v>0</v>
      </c>
      <c r="O34" s="845"/>
    </row>
    <row r="35" spans="1:19" ht="17.25" x14ac:dyDescent="0.3">
      <c r="A35" s="849" t="str">
        <f t="shared" si="6"/>
        <v/>
      </c>
      <c r="B35" s="988">
        <f>'Prev.Ventas 1'!B33*(1+Parametros!$F26)</f>
        <v>0</v>
      </c>
      <c r="C35" s="988">
        <f>'Prev.Ventas 1'!C33*(1+Parametros!$F26)</f>
        <v>0</v>
      </c>
      <c r="D35" s="988">
        <f>'Prev.Ventas 1'!D33*(1+Parametros!$F26)</f>
        <v>0</v>
      </c>
      <c r="E35" s="988">
        <f>'Prev.Ventas 1'!E33*(1+Parametros!$F26)</f>
        <v>0</v>
      </c>
      <c r="F35" s="988">
        <f>'Prev.Ventas 1'!F33*(1+Parametros!$F26)</f>
        <v>0</v>
      </c>
      <c r="G35" s="988">
        <f>'Prev.Ventas 1'!G33*(1+Parametros!$F26)</f>
        <v>0</v>
      </c>
      <c r="H35" s="988">
        <f>'Prev.Ventas 1'!H33*(1+Parametros!$F26)</f>
        <v>0</v>
      </c>
      <c r="I35" s="988">
        <f>'Prev.Ventas 1'!I33*(1+Parametros!$F26)</f>
        <v>0</v>
      </c>
      <c r="J35" s="988">
        <f>'Prev.Ventas 1'!J33*(1+Parametros!$F26)</f>
        <v>0</v>
      </c>
      <c r="K35" s="988">
        <f>'Prev.Ventas 1'!K33*(1+Parametros!$F26)</f>
        <v>0</v>
      </c>
      <c r="L35" s="988">
        <f>'Prev.Ventas 1'!L33*(1+Parametros!$F26)</f>
        <v>0</v>
      </c>
      <c r="M35" s="988">
        <f>'Prev.Ventas 1'!M33*(1+Parametros!$F26)</f>
        <v>0</v>
      </c>
      <c r="N35" s="992">
        <f t="shared" si="7"/>
        <v>0</v>
      </c>
      <c r="O35" s="845"/>
    </row>
    <row r="36" spans="1:19" ht="17.25" x14ac:dyDescent="0.3">
      <c r="A36" s="849" t="str">
        <f t="shared" si="6"/>
        <v/>
      </c>
      <c r="B36" s="988">
        <f>'Prev.Ventas 1'!B34*(1+Parametros!$F27)</f>
        <v>0</v>
      </c>
      <c r="C36" s="988">
        <f>'Prev.Ventas 1'!C34*(1+Parametros!$F27)</f>
        <v>0</v>
      </c>
      <c r="D36" s="988">
        <f>'Prev.Ventas 1'!D34*(1+Parametros!$F27)</f>
        <v>0</v>
      </c>
      <c r="E36" s="988">
        <f>'Prev.Ventas 1'!E34*(1+Parametros!$F27)</f>
        <v>0</v>
      </c>
      <c r="F36" s="988">
        <f>'Prev.Ventas 1'!F34*(1+Parametros!$F27)</f>
        <v>0</v>
      </c>
      <c r="G36" s="988">
        <f>'Prev.Ventas 1'!G34*(1+Parametros!$F27)</f>
        <v>0</v>
      </c>
      <c r="H36" s="988">
        <f>'Prev.Ventas 1'!H34*(1+Parametros!$F27)</f>
        <v>0</v>
      </c>
      <c r="I36" s="988">
        <f>'Prev.Ventas 1'!I34*(1+Parametros!$F27)</f>
        <v>0</v>
      </c>
      <c r="J36" s="988">
        <f>'Prev.Ventas 1'!J34*(1+Parametros!$F27)</f>
        <v>0</v>
      </c>
      <c r="K36" s="988">
        <f>'Prev.Ventas 1'!K34*(1+Parametros!$F27)</f>
        <v>0</v>
      </c>
      <c r="L36" s="988">
        <f>'Prev.Ventas 1'!L34*(1+Parametros!$F27)</f>
        <v>0</v>
      </c>
      <c r="M36" s="988">
        <f>'Prev.Ventas 1'!M34*(1+Parametros!$F27)</f>
        <v>0</v>
      </c>
      <c r="N36" s="992">
        <f t="shared" si="7"/>
        <v>0</v>
      </c>
      <c r="O36" s="845"/>
    </row>
    <row r="37" spans="1:19" ht="17.25" x14ac:dyDescent="0.3">
      <c r="A37" s="849" t="str">
        <f t="shared" si="6"/>
        <v/>
      </c>
      <c r="B37" s="988">
        <f>'Prev.Ventas 1'!B35*(1+Parametros!$F28)</f>
        <v>0</v>
      </c>
      <c r="C37" s="988">
        <f>'Prev.Ventas 1'!C35*(1+Parametros!$F28)</f>
        <v>0</v>
      </c>
      <c r="D37" s="988">
        <f>'Prev.Ventas 1'!D35*(1+Parametros!$F28)</f>
        <v>0</v>
      </c>
      <c r="E37" s="988">
        <f>'Prev.Ventas 1'!E35*(1+Parametros!$F28)</f>
        <v>0</v>
      </c>
      <c r="F37" s="988">
        <f>'Prev.Ventas 1'!F35*(1+Parametros!$F28)</f>
        <v>0</v>
      </c>
      <c r="G37" s="988">
        <f>'Prev.Ventas 1'!G35*(1+Parametros!$F28)</f>
        <v>0</v>
      </c>
      <c r="H37" s="988">
        <f>'Prev.Ventas 1'!H35*(1+Parametros!$F28)</f>
        <v>0</v>
      </c>
      <c r="I37" s="988">
        <f>'Prev.Ventas 1'!I35*(1+Parametros!$F28)</f>
        <v>0</v>
      </c>
      <c r="J37" s="988">
        <f>'Prev.Ventas 1'!J35*(1+Parametros!$F28)</f>
        <v>0</v>
      </c>
      <c r="K37" s="988">
        <f>'Prev.Ventas 1'!K35*(1+Parametros!$F28)</f>
        <v>0</v>
      </c>
      <c r="L37" s="988">
        <f>'Prev.Ventas 1'!L35*(1+Parametros!$F28)</f>
        <v>0</v>
      </c>
      <c r="M37" s="988">
        <f>'Prev.Ventas 1'!M35*(1+Parametros!$F28)</f>
        <v>0</v>
      </c>
      <c r="N37" s="992">
        <f t="shared" si="7"/>
        <v>0</v>
      </c>
      <c r="O37" s="845"/>
    </row>
    <row r="38" spans="1:19" ht="17.25" x14ac:dyDescent="0.3">
      <c r="A38" s="849" t="str">
        <f t="shared" si="6"/>
        <v/>
      </c>
      <c r="B38" s="988">
        <f>'Prev.Ventas 1'!B36*(1+Parametros!$F29)</f>
        <v>0</v>
      </c>
      <c r="C38" s="988">
        <f>'Prev.Ventas 1'!C36*(1+Parametros!$F29)</f>
        <v>0</v>
      </c>
      <c r="D38" s="988">
        <f>'Prev.Ventas 1'!D36*(1+Parametros!$F29)</f>
        <v>0</v>
      </c>
      <c r="E38" s="988">
        <f>'Prev.Ventas 1'!E36*(1+Parametros!$F29)</f>
        <v>0</v>
      </c>
      <c r="F38" s="988">
        <f>'Prev.Ventas 1'!F36*(1+Parametros!$F29)</f>
        <v>0</v>
      </c>
      <c r="G38" s="988">
        <f>'Prev.Ventas 1'!G36*(1+Parametros!$F29)</f>
        <v>0</v>
      </c>
      <c r="H38" s="988">
        <f>'Prev.Ventas 1'!H36*(1+Parametros!$F29)</f>
        <v>0</v>
      </c>
      <c r="I38" s="988">
        <f>'Prev.Ventas 1'!I36*(1+Parametros!$F29)</f>
        <v>0</v>
      </c>
      <c r="J38" s="988">
        <f>'Prev.Ventas 1'!J36*(1+Parametros!$F29)</f>
        <v>0</v>
      </c>
      <c r="K38" s="988">
        <f>'Prev.Ventas 1'!K36*(1+Parametros!$F29)</f>
        <v>0</v>
      </c>
      <c r="L38" s="988">
        <f>'Prev.Ventas 1'!L36*(1+Parametros!$F29)</f>
        <v>0</v>
      </c>
      <c r="M38" s="988">
        <f>'Prev.Ventas 1'!M36*(1+Parametros!$F29)</f>
        <v>0</v>
      </c>
      <c r="N38" s="992">
        <f t="shared" si="7"/>
        <v>0</v>
      </c>
      <c r="O38" s="845"/>
    </row>
    <row r="39" spans="1:19" ht="17.25" x14ac:dyDescent="0.3">
      <c r="A39" s="849" t="str">
        <f t="shared" si="6"/>
        <v/>
      </c>
      <c r="B39" s="988">
        <f>'Prev.Ventas 1'!B37*(1+Parametros!$F30)</f>
        <v>0</v>
      </c>
      <c r="C39" s="988">
        <f>'Prev.Ventas 1'!C37*(1+Parametros!$F30)</f>
        <v>0</v>
      </c>
      <c r="D39" s="988">
        <f>'Prev.Ventas 1'!D37*(1+Parametros!$F30)</f>
        <v>0</v>
      </c>
      <c r="E39" s="988">
        <f>'Prev.Ventas 1'!E37*(1+Parametros!$F30)</f>
        <v>0</v>
      </c>
      <c r="F39" s="988">
        <f>'Prev.Ventas 1'!F37*(1+Parametros!$F30)</f>
        <v>0</v>
      </c>
      <c r="G39" s="988">
        <f>'Prev.Ventas 1'!G37*(1+Parametros!$F30)</f>
        <v>0</v>
      </c>
      <c r="H39" s="988">
        <f>'Prev.Ventas 1'!H37*(1+Parametros!$F30)</f>
        <v>0</v>
      </c>
      <c r="I39" s="988">
        <f>'Prev.Ventas 1'!I37*(1+Parametros!$F30)</f>
        <v>0</v>
      </c>
      <c r="J39" s="988">
        <f>'Prev.Ventas 1'!J37*(1+Parametros!$F30)</f>
        <v>0</v>
      </c>
      <c r="K39" s="988">
        <f>'Prev.Ventas 1'!K37*(1+Parametros!$F30)</f>
        <v>0</v>
      </c>
      <c r="L39" s="988">
        <f>'Prev.Ventas 1'!L37*(1+Parametros!$F30)</f>
        <v>0</v>
      </c>
      <c r="M39" s="988">
        <f>'Prev.Ventas 1'!M37*(1+Parametros!$F30)</f>
        <v>0</v>
      </c>
      <c r="N39" s="992">
        <f t="shared" si="7"/>
        <v>0</v>
      </c>
      <c r="O39" s="845"/>
    </row>
    <row r="40" spans="1:19" ht="18" thickBot="1" x14ac:dyDescent="0.35">
      <c r="A40" s="864" t="str">
        <f t="shared" si="6"/>
        <v/>
      </c>
      <c r="B40" s="990">
        <f>'Prev.Ventas 1'!B38*(1+Parametros!$F31)</f>
        <v>0</v>
      </c>
      <c r="C40" s="990">
        <f>'Prev.Ventas 1'!C38*(1+Parametros!$F31)</f>
        <v>0</v>
      </c>
      <c r="D40" s="990">
        <f>'Prev.Ventas 1'!D38*(1+Parametros!$F31)</f>
        <v>0</v>
      </c>
      <c r="E40" s="990">
        <f>'Prev.Ventas 1'!E38*(1+Parametros!$F31)</f>
        <v>0</v>
      </c>
      <c r="F40" s="990">
        <f>'Prev.Ventas 1'!F38*(1+Parametros!$F31)</f>
        <v>0</v>
      </c>
      <c r="G40" s="990">
        <f>'Prev.Ventas 1'!G38*(1+Parametros!$F31)</f>
        <v>0</v>
      </c>
      <c r="H40" s="990">
        <f>'Prev.Ventas 1'!H38*(1+Parametros!$F31)</f>
        <v>0</v>
      </c>
      <c r="I40" s="990">
        <f>'Prev.Ventas 1'!I38*(1+Parametros!$F31)</f>
        <v>0</v>
      </c>
      <c r="J40" s="990">
        <f>'Prev.Ventas 1'!J38*(1+Parametros!$F31)</f>
        <v>0</v>
      </c>
      <c r="K40" s="990">
        <f>'Prev.Ventas 1'!K38*(1+Parametros!$F31)</f>
        <v>0</v>
      </c>
      <c r="L40" s="990">
        <f>'Prev.Ventas 1'!L38*(1+Parametros!$F31)</f>
        <v>0</v>
      </c>
      <c r="M40" s="990">
        <f>'Prev.Ventas 1'!M38*(1+Parametros!$F31)</f>
        <v>0</v>
      </c>
      <c r="N40" s="992">
        <f t="shared" si="7"/>
        <v>0</v>
      </c>
      <c r="O40" s="845"/>
    </row>
    <row r="41" spans="1:19" ht="18" thickBot="1" x14ac:dyDescent="0.35">
      <c r="A41" s="410" t="s">
        <v>860</v>
      </c>
      <c r="B41" s="851">
        <f t="shared" ref="B41:N41" si="8">SUM(B33:B40)</f>
        <v>0</v>
      </c>
      <c r="C41" s="851">
        <f t="shared" si="8"/>
        <v>0</v>
      </c>
      <c r="D41" s="851">
        <f t="shared" si="8"/>
        <v>0</v>
      </c>
      <c r="E41" s="851">
        <f t="shared" si="8"/>
        <v>0</v>
      </c>
      <c r="F41" s="851">
        <f t="shared" si="8"/>
        <v>0</v>
      </c>
      <c r="G41" s="851">
        <f t="shared" si="8"/>
        <v>0</v>
      </c>
      <c r="H41" s="851">
        <f t="shared" si="8"/>
        <v>0</v>
      </c>
      <c r="I41" s="851">
        <f t="shared" si="8"/>
        <v>0</v>
      </c>
      <c r="J41" s="851">
        <f t="shared" si="8"/>
        <v>0</v>
      </c>
      <c r="K41" s="851">
        <f t="shared" si="8"/>
        <v>0</v>
      </c>
      <c r="L41" s="851">
        <f t="shared" si="8"/>
        <v>0</v>
      </c>
      <c r="M41" s="851">
        <f t="shared" si="8"/>
        <v>0</v>
      </c>
      <c r="N41" s="851">
        <f t="shared" si="8"/>
        <v>0</v>
      </c>
      <c r="O41" s="845"/>
    </row>
    <row r="42" spans="1:19" x14ac:dyDescent="0.25">
      <c r="C42" s="845"/>
      <c r="D42" s="845"/>
      <c r="E42" s="845"/>
      <c r="F42" s="845"/>
      <c r="G42" s="845"/>
      <c r="H42" s="845"/>
      <c r="I42" s="845"/>
      <c r="J42" s="845"/>
      <c r="K42" s="845"/>
      <c r="L42" s="845"/>
      <c r="M42" s="845"/>
      <c r="N42" s="845"/>
      <c r="O42" s="845"/>
      <c r="P42" s="845"/>
    </row>
    <row r="43" spans="1:19" ht="27.75" x14ac:dyDescent="0.45">
      <c r="A43" s="408" t="s">
        <v>260</v>
      </c>
      <c r="C43" s="845"/>
      <c r="D43" s="845"/>
      <c r="E43" s="845"/>
      <c r="G43" s="409"/>
      <c r="H43" s="409"/>
      <c r="I43" s="845"/>
      <c r="J43" s="845"/>
      <c r="K43" s="845"/>
      <c r="L43" s="845"/>
      <c r="M43" s="845"/>
      <c r="N43" s="845"/>
      <c r="O43" s="845"/>
      <c r="P43" s="845"/>
    </row>
    <row r="44" spans="1:19" ht="16.5" thickBot="1" x14ac:dyDescent="0.3">
      <c r="A44" s="845"/>
      <c r="B44" s="847"/>
      <c r="C44" s="845"/>
      <c r="D44" s="845"/>
      <c r="E44" s="845"/>
      <c r="F44" s="845"/>
      <c r="G44" s="845"/>
      <c r="H44" s="845"/>
      <c r="I44" s="845"/>
      <c r="J44" s="845"/>
      <c r="K44" s="845"/>
      <c r="L44" s="845"/>
      <c r="M44" s="845"/>
      <c r="N44" s="845"/>
      <c r="O44" s="845"/>
      <c r="P44" s="852" t="str">
        <f>P18</f>
        <v>Pendiente para el año siguiente:</v>
      </c>
      <c r="Q44" s="853" t="str">
        <f>Q18</f>
        <v>2.028</v>
      </c>
    </row>
    <row r="45" spans="1:19" ht="27.75" customHeight="1" thickBot="1" x14ac:dyDescent="0.3">
      <c r="A45" s="454" t="s">
        <v>940</v>
      </c>
      <c r="B45" s="854" t="str">
        <f t="shared" ref="B45:K45" si="9">B19</f>
        <v>enero 
2027</v>
      </c>
      <c r="C45" s="854" t="str">
        <f t="shared" si="9"/>
        <v>febrero 
2027</v>
      </c>
      <c r="D45" s="854" t="str">
        <f t="shared" si="9"/>
        <v>marzo 
2027</v>
      </c>
      <c r="E45" s="854" t="str">
        <f t="shared" si="9"/>
        <v>abril 
2027</v>
      </c>
      <c r="F45" s="854" t="str">
        <f t="shared" si="9"/>
        <v>mayo 
2027</v>
      </c>
      <c r="G45" s="854" t="str">
        <f t="shared" si="9"/>
        <v>junio 
2027</v>
      </c>
      <c r="H45" s="854" t="str">
        <f t="shared" si="9"/>
        <v>julio 
2027</v>
      </c>
      <c r="I45" s="854" t="str">
        <f t="shared" si="9"/>
        <v>agosto 
2027</v>
      </c>
      <c r="J45" s="854" t="str">
        <f t="shared" si="9"/>
        <v>septiembre 
2027</v>
      </c>
      <c r="K45" s="854" t="str">
        <f t="shared" si="9"/>
        <v>octubre 
2027</v>
      </c>
      <c r="L45" s="854" t="str">
        <f t="shared" ref="L45:S45" si="10">L19</f>
        <v>noviembre 
2027</v>
      </c>
      <c r="M45" s="854" t="str">
        <f t="shared" si="10"/>
        <v>diciembre 
2027</v>
      </c>
      <c r="N45" s="854" t="str">
        <f t="shared" si="10"/>
        <v>enero 
2.028</v>
      </c>
      <c r="O45" s="854" t="str">
        <f t="shared" si="10"/>
        <v>febrero 
2.028</v>
      </c>
      <c r="P45" s="854" t="str">
        <f t="shared" si="10"/>
        <v>marzo 
2.028</v>
      </c>
      <c r="Q45" s="854" t="str">
        <f t="shared" si="10"/>
        <v>abril 
2.028</v>
      </c>
      <c r="R45" s="854" t="str">
        <f t="shared" si="10"/>
        <v>mayo 
2.028</v>
      </c>
      <c r="S45" s="854" t="str">
        <f t="shared" si="10"/>
        <v>junio 
2.028</v>
      </c>
    </row>
    <row r="46" spans="1:19" x14ac:dyDescent="0.25">
      <c r="A46" s="855" t="s">
        <v>938</v>
      </c>
      <c r="B46" s="988">
        <f>SUMPRODUCT('Politicas Cobros y Pagos'!$B$73:$B$80,B$33:B$40)</f>
        <v>0</v>
      </c>
      <c r="C46" s="988">
        <f>SUMPRODUCT('Politicas Cobros y Pagos'!$B$73:$B$80,C$33:C$40)</f>
        <v>0</v>
      </c>
      <c r="D46" s="988">
        <f>SUMPRODUCT('Politicas Cobros y Pagos'!$B$73:$B$80,D$33:D$40)</f>
        <v>0</v>
      </c>
      <c r="E46" s="988">
        <f>SUMPRODUCT('Politicas Cobros y Pagos'!$B$73:$B$80,E$33:E$40)</f>
        <v>0</v>
      </c>
      <c r="F46" s="988">
        <f>SUMPRODUCT('Politicas Cobros y Pagos'!$B$73:$B$80,F$33:F$40)</f>
        <v>0</v>
      </c>
      <c r="G46" s="988">
        <f>SUMPRODUCT('Politicas Cobros y Pagos'!$B$73:$B$80,G$33:G$40)</f>
        <v>0</v>
      </c>
      <c r="H46" s="988">
        <f>SUMPRODUCT('Politicas Cobros y Pagos'!$B$73:$B$80,H$33:H$40)</f>
        <v>0</v>
      </c>
      <c r="I46" s="988">
        <f>SUMPRODUCT('Politicas Cobros y Pagos'!$B$73:$B$80,I$33:I$40)</f>
        <v>0</v>
      </c>
      <c r="J46" s="988">
        <f>SUMPRODUCT('Politicas Cobros y Pagos'!$B$73:$B$80,J$33:J$40)</f>
        <v>0</v>
      </c>
      <c r="K46" s="988">
        <f>SUMPRODUCT('Politicas Cobros y Pagos'!$B$73:$B$80,K$33:K$40)</f>
        <v>0</v>
      </c>
      <c r="L46" s="988">
        <f>SUMPRODUCT('Politicas Cobros y Pagos'!$B$73:$B$80,L$33:L$40)</f>
        <v>0</v>
      </c>
      <c r="M46" s="988">
        <f>SUMPRODUCT('Politicas Cobros y Pagos'!$B$73:$B$80,M$33:M$40)</f>
        <v>0</v>
      </c>
      <c r="N46" s="988"/>
      <c r="O46" s="988"/>
      <c r="P46" s="988"/>
      <c r="Q46" s="988"/>
      <c r="R46" s="988"/>
      <c r="S46" s="988"/>
    </row>
    <row r="47" spans="1:19" x14ac:dyDescent="0.25">
      <c r="A47" s="856">
        <v>30</v>
      </c>
      <c r="B47" s="991">
        <f>'Cobros y pagos 0'!N47</f>
        <v>0</v>
      </c>
      <c r="C47" s="988">
        <f>SUMPRODUCT('Politicas Cobros y Pagos'!$C$73:$C$80,B$33:B$40)</f>
        <v>0</v>
      </c>
      <c r="D47" s="988">
        <f>SUMPRODUCT('Politicas Cobros y Pagos'!$C$73:$C$80,C$33:C$40)</f>
        <v>0</v>
      </c>
      <c r="E47" s="988">
        <f>SUMPRODUCT('Politicas Cobros y Pagos'!$C$73:$C$80,D$33:D$40)</f>
        <v>0</v>
      </c>
      <c r="F47" s="988">
        <f>SUMPRODUCT('Politicas Cobros y Pagos'!$C$73:$C$80,E$33:E$40)</f>
        <v>0</v>
      </c>
      <c r="G47" s="988">
        <f>SUMPRODUCT('Politicas Cobros y Pagos'!$C$73:$C$80,F$33:F$40)</f>
        <v>0</v>
      </c>
      <c r="H47" s="988">
        <f>SUMPRODUCT('Politicas Cobros y Pagos'!$C$73:$C$80,G$33:G$40)</f>
        <v>0</v>
      </c>
      <c r="I47" s="988">
        <f>SUMPRODUCT('Politicas Cobros y Pagos'!$C$73:$C$80,H$33:H$40)</f>
        <v>0</v>
      </c>
      <c r="J47" s="988">
        <f>SUMPRODUCT('Politicas Cobros y Pagos'!$C$73:$C$80,I$33:I$40)</f>
        <v>0</v>
      </c>
      <c r="K47" s="988">
        <f>SUMPRODUCT('Politicas Cobros y Pagos'!$C$73:$C$80,J$33:J$40)</f>
        <v>0</v>
      </c>
      <c r="L47" s="988">
        <f>SUMPRODUCT('Politicas Cobros y Pagos'!$C$73:$C$80,K$33:K$40)</f>
        <v>0</v>
      </c>
      <c r="M47" s="988">
        <f>SUMPRODUCT('Politicas Cobros y Pagos'!$C$73:$C$80,L$33:L$40)</f>
        <v>0</v>
      </c>
      <c r="N47" s="988">
        <f>SUMPRODUCT('Politicas Cobros y Pagos'!$C$73:$C$80,M$33:M$40)</f>
        <v>0</v>
      </c>
      <c r="O47" s="988"/>
      <c r="P47" s="988"/>
      <c r="Q47" s="988"/>
      <c r="R47" s="988"/>
      <c r="S47" s="988"/>
    </row>
    <row r="48" spans="1:19" x14ac:dyDescent="0.25">
      <c r="A48" s="856">
        <v>60</v>
      </c>
      <c r="B48" s="991">
        <f>'Cobros y pagos 0'!N48</f>
        <v>0</v>
      </c>
      <c r="C48" s="991">
        <f>'Cobros y pagos 0'!O48</f>
        <v>0</v>
      </c>
      <c r="D48" s="988">
        <f>SUMPRODUCT('Politicas Cobros y Pagos'!$D$73:$D$80,B$33:B$40)</f>
        <v>0</v>
      </c>
      <c r="E48" s="988">
        <f>SUMPRODUCT('Politicas Cobros y Pagos'!$D$73:$D$80,C$33:C$40)</f>
        <v>0</v>
      </c>
      <c r="F48" s="988">
        <f>SUMPRODUCT('Politicas Cobros y Pagos'!$D$73:$D$80,D$33:D$40)</f>
        <v>0</v>
      </c>
      <c r="G48" s="988">
        <f>SUMPRODUCT('Politicas Cobros y Pagos'!$D$73:$D$80,E$33:E$40)</f>
        <v>0</v>
      </c>
      <c r="H48" s="988">
        <f>SUMPRODUCT('Politicas Cobros y Pagos'!$D$73:$D$80,F$33:F$40)</f>
        <v>0</v>
      </c>
      <c r="I48" s="988">
        <f>SUMPRODUCT('Politicas Cobros y Pagos'!$D$73:$D$80,G$33:G$40)</f>
        <v>0</v>
      </c>
      <c r="J48" s="988">
        <f>SUMPRODUCT('Politicas Cobros y Pagos'!$D$73:$D$80,H$33:H$40)</f>
        <v>0</v>
      </c>
      <c r="K48" s="988">
        <f>SUMPRODUCT('Politicas Cobros y Pagos'!$D$73:$D$80,I$33:I$40)</f>
        <v>0</v>
      </c>
      <c r="L48" s="988">
        <f>SUMPRODUCT('Politicas Cobros y Pagos'!$D$73:$D$80,J$33:J$40)</f>
        <v>0</v>
      </c>
      <c r="M48" s="988">
        <f>SUMPRODUCT('Politicas Cobros y Pagos'!$D$73:$D$80,K$33:K$40)</f>
        <v>0</v>
      </c>
      <c r="N48" s="988">
        <f>SUMPRODUCT('Politicas Cobros y Pagos'!$D$73:$D$80,L$33:L$40)</f>
        <v>0</v>
      </c>
      <c r="O48" s="988">
        <f>SUMPRODUCT('Politicas Cobros y Pagos'!$D$73:$D$80,M$33:M$40)</f>
        <v>0</v>
      </c>
      <c r="P48" s="988"/>
      <c r="Q48" s="988"/>
      <c r="R48" s="988"/>
      <c r="S48" s="988"/>
    </row>
    <row r="49" spans="1:19" x14ac:dyDescent="0.25">
      <c r="A49" s="856">
        <v>90</v>
      </c>
      <c r="B49" s="991">
        <f>'Cobros y pagos 0'!N49</f>
        <v>0</v>
      </c>
      <c r="C49" s="991">
        <f>'Cobros y pagos 0'!O49</f>
        <v>0</v>
      </c>
      <c r="D49" s="991">
        <f>'Cobros y pagos 0'!P49</f>
        <v>0</v>
      </c>
      <c r="E49" s="988">
        <f>SUMPRODUCT('Politicas Cobros y Pagos'!$E$73:$E$80,B$33:B$40)</f>
        <v>0</v>
      </c>
      <c r="F49" s="988">
        <f>SUMPRODUCT('Politicas Cobros y Pagos'!$E$73:$E$80,C$33:C$40)</f>
        <v>0</v>
      </c>
      <c r="G49" s="988">
        <f>SUMPRODUCT('Politicas Cobros y Pagos'!$E$73:$E$80,D$33:D$40)</f>
        <v>0</v>
      </c>
      <c r="H49" s="988">
        <f>SUMPRODUCT('Politicas Cobros y Pagos'!$E$73:$E$80,E$33:E$40)</f>
        <v>0</v>
      </c>
      <c r="I49" s="988">
        <f>SUMPRODUCT('Politicas Cobros y Pagos'!$E$73:$E$80,F$33:F$40)</f>
        <v>0</v>
      </c>
      <c r="J49" s="988">
        <f>SUMPRODUCT('Politicas Cobros y Pagos'!$E$73:$E$80,G$33:G$40)</f>
        <v>0</v>
      </c>
      <c r="K49" s="988">
        <f>SUMPRODUCT('Politicas Cobros y Pagos'!$E$73:$E$80,H$33:H$40)</f>
        <v>0</v>
      </c>
      <c r="L49" s="988">
        <f>SUMPRODUCT('Politicas Cobros y Pagos'!$E$73:$E$80,I$33:I$40)</f>
        <v>0</v>
      </c>
      <c r="M49" s="988">
        <f>SUMPRODUCT('Politicas Cobros y Pagos'!$E$73:$E$80,J$33:J$40)</f>
        <v>0</v>
      </c>
      <c r="N49" s="988">
        <f>SUMPRODUCT('Politicas Cobros y Pagos'!$E$73:$E$80,K$33:K$40)</f>
        <v>0</v>
      </c>
      <c r="O49" s="988">
        <f>SUMPRODUCT('Politicas Cobros y Pagos'!$E$73:$E$80,L$33:L$40)</f>
        <v>0</v>
      </c>
      <c r="P49" s="988">
        <f>SUMPRODUCT('Politicas Cobros y Pagos'!$E$73:$E$80,M$33:M$40)</f>
        <v>0</v>
      </c>
      <c r="Q49" s="988"/>
      <c r="R49" s="988"/>
      <c r="S49" s="988"/>
    </row>
    <row r="50" spans="1:19" x14ac:dyDescent="0.25">
      <c r="A50" s="856">
        <v>120</v>
      </c>
      <c r="B50" s="991">
        <f>'Cobros y pagos 0'!N50</f>
        <v>0</v>
      </c>
      <c r="C50" s="991">
        <f>'Cobros y pagos 0'!O50</f>
        <v>0</v>
      </c>
      <c r="D50" s="991">
        <f>'Cobros y pagos 0'!P50</f>
        <v>0</v>
      </c>
      <c r="E50" s="991">
        <f>'Cobros y pagos 0'!Q50</f>
        <v>0</v>
      </c>
      <c r="F50" s="988">
        <f>SUMPRODUCT('Politicas Cobros y Pagos'!$F$73:$F$80,B$33:B$40)</f>
        <v>0</v>
      </c>
      <c r="G50" s="988">
        <f>SUMPRODUCT('Politicas Cobros y Pagos'!$F$73:$F$80,C$33:C$40)</f>
        <v>0</v>
      </c>
      <c r="H50" s="988">
        <f>SUMPRODUCT('Politicas Cobros y Pagos'!$F$73:$F$80,D$33:D$40)</f>
        <v>0</v>
      </c>
      <c r="I50" s="988">
        <f>SUMPRODUCT('Politicas Cobros y Pagos'!$F$73:$F$80,E$33:E$40)</f>
        <v>0</v>
      </c>
      <c r="J50" s="988">
        <f>SUMPRODUCT('Politicas Cobros y Pagos'!$F$73:$F$80,F$33:F$40)</f>
        <v>0</v>
      </c>
      <c r="K50" s="988">
        <f>SUMPRODUCT('Politicas Cobros y Pagos'!$F$73:$F$80,G$33:G$40)</f>
        <v>0</v>
      </c>
      <c r="L50" s="988">
        <f>SUMPRODUCT('Politicas Cobros y Pagos'!$F$73:$F$80,H$33:H$40)</f>
        <v>0</v>
      </c>
      <c r="M50" s="988">
        <f>SUMPRODUCT('Politicas Cobros y Pagos'!$F$73:$F$80,I$33:I$40)</f>
        <v>0</v>
      </c>
      <c r="N50" s="988">
        <f>SUMPRODUCT('Politicas Cobros y Pagos'!$F$73:$F$80,J$33:J$40)</f>
        <v>0</v>
      </c>
      <c r="O50" s="988">
        <f>SUMPRODUCT('Politicas Cobros y Pagos'!$F$73:$F$80,K$33:K$40)</f>
        <v>0</v>
      </c>
      <c r="P50" s="988">
        <f>SUMPRODUCT('Politicas Cobros y Pagos'!$F$73:$F$80,L$33:L$40)</f>
        <v>0</v>
      </c>
      <c r="Q50" s="988">
        <f>SUMPRODUCT('Politicas Cobros y Pagos'!$F$73:$F$80,M$33:M$40)</f>
        <v>0</v>
      </c>
      <c r="R50" s="988"/>
      <c r="S50" s="988"/>
    </row>
    <row r="51" spans="1:19" x14ac:dyDescent="0.25">
      <c r="A51" s="856">
        <v>150</v>
      </c>
      <c r="B51" s="991">
        <f>'Cobros y pagos 0'!N51</f>
        <v>0</v>
      </c>
      <c r="C51" s="991">
        <f>'Cobros y pagos 0'!O51</f>
        <v>0</v>
      </c>
      <c r="D51" s="991">
        <f>'Cobros y pagos 0'!P51</f>
        <v>0</v>
      </c>
      <c r="E51" s="991">
        <f>'Cobros y pagos 0'!Q51</f>
        <v>0</v>
      </c>
      <c r="F51" s="991">
        <f>'Cobros y pagos 0'!R51</f>
        <v>0</v>
      </c>
      <c r="G51" s="988">
        <f>SUMPRODUCT('Politicas Cobros y Pagos'!$G$73:$G$80,B$33:B$40)</f>
        <v>0</v>
      </c>
      <c r="H51" s="988">
        <f>SUMPRODUCT('Politicas Cobros y Pagos'!$G$73:$G$80,C$33:C$40)</f>
        <v>0</v>
      </c>
      <c r="I51" s="988">
        <f>SUMPRODUCT('Politicas Cobros y Pagos'!$G$73:$G$80,D$33:D$40)</f>
        <v>0</v>
      </c>
      <c r="J51" s="988">
        <f>SUMPRODUCT('Politicas Cobros y Pagos'!$G$73:$G$80,E$33:E$40)</f>
        <v>0</v>
      </c>
      <c r="K51" s="988">
        <f>SUMPRODUCT('Politicas Cobros y Pagos'!$G$73:$G$80,F$33:F$40)</f>
        <v>0</v>
      </c>
      <c r="L51" s="988">
        <f>SUMPRODUCT('Politicas Cobros y Pagos'!$G$73:$G$80,G$33:G$40)</f>
        <v>0</v>
      </c>
      <c r="M51" s="988">
        <f>SUMPRODUCT('Politicas Cobros y Pagos'!$G$73:$G$80,H$33:H$40)</f>
        <v>0</v>
      </c>
      <c r="N51" s="988">
        <f>SUMPRODUCT('Politicas Cobros y Pagos'!$G$73:$G$80,I$33:I$40)</f>
        <v>0</v>
      </c>
      <c r="O51" s="988">
        <f>SUMPRODUCT('Politicas Cobros y Pagos'!$G$73:$G$80,J$33:J$40)</f>
        <v>0</v>
      </c>
      <c r="P51" s="988">
        <f>SUMPRODUCT('Politicas Cobros y Pagos'!$G$73:$G$80,K$33:K$40)</f>
        <v>0</v>
      </c>
      <c r="Q51" s="988">
        <f>SUMPRODUCT('Politicas Cobros y Pagos'!$G$73:$G$80,L$33:L$40)</f>
        <v>0</v>
      </c>
      <c r="R51" s="988">
        <f>SUMPRODUCT('Politicas Cobros y Pagos'!$G$73:$G$80,M$33:M$40)</f>
        <v>0</v>
      </c>
      <c r="S51" s="988"/>
    </row>
    <row r="52" spans="1:19" x14ac:dyDescent="0.25">
      <c r="A52" s="856">
        <v>180</v>
      </c>
      <c r="B52" s="991">
        <f>'Cobros y pagos 0'!N52</f>
        <v>0</v>
      </c>
      <c r="C52" s="991">
        <f>'Cobros y pagos 0'!O52</f>
        <v>0</v>
      </c>
      <c r="D52" s="991">
        <f>'Cobros y pagos 0'!P52</f>
        <v>0</v>
      </c>
      <c r="E52" s="991">
        <f>'Cobros y pagos 0'!Q52</f>
        <v>0</v>
      </c>
      <c r="F52" s="991">
        <f>'Cobros y pagos 0'!R52</f>
        <v>0</v>
      </c>
      <c r="G52" s="991">
        <f>'Cobros y pagos 0'!S52</f>
        <v>0</v>
      </c>
      <c r="H52" s="988">
        <f>SUMPRODUCT('Politicas Cobros y Pagos'!$H$73:$H$80,B$33:B$40)</f>
        <v>0</v>
      </c>
      <c r="I52" s="988">
        <f>SUMPRODUCT('Politicas Cobros y Pagos'!$H$73:$H$80,C$33:C$40)</f>
        <v>0</v>
      </c>
      <c r="J52" s="988">
        <f>SUMPRODUCT('Politicas Cobros y Pagos'!$H$73:$H$80,D$33:D$40)</f>
        <v>0</v>
      </c>
      <c r="K52" s="988">
        <f>SUMPRODUCT('Politicas Cobros y Pagos'!$H$73:$H$80,E$33:E$40)</f>
        <v>0</v>
      </c>
      <c r="L52" s="988">
        <f>SUMPRODUCT('Politicas Cobros y Pagos'!$H$73:$H$80,F$33:F$40)</f>
        <v>0</v>
      </c>
      <c r="M52" s="988">
        <f>SUMPRODUCT('Politicas Cobros y Pagos'!$H$73:$H$80,G$33:G$40)</f>
        <v>0</v>
      </c>
      <c r="N52" s="988">
        <f>SUMPRODUCT('Politicas Cobros y Pagos'!$H$73:$H$80,H$33:H$40)</f>
        <v>0</v>
      </c>
      <c r="O52" s="988">
        <f>SUMPRODUCT('Politicas Cobros y Pagos'!$H$73:$H$80,I$33:I$40)</f>
        <v>0</v>
      </c>
      <c r="P52" s="988">
        <f>SUMPRODUCT('Politicas Cobros y Pagos'!$H$73:$H$80,J$33:J$40)</f>
        <v>0</v>
      </c>
      <c r="Q52" s="988">
        <f>SUMPRODUCT('Politicas Cobros y Pagos'!$H$73:$H$80,K$33:K$40)</f>
        <v>0</v>
      </c>
      <c r="R52" s="988">
        <f>SUMPRODUCT('Politicas Cobros y Pagos'!$H$73:$H$80,L$33:L$40)</f>
        <v>0</v>
      </c>
      <c r="S52" s="988">
        <f>SUMPRODUCT('Politicas Cobros y Pagos'!$H$73:$H$80,M$33:M$40)</f>
        <v>0</v>
      </c>
    </row>
    <row r="53" spans="1:19" ht="15.75" thickBot="1" x14ac:dyDescent="0.3">
      <c r="A53" s="865" t="s">
        <v>860</v>
      </c>
      <c r="B53" s="993">
        <f t="shared" ref="B53:S53" si="11">SUM(B46:B52)</f>
        <v>0</v>
      </c>
      <c r="C53" s="993">
        <f t="shared" si="11"/>
        <v>0</v>
      </c>
      <c r="D53" s="993">
        <f t="shared" si="11"/>
        <v>0</v>
      </c>
      <c r="E53" s="993">
        <f t="shared" si="11"/>
        <v>0</v>
      </c>
      <c r="F53" s="993">
        <f t="shared" si="11"/>
        <v>0</v>
      </c>
      <c r="G53" s="993">
        <f t="shared" si="11"/>
        <v>0</v>
      </c>
      <c r="H53" s="993">
        <f t="shared" si="11"/>
        <v>0</v>
      </c>
      <c r="I53" s="993">
        <f t="shared" si="11"/>
        <v>0</v>
      </c>
      <c r="J53" s="993">
        <f t="shared" si="11"/>
        <v>0</v>
      </c>
      <c r="K53" s="993">
        <f t="shared" si="11"/>
        <v>0</v>
      </c>
      <c r="L53" s="993">
        <f t="shared" si="11"/>
        <v>0</v>
      </c>
      <c r="M53" s="993">
        <f t="shared" si="11"/>
        <v>0</v>
      </c>
      <c r="N53" s="993">
        <f t="shared" si="11"/>
        <v>0</v>
      </c>
      <c r="O53" s="993">
        <f t="shared" si="11"/>
        <v>0</v>
      </c>
      <c r="P53" s="993">
        <f t="shared" si="11"/>
        <v>0</v>
      </c>
      <c r="Q53" s="993">
        <f t="shared" si="11"/>
        <v>0</v>
      </c>
      <c r="R53" s="993">
        <f t="shared" si="11"/>
        <v>0</v>
      </c>
      <c r="S53" s="993">
        <f t="shared" si="11"/>
        <v>0</v>
      </c>
    </row>
    <row r="54" spans="1:19" ht="15.75" thickBot="1" x14ac:dyDescent="0.3">
      <c r="A54" s="845"/>
      <c r="B54" s="847"/>
      <c r="C54" s="843"/>
      <c r="D54" s="843"/>
      <c r="E54" s="843"/>
      <c r="F54" s="843"/>
      <c r="G54" s="843"/>
      <c r="H54" s="843"/>
      <c r="I54" s="843"/>
      <c r="J54" s="843"/>
      <c r="K54" s="843"/>
      <c r="L54" s="843"/>
      <c r="M54" s="843"/>
      <c r="N54" s="843"/>
      <c r="O54" s="845"/>
      <c r="P54" s="843"/>
    </row>
    <row r="55" spans="1:19" ht="15.75" thickBot="1" x14ac:dyDescent="0.3">
      <c r="N55" s="827"/>
      <c r="O55" s="860"/>
      <c r="P55" s="861"/>
      <c r="Q55" s="861"/>
      <c r="R55" s="862" t="str">
        <f>CONCATENATE("Pagos de compras y CV pendintes para el año ",Q44," (sin IVA)")</f>
        <v>Pagos de compras y CV pendintes para el año 2.028 (sin IVA)</v>
      </c>
      <c r="S55" s="638">
        <f>SUM(N53:S53)</f>
        <v>0</v>
      </c>
    </row>
  </sheetData>
  <sheetProtection sheet="1" objects="1" scenarios="1" formatCells="0" formatColumns="0"/>
  <phoneticPr fontId="13" type="noConversion"/>
  <printOptions horizontalCentered="1" verticalCentered="1"/>
  <pageMargins left="0.39370078740157483" right="0.39370078740157483" top="0.34" bottom="0.31" header="0.31496062992125984" footer="0.31496062992125984"/>
  <pageSetup paperSize="9" scale="61" orientation="landscape" horizontalDpi="300" verticalDpi="300" r:id="rId1"/>
  <headerFooter alignWithMargins="0">
    <oddFooter>&amp;A</oddFooter>
  </headerFooter>
  <rowBreaks count="1" manualBreakCount="1">
    <brk id="16" max="14"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22">
    <tabColor rgb="FF14A3A8"/>
    <pageSetUpPr fitToPage="1"/>
  </sheetPr>
  <dimension ref="A1:S55"/>
  <sheetViews>
    <sheetView showGridLines="0" workbookViewId="0"/>
  </sheetViews>
  <sheetFormatPr baseColWidth="10" defaultRowHeight="15" x14ac:dyDescent="0.25"/>
  <cols>
    <col min="1" max="1" width="24.75" style="305" customWidth="1"/>
    <col min="2" max="2" width="9.75" style="445" customWidth="1"/>
    <col min="3" max="4" width="10" style="446" customWidth="1"/>
    <col min="5" max="5" width="11.625" style="446" customWidth="1"/>
    <col min="6" max="6" width="12.125" style="446" customWidth="1"/>
    <col min="7" max="14" width="10" style="446" customWidth="1"/>
    <col min="15" max="15" width="9.5" style="305" customWidth="1"/>
    <col min="16" max="16384" width="11" style="446"/>
  </cols>
  <sheetData>
    <row r="1" spans="1:15" ht="27.75" x14ac:dyDescent="0.45">
      <c r="A1" s="485" t="s">
        <v>1022</v>
      </c>
      <c r="B1" s="841"/>
      <c r="F1" s="866">
        <f>'Datos Básicos'!D16</f>
        <v>2</v>
      </c>
      <c r="G1" s="470">
        <f>'Datos Básicos'!$D$17</f>
        <v>2028</v>
      </c>
      <c r="M1" s="842"/>
    </row>
    <row r="2" spans="1:15" s="843" customFormat="1" ht="27.75" x14ac:dyDescent="0.45">
      <c r="A2" s="408">
        <f>'Datos Básicos'!B8</f>
        <v>0</v>
      </c>
      <c r="B2" s="841"/>
      <c r="D2" s="844"/>
      <c r="E2" s="450"/>
      <c r="O2" s="845"/>
    </row>
    <row r="4" spans="1:15" ht="27.75" x14ac:dyDescent="0.45">
      <c r="A4" s="408" t="s">
        <v>262</v>
      </c>
      <c r="E4" s="409"/>
      <c r="F4" s="409"/>
    </row>
    <row r="5" spans="1:15" ht="15.75" thickBot="1" x14ac:dyDescent="0.3"/>
    <row r="6" spans="1:15" s="847" customFormat="1" ht="16.149999999999999" customHeight="1" thickBot="1" x14ac:dyDescent="0.25">
      <c r="A6" s="454" t="s">
        <v>936</v>
      </c>
      <c r="B6" s="846" t="str">
        <f>'Datos Gastos Fijos'!D7</f>
        <v>enero</v>
      </c>
      <c r="C6" s="840" t="str">
        <f>'Datos Gastos Fijos'!E7</f>
        <v>febrero</v>
      </c>
      <c r="D6" s="840" t="str">
        <f>'Datos Gastos Fijos'!F7</f>
        <v>marzo</v>
      </c>
      <c r="E6" s="840" t="str">
        <f>'Datos Gastos Fijos'!G7</f>
        <v>abril</v>
      </c>
      <c r="F6" s="840" t="str">
        <f>'Datos Gastos Fijos'!H7</f>
        <v>mayo</v>
      </c>
      <c r="G6" s="840" t="str">
        <f>'Datos Gastos Fijos'!I7</f>
        <v>junio</v>
      </c>
      <c r="H6" s="840" t="str">
        <f>'Datos Gastos Fijos'!J7</f>
        <v>julio</v>
      </c>
      <c r="I6" s="840" t="str">
        <f>'Datos Gastos Fijos'!K7</f>
        <v>agosto</v>
      </c>
      <c r="J6" s="840" t="str">
        <f>'Datos Gastos Fijos'!L7</f>
        <v>septiembre</v>
      </c>
      <c r="K6" s="840" t="str">
        <f>'Datos Gastos Fijos'!M7</f>
        <v>octubre</v>
      </c>
      <c r="L6" s="840" t="str">
        <f>'Datos Gastos Fijos'!N7</f>
        <v>noviembre</v>
      </c>
      <c r="M6" s="840" t="str">
        <f>'Datos Gastos Fijos'!O7</f>
        <v>diciembre</v>
      </c>
      <c r="N6" s="840" t="s">
        <v>860</v>
      </c>
    </row>
    <row r="7" spans="1:15" s="845" customFormat="1" ht="16.149999999999999" customHeight="1" x14ac:dyDescent="0.3">
      <c r="A7" s="848" t="str">
        <f>'Politicas Cobros y Pagos'!A40</f>
        <v/>
      </c>
      <c r="B7" s="988">
        <f>'Prev.Ventas 2'!B17*(1+Parametros!$E24)-'Prev.Ventas 2'!B17*retIRPF</f>
        <v>0</v>
      </c>
      <c r="C7" s="988">
        <f>'Prev.Ventas 2'!C17*(1+Parametros!$E24)-'Prev.Ventas 2'!C17*retIRPF</f>
        <v>0</v>
      </c>
      <c r="D7" s="988">
        <f>'Prev.Ventas 2'!D17*(1+Parametros!$E24)-'Prev.Ventas 2'!D17*retIRPF</f>
        <v>0</v>
      </c>
      <c r="E7" s="988">
        <f>'Prev.Ventas 2'!E17*(1+Parametros!$E24)-'Prev.Ventas 2'!E17*retIRPF</f>
        <v>0</v>
      </c>
      <c r="F7" s="988">
        <f>'Prev.Ventas 2'!F17*(1+Parametros!$E24)-'Prev.Ventas 2'!F17*retIRPF</f>
        <v>0</v>
      </c>
      <c r="G7" s="988">
        <f>'Prev.Ventas 2'!G17*(1+Parametros!$E24)-'Prev.Ventas 2'!G17*retIRPF</f>
        <v>0</v>
      </c>
      <c r="H7" s="988">
        <f>'Prev.Ventas 2'!H17*(1+Parametros!$E24)-'Prev.Ventas 2'!H17*retIRPF</f>
        <v>0</v>
      </c>
      <c r="I7" s="988">
        <f>'Prev.Ventas 2'!I17*(1+Parametros!$E24)-'Prev.Ventas 2'!I17*retIRPF</f>
        <v>0</v>
      </c>
      <c r="J7" s="988">
        <f>'Prev.Ventas 2'!J17*(1+Parametros!$E24)-'Prev.Ventas 2'!J17*retIRPF</f>
        <v>0</v>
      </c>
      <c r="K7" s="988">
        <f>'Prev.Ventas 2'!K17*(1+Parametros!$E24)-'Prev.Ventas 2'!K17*retIRPF</f>
        <v>0</v>
      </c>
      <c r="L7" s="988">
        <f>'Prev.Ventas 2'!L17*(1+Parametros!$E24)-'Prev.Ventas 2'!L17*retIRPF</f>
        <v>0</v>
      </c>
      <c r="M7" s="988">
        <f>'Prev.Ventas 2'!M17*(1+Parametros!$E24)-'Prev.Ventas 2'!M17*retIRPF</f>
        <v>0</v>
      </c>
      <c r="N7" s="989">
        <f t="shared" ref="N7:N14" si="0">SUM(B7:M7)</f>
        <v>0</v>
      </c>
    </row>
    <row r="8" spans="1:15" s="845" customFormat="1" ht="16.149999999999999" customHeight="1" x14ac:dyDescent="0.3">
      <c r="A8" s="849" t="str">
        <f>'Politicas Cobros y Pagos'!A41</f>
        <v/>
      </c>
      <c r="B8" s="988">
        <f>'Prev.Ventas 2'!B18*(1+Parametros!$E25)-'Prev.Ventas 2'!B18*retIRPF</f>
        <v>0</v>
      </c>
      <c r="C8" s="988">
        <f>'Prev.Ventas 2'!C18*(1+Parametros!$E25)-'Prev.Ventas 2'!C18*retIRPF</f>
        <v>0</v>
      </c>
      <c r="D8" s="988">
        <f>'Prev.Ventas 2'!D18*(1+Parametros!$E25)-'Prev.Ventas 2'!D18*retIRPF</f>
        <v>0</v>
      </c>
      <c r="E8" s="988">
        <f>'Prev.Ventas 2'!E18*(1+Parametros!$E25)-'Prev.Ventas 2'!E18*retIRPF</f>
        <v>0</v>
      </c>
      <c r="F8" s="988">
        <f>'Prev.Ventas 2'!F18*(1+Parametros!$E25)-'Prev.Ventas 2'!F18*retIRPF</f>
        <v>0</v>
      </c>
      <c r="G8" s="988">
        <f>'Prev.Ventas 2'!G18*(1+Parametros!$E25)-'Prev.Ventas 2'!G18*retIRPF</f>
        <v>0</v>
      </c>
      <c r="H8" s="988">
        <f>'Prev.Ventas 2'!H18*(1+Parametros!$E25)-'Prev.Ventas 2'!H18*retIRPF</f>
        <v>0</v>
      </c>
      <c r="I8" s="988">
        <f>'Prev.Ventas 2'!I18*(1+Parametros!$E25)-'Prev.Ventas 2'!I18*retIRPF</f>
        <v>0</v>
      </c>
      <c r="J8" s="988">
        <f>'Prev.Ventas 2'!J18*(1+Parametros!$E25)-'Prev.Ventas 2'!J18*retIRPF</f>
        <v>0</v>
      </c>
      <c r="K8" s="988">
        <f>'Prev.Ventas 2'!K18*(1+Parametros!$E25)-'Prev.Ventas 2'!K18*retIRPF</f>
        <v>0</v>
      </c>
      <c r="L8" s="988">
        <f>'Prev.Ventas 2'!L18*(1+Parametros!$E25)-'Prev.Ventas 2'!L18*retIRPF</f>
        <v>0</v>
      </c>
      <c r="M8" s="988">
        <f>'Prev.Ventas 2'!M18*(1+Parametros!$E25)-'Prev.Ventas 2'!M18*retIRPF</f>
        <v>0</v>
      </c>
      <c r="N8" s="989">
        <f t="shared" si="0"/>
        <v>0</v>
      </c>
    </row>
    <row r="9" spans="1:15" s="845" customFormat="1" ht="16.149999999999999" customHeight="1" x14ac:dyDescent="0.3">
      <c r="A9" s="849" t="str">
        <f>'Politicas Cobros y Pagos'!A42</f>
        <v/>
      </c>
      <c r="B9" s="988">
        <f>'Prev.Ventas 2'!B19*(1+Parametros!$E26)-'Prev.Ventas 2'!B19*retIRPF</f>
        <v>0</v>
      </c>
      <c r="C9" s="988">
        <f>'Prev.Ventas 2'!C19*(1+Parametros!$E26)-'Prev.Ventas 2'!C19*retIRPF</f>
        <v>0</v>
      </c>
      <c r="D9" s="988">
        <f>'Prev.Ventas 2'!D19*(1+Parametros!$E26)-'Prev.Ventas 2'!D19*retIRPF</f>
        <v>0</v>
      </c>
      <c r="E9" s="988">
        <f>'Prev.Ventas 2'!E19*(1+Parametros!$E26)-'Prev.Ventas 2'!E19*retIRPF</f>
        <v>0</v>
      </c>
      <c r="F9" s="988">
        <f>'Prev.Ventas 2'!F19*(1+Parametros!$E26)-'Prev.Ventas 2'!F19*retIRPF</f>
        <v>0</v>
      </c>
      <c r="G9" s="988">
        <f>'Prev.Ventas 2'!G19*(1+Parametros!$E26)-'Prev.Ventas 2'!G19*retIRPF</f>
        <v>0</v>
      </c>
      <c r="H9" s="988">
        <f>'Prev.Ventas 2'!H19*(1+Parametros!$E26)-'Prev.Ventas 2'!H19*retIRPF</f>
        <v>0</v>
      </c>
      <c r="I9" s="988">
        <f>'Prev.Ventas 2'!I19*(1+Parametros!$E26)-'Prev.Ventas 2'!I19*retIRPF</f>
        <v>0</v>
      </c>
      <c r="J9" s="988">
        <f>'Prev.Ventas 2'!J19*(1+Parametros!$E26)-'Prev.Ventas 2'!J19*retIRPF</f>
        <v>0</v>
      </c>
      <c r="K9" s="988">
        <f>'Prev.Ventas 2'!K19*(1+Parametros!$E26)-'Prev.Ventas 2'!K19*retIRPF</f>
        <v>0</v>
      </c>
      <c r="L9" s="988">
        <f>'Prev.Ventas 2'!L19*(1+Parametros!$E26)-'Prev.Ventas 2'!L19*retIRPF</f>
        <v>0</v>
      </c>
      <c r="M9" s="988">
        <f>'Prev.Ventas 2'!M19*(1+Parametros!$E26)-'Prev.Ventas 2'!M19*retIRPF</f>
        <v>0</v>
      </c>
      <c r="N9" s="989">
        <f t="shared" si="0"/>
        <v>0</v>
      </c>
    </row>
    <row r="10" spans="1:15" s="845" customFormat="1" ht="16.149999999999999" customHeight="1" x14ac:dyDescent="0.3">
      <c r="A10" s="849" t="str">
        <f>'Politicas Cobros y Pagos'!A43</f>
        <v/>
      </c>
      <c r="B10" s="988">
        <f>'Prev.Ventas 2'!B20*(1+Parametros!$E27)-'Prev.Ventas 2'!B20*retIRPF</f>
        <v>0</v>
      </c>
      <c r="C10" s="988">
        <f>'Prev.Ventas 2'!C20*(1+Parametros!$E27)-'Prev.Ventas 2'!C20*retIRPF</f>
        <v>0</v>
      </c>
      <c r="D10" s="988">
        <f>'Prev.Ventas 2'!D20*(1+Parametros!$E27)-'Prev.Ventas 2'!D20*retIRPF</f>
        <v>0</v>
      </c>
      <c r="E10" s="988">
        <f>'Prev.Ventas 2'!E20*(1+Parametros!$E27)-'Prev.Ventas 2'!E20*retIRPF</f>
        <v>0</v>
      </c>
      <c r="F10" s="988">
        <f>'Prev.Ventas 2'!F20*(1+Parametros!$E27)-'Prev.Ventas 2'!F20*retIRPF</f>
        <v>0</v>
      </c>
      <c r="G10" s="988">
        <f>'Prev.Ventas 2'!G20*(1+Parametros!$E27)-'Prev.Ventas 2'!G20*retIRPF</f>
        <v>0</v>
      </c>
      <c r="H10" s="988">
        <f>'Prev.Ventas 2'!H20*(1+Parametros!$E27)-'Prev.Ventas 2'!H20*retIRPF</f>
        <v>0</v>
      </c>
      <c r="I10" s="988">
        <f>'Prev.Ventas 2'!I20*(1+Parametros!$E27)-'Prev.Ventas 2'!I20*retIRPF</f>
        <v>0</v>
      </c>
      <c r="J10" s="988">
        <f>'Prev.Ventas 2'!J20*(1+Parametros!$E27)-'Prev.Ventas 2'!J20*retIRPF</f>
        <v>0</v>
      </c>
      <c r="K10" s="988">
        <f>'Prev.Ventas 2'!K20*(1+Parametros!$E27)-'Prev.Ventas 2'!K20*retIRPF</f>
        <v>0</v>
      </c>
      <c r="L10" s="988">
        <f>'Prev.Ventas 2'!L20*(1+Parametros!$E27)-'Prev.Ventas 2'!L20*retIRPF</f>
        <v>0</v>
      </c>
      <c r="M10" s="988">
        <f>'Prev.Ventas 2'!M20*(1+Parametros!$E27)-'Prev.Ventas 2'!M20*retIRPF</f>
        <v>0</v>
      </c>
      <c r="N10" s="989">
        <f t="shared" si="0"/>
        <v>0</v>
      </c>
    </row>
    <row r="11" spans="1:15" s="845" customFormat="1" ht="16.149999999999999" customHeight="1" x14ac:dyDescent="0.3">
      <c r="A11" s="849" t="str">
        <f>'Politicas Cobros y Pagos'!A44</f>
        <v/>
      </c>
      <c r="B11" s="988">
        <f>'Prev.Ventas 2'!B21*(1+Parametros!$E28)-'Prev.Ventas 2'!B21*retIRPF</f>
        <v>0</v>
      </c>
      <c r="C11" s="988">
        <f>'Prev.Ventas 2'!C21*(1+Parametros!$E28)-'Prev.Ventas 2'!C21*retIRPF</f>
        <v>0</v>
      </c>
      <c r="D11" s="988">
        <f>'Prev.Ventas 2'!D21*(1+Parametros!$E28)-'Prev.Ventas 2'!D21*retIRPF</f>
        <v>0</v>
      </c>
      <c r="E11" s="988">
        <f>'Prev.Ventas 2'!E21*(1+Parametros!$E28)-'Prev.Ventas 2'!E21*retIRPF</f>
        <v>0</v>
      </c>
      <c r="F11" s="988">
        <f>'Prev.Ventas 2'!F21*(1+Parametros!$E28)-'Prev.Ventas 2'!F21*retIRPF</f>
        <v>0</v>
      </c>
      <c r="G11" s="988">
        <f>'Prev.Ventas 2'!G21*(1+Parametros!$E28)-'Prev.Ventas 2'!G21*retIRPF</f>
        <v>0</v>
      </c>
      <c r="H11" s="988">
        <f>'Prev.Ventas 2'!H21*(1+Parametros!$E28)-'Prev.Ventas 2'!H21*retIRPF</f>
        <v>0</v>
      </c>
      <c r="I11" s="988">
        <f>'Prev.Ventas 2'!I21*(1+Parametros!$E28)-'Prev.Ventas 2'!I21*retIRPF</f>
        <v>0</v>
      </c>
      <c r="J11" s="988">
        <f>'Prev.Ventas 2'!J21*(1+Parametros!$E28)-'Prev.Ventas 2'!J21*retIRPF</f>
        <v>0</v>
      </c>
      <c r="K11" s="988">
        <f>'Prev.Ventas 2'!K21*(1+Parametros!$E28)-'Prev.Ventas 2'!K21*retIRPF</f>
        <v>0</v>
      </c>
      <c r="L11" s="988">
        <f>'Prev.Ventas 2'!L21*(1+Parametros!$E28)-'Prev.Ventas 2'!L21*retIRPF</f>
        <v>0</v>
      </c>
      <c r="M11" s="988">
        <f>'Prev.Ventas 2'!M21*(1+Parametros!$E28)-'Prev.Ventas 2'!M21*retIRPF</f>
        <v>0</v>
      </c>
      <c r="N11" s="989">
        <f t="shared" si="0"/>
        <v>0</v>
      </c>
    </row>
    <row r="12" spans="1:15" s="845" customFormat="1" ht="16.149999999999999" customHeight="1" x14ac:dyDescent="0.3">
      <c r="A12" s="849" t="str">
        <f>'Politicas Cobros y Pagos'!A45</f>
        <v/>
      </c>
      <c r="B12" s="988">
        <f>'Prev.Ventas 2'!B22*(1+Parametros!$E29)-'Prev.Ventas 2'!B22*retIRPF</f>
        <v>0</v>
      </c>
      <c r="C12" s="988">
        <f>'Prev.Ventas 2'!C22*(1+Parametros!$E29)-'Prev.Ventas 2'!C22*retIRPF</f>
        <v>0</v>
      </c>
      <c r="D12" s="988">
        <f>'Prev.Ventas 2'!D22*(1+Parametros!$E29)-'Prev.Ventas 2'!D22*retIRPF</f>
        <v>0</v>
      </c>
      <c r="E12" s="988">
        <f>'Prev.Ventas 2'!E22*(1+Parametros!$E29)-'Prev.Ventas 2'!E22*retIRPF</f>
        <v>0</v>
      </c>
      <c r="F12" s="988">
        <f>'Prev.Ventas 2'!F22*(1+Parametros!$E29)-'Prev.Ventas 2'!F22*retIRPF</f>
        <v>0</v>
      </c>
      <c r="G12" s="988">
        <f>'Prev.Ventas 2'!G22*(1+Parametros!$E29)-'Prev.Ventas 2'!G22*retIRPF</f>
        <v>0</v>
      </c>
      <c r="H12" s="988">
        <f>'Prev.Ventas 2'!H22*(1+Parametros!$E29)-'Prev.Ventas 2'!H22*retIRPF</f>
        <v>0</v>
      </c>
      <c r="I12" s="988">
        <f>'Prev.Ventas 2'!I22*(1+Parametros!$E29)-'Prev.Ventas 2'!I22*retIRPF</f>
        <v>0</v>
      </c>
      <c r="J12" s="988">
        <f>'Prev.Ventas 2'!J22*(1+Parametros!$E29)-'Prev.Ventas 2'!J22*retIRPF</f>
        <v>0</v>
      </c>
      <c r="K12" s="988">
        <f>'Prev.Ventas 2'!K22*(1+Parametros!$E29)-'Prev.Ventas 2'!K22*retIRPF</f>
        <v>0</v>
      </c>
      <c r="L12" s="988">
        <f>'Prev.Ventas 2'!L22*(1+Parametros!$E29)-'Prev.Ventas 2'!L22*retIRPF</f>
        <v>0</v>
      </c>
      <c r="M12" s="988">
        <f>'Prev.Ventas 2'!M22*(1+Parametros!$E29)-'Prev.Ventas 2'!M22*retIRPF</f>
        <v>0</v>
      </c>
      <c r="N12" s="989">
        <f t="shared" si="0"/>
        <v>0</v>
      </c>
    </row>
    <row r="13" spans="1:15" s="845" customFormat="1" ht="16.149999999999999" customHeight="1" x14ac:dyDescent="0.3">
      <c r="A13" s="849" t="str">
        <f>'Politicas Cobros y Pagos'!A46</f>
        <v/>
      </c>
      <c r="B13" s="988">
        <f>'Prev.Ventas 2'!B23*(1+Parametros!$E30)-'Prev.Ventas 2'!B23*retIRPF</f>
        <v>0</v>
      </c>
      <c r="C13" s="988">
        <f>'Prev.Ventas 2'!C23*(1+Parametros!$E30)-'Prev.Ventas 2'!C23*retIRPF</f>
        <v>0</v>
      </c>
      <c r="D13" s="988">
        <f>'Prev.Ventas 2'!D23*(1+Parametros!$E30)-'Prev.Ventas 2'!D23*retIRPF</f>
        <v>0</v>
      </c>
      <c r="E13" s="988">
        <f>'Prev.Ventas 2'!E23*(1+Parametros!$E30)-'Prev.Ventas 2'!E23*retIRPF</f>
        <v>0</v>
      </c>
      <c r="F13" s="988">
        <f>'Prev.Ventas 2'!F23*(1+Parametros!$E30)-'Prev.Ventas 2'!F23*retIRPF</f>
        <v>0</v>
      </c>
      <c r="G13" s="988">
        <f>'Prev.Ventas 2'!G23*(1+Parametros!$E30)-'Prev.Ventas 2'!G23*retIRPF</f>
        <v>0</v>
      </c>
      <c r="H13" s="988">
        <f>'Prev.Ventas 2'!H23*(1+Parametros!$E30)-'Prev.Ventas 2'!H23*retIRPF</f>
        <v>0</v>
      </c>
      <c r="I13" s="988">
        <f>'Prev.Ventas 2'!I23*(1+Parametros!$E30)-'Prev.Ventas 2'!I23*retIRPF</f>
        <v>0</v>
      </c>
      <c r="J13" s="988">
        <f>'Prev.Ventas 2'!J23*(1+Parametros!$E30)-'Prev.Ventas 2'!J23*retIRPF</f>
        <v>0</v>
      </c>
      <c r="K13" s="988">
        <f>'Prev.Ventas 2'!K23*(1+Parametros!$E30)-'Prev.Ventas 2'!K23*retIRPF</f>
        <v>0</v>
      </c>
      <c r="L13" s="988">
        <f>'Prev.Ventas 2'!L23*(1+Parametros!$E30)-'Prev.Ventas 2'!L23*retIRPF</f>
        <v>0</v>
      </c>
      <c r="M13" s="988">
        <f>'Prev.Ventas 2'!M23*(1+Parametros!$E30)-'Prev.Ventas 2'!M23*retIRPF</f>
        <v>0</v>
      </c>
      <c r="N13" s="989">
        <f t="shared" si="0"/>
        <v>0</v>
      </c>
    </row>
    <row r="14" spans="1:15" s="845" customFormat="1" ht="16.149999999999999" customHeight="1" thickBot="1" x14ac:dyDescent="0.35">
      <c r="A14" s="850" t="str">
        <f>'Politicas Cobros y Pagos'!A47</f>
        <v/>
      </c>
      <c r="B14" s="990">
        <f>'Prev.Ventas 2'!B24*(1+Parametros!$E31)-'Prev.Ventas 2'!B24*retIRPF</f>
        <v>0</v>
      </c>
      <c r="C14" s="990">
        <f>'Prev.Ventas 2'!C24*(1+Parametros!$E31)-'Prev.Ventas 2'!C24*retIRPF</f>
        <v>0</v>
      </c>
      <c r="D14" s="990">
        <f>'Prev.Ventas 2'!D24*(1+Parametros!$E31)-'Prev.Ventas 2'!D24*retIRPF</f>
        <v>0</v>
      </c>
      <c r="E14" s="990">
        <f>'Prev.Ventas 2'!E24*(1+Parametros!$E31)-'Prev.Ventas 2'!E24*retIRPF</f>
        <v>0</v>
      </c>
      <c r="F14" s="990">
        <f>'Prev.Ventas 2'!F24*(1+Parametros!$E31)-'Prev.Ventas 2'!F24*retIRPF</f>
        <v>0</v>
      </c>
      <c r="G14" s="990">
        <f>'Prev.Ventas 2'!G24*(1+Parametros!$E31)-'Prev.Ventas 2'!G24*retIRPF</f>
        <v>0</v>
      </c>
      <c r="H14" s="990">
        <f>'Prev.Ventas 2'!H24*(1+Parametros!$E31)-'Prev.Ventas 2'!H24*retIRPF</f>
        <v>0</v>
      </c>
      <c r="I14" s="990">
        <f>'Prev.Ventas 2'!I24*(1+Parametros!$E31)-'Prev.Ventas 2'!I24*retIRPF</f>
        <v>0</v>
      </c>
      <c r="J14" s="990">
        <f>'Prev.Ventas 2'!J24*(1+Parametros!$E31)-'Prev.Ventas 2'!J24*retIRPF</f>
        <v>0</v>
      </c>
      <c r="K14" s="990">
        <f>'Prev.Ventas 2'!K24*(1+Parametros!$E31)-'Prev.Ventas 2'!K24*retIRPF</f>
        <v>0</v>
      </c>
      <c r="L14" s="990">
        <f>'Prev.Ventas 2'!L24*(1+Parametros!$E31)-'Prev.Ventas 2'!L24*retIRPF</f>
        <v>0</v>
      </c>
      <c r="M14" s="990">
        <f>'Prev.Ventas 2'!M24*(1+Parametros!$E31)-'Prev.Ventas 2'!M24*retIRPF</f>
        <v>0</v>
      </c>
      <c r="N14" s="989">
        <f t="shared" si="0"/>
        <v>0</v>
      </c>
    </row>
    <row r="15" spans="1:15" s="845" customFormat="1" ht="16.149999999999999" customHeight="1" thickBot="1" x14ac:dyDescent="0.35">
      <c r="A15" s="410" t="s">
        <v>860</v>
      </c>
      <c r="B15" s="851">
        <f t="shared" ref="B15:N15" si="1">SUM(B7:B14)</f>
        <v>0</v>
      </c>
      <c r="C15" s="851">
        <f t="shared" si="1"/>
        <v>0</v>
      </c>
      <c r="D15" s="851">
        <f t="shared" si="1"/>
        <v>0</v>
      </c>
      <c r="E15" s="851">
        <f t="shared" si="1"/>
        <v>0</v>
      </c>
      <c r="F15" s="851">
        <f t="shared" si="1"/>
        <v>0</v>
      </c>
      <c r="G15" s="851">
        <f t="shared" si="1"/>
        <v>0</v>
      </c>
      <c r="H15" s="851">
        <f t="shared" si="1"/>
        <v>0</v>
      </c>
      <c r="I15" s="851">
        <f t="shared" si="1"/>
        <v>0</v>
      </c>
      <c r="J15" s="851">
        <f t="shared" si="1"/>
        <v>0</v>
      </c>
      <c r="K15" s="851">
        <f t="shared" si="1"/>
        <v>0</v>
      </c>
      <c r="L15" s="851">
        <f t="shared" si="1"/>
        <v>0</v>
      </c>
      <c r="M15" s="851">
        <f t="shared" si="1"/>
        <v>0</v>
      </c>
      <c r="N15" s="851">
        <f t="shared" si="1"/>
        <v>0</v>
      </c>
    </row>
    <row r="16" spans="1:15" s="845" customFormat="1" ht="16.149999999999999" customHeight="1" x14ac:dyDescent="0.3">
      <c r="A16" s="442"/>
    </row>
    <row r="17" spans="1:19" s="845" customFormat="1" ht="27.75" x14ac:dyDescent="0.45">
      <c r="A17" s="408" t="s">
        <v>988</v>
      </c>
      <c r="B17" s="847"/>
      <c r="E17" s="409"/>
      <c r="F17" s="409"/>
    </row>
    <row r="18" spans="1:19" ht="16.5" thickBot="1" x14ac:dyDescent="0.3">
      <c r="A18" s="446"/>
      <c r="B18" s="446"/>
      <c r="O18" s="446"/>
      <c r="P18" s="852" t="s">
        <v>160</v>
      </c>
      <c r="Q18" s="853" t="str">
        <f>TEXT('Datos Básicos'!$D$17+1,"#.##0")</f>
        <v>2.029</v>
      </c>
    </row>
    <row r="19" spans="1:19" s="847" customFormat="1" ht="28.5" customHeight="1" thickBot="1" x14ac:dyDescent="0.25">
      <c r="A19" s="454" t="s">
        <v>937</v>
      </c>
      <c r="B19" s="854" t="str">
        <f t="shared" ref="B19:M19" si="2">CONCATENATE(B6," ","
",
$G$1)</f>
        <v>enero 
2028</v>
      </c>
      <c r="C19" s="854" t="str">
        <f t="shared" si="2"/>
        <v>febrero 
2028</v>
      </c>
      <c r="D19" s="854" t="str">
        <f t="shared" si="2"/>
        <v>marzo 
2028</v>
      </c>
      <c r="E19" s="854" t="str">
        <f t="shared" si="2"/>
        <v>abril 
2028</v>
      </c>
      <c r="F19" s="854" t="str">
        <f t="shared" si="2"/>
        <v>mayo 
2028</v>
      </c>
      <c r="G19" s="854" t="str">
        <f t="shared" si="2"/>
        <v>junio 
2028</v>
      </c>
      <c r="H19" s="854" t="str">
        <f t="shared" si="2"/>
        <v>julio 
2028</v>
      </c>
      <c r="I19" s="854" t="str">
        <f t="shared" si="2"/>
        <v>agosto 
2028</v>
      </c>
      <c r="J19" s="854" t="str">
        <f t="shared" si="2"/>
        <v>septiembre 
2028</v>
      </c>
      <c r="K19" s="854" t="str">
        <f t="shared" si="2"/>
        <v>octubre 
2028</v>
      </c>
      <c r="L19" s="854" t="str">
        <f t="shared" si="2"/>
        <v>noviembre 
2028</v>
      </c>
      <c r="M19" s="854" t="str">
        <f t="shared" si="2"/>
        <v>diciembre 
2028</v>
      </c>
      <c r="N19" s="854" t="str">
        <f t="shared" ref="N19:S19" si="3">CONCATENATE(B6," ","
",
$Q$18)</f>
        <v>enero 
2.029</v>
      </c>
      <c r="O19" s="854" t="str">
        <f t="shared" si="3"/>
        <v>febrero 
2.029</v>
      </c>
      <c r="P19" s="854" t="str">
        <f t="shared" si="3"/>
        <v>marzo 
2.029</v>
      </c>
      <c r="Q19" s="854" t="str">
        <f t="shared" si="3"/>
        <v>abril 
2.029</v>
      </c>
      <c r="R19" s="854" t="str">
        <f t="shared" si="3"/>
        <v>mayo 
2.029</v>
      </c>
      <c r="S19" s="854" t="str">
        <f t="shared" si="3"/>
        <v>junio 
2.029</v>
      </c>
    </row>
    <row r="20" spans="1:19" s="843" customFormat="1" ht="16.149999999999999" customHeight="1" x14ac:dyDescent="0.25">
      <c r="A20" s="855" t="s">
        <v>938</v>
      </c>
      <c r="B20" s="988">
        <f>SUMPRODUCT('Politicas Cobros y Pagos'!$B$40:$B$47,B7:B14)</f>
        <v>0</v>
      </c>
      <c r="C20" s="988">
        <f>SUMPRODUCT('Politicas Cobros y Pagos'!$B$40:$B$47,C7:C14)</f>
        <v>0</v>
      </c>
      <c r="D20" s="988">
        <f>SUMPRODUCT('Politicas Cobros y Pagos'!$B$40:$B$47,D7:D14)</f>
        <v>0</v>
      </c>
      <c r="E20" s="988">
        <f>SUMPRODUCT('Politicas Cobros y Pagos'!$B$40:$B$47,E7:E14)</f>
        <v>0</v>
      </c>
      <c r="F20" s="988">
        <f>SUMPRODUCT('Politicas Cobros y Pagos'!$B$40:$B$47,F7:F14)</f>
        <v>0</v>
      </c>
      <c r="G20" s="988">
        <f>SUMPRODUCT('Politicas Cobros y Pagos'!$B$40:$B$47,G7:G14)</f>
        <v>0</v>
      </c>
      <c r="H20" s="988">
        <f>SUMPRODUCT('Politicas Cobros y Pagos'!$B$40:$B$47,H7:H14)</f>
        <v>0</v>
      </c>
      <c r="I20" s="988">
        <f>SUMPRODUCT('Politicas Cobros y Pagos'!$B$40:$B$47,I7:I14)</f>
        <v>0</v>
      </c>
      <c r="J20" s="988">
        <f>SUMPRODUCT('Politicas Cobros y Pagos'!$B$40:$B$47,J7:J14)</f>
        <v>0</v>
      </c>
      <c r="K20" s="988">
        <f>SUMPRODUCT('Politicas Cobros y Pagos'!$B$40:$B$47,K7:K14)</f>
        <v>0</v>
      </c>
      <c r="L20" s="988">
        <f>SUMPRODUCT('Politicas Cobros y Pagos'!$B$40:$B$47,L7:L14)</f>
        <v>0</v>
      </c>
      <c r="M20" s="988">
        <f>SUMPRODUCT('Politicas Cobros y Pagos'!$B$40:$B$47,M7:M14)</f>
        <v>0</v>
      </c>
      <c r="N20" s="988"/>
      <c r="O20" s="988"/>
      <c r="P20" s="988"/>
      <c r="Q20" s="988"/>
      <c r="R20" s="988"/>
      <c r="S20" s="988"/>
    </row>
    <row r="21" spans="1:19" s="845" customFormat="1" ht="16.149999999999999" customHeight="1" x14ac:dyDescent="0.25">
      <c r="A21" s="856">
        <v>30</v>
      </c>
      <c r="B21" s="991">
        <f>'Cobros y pagos 1'!N21</f>
        <v>0</v>
      </c>
      <c r="C21" s="988">
        <f>SUMPRODUCT('Politicas Cobros y Pagos'!$C$40:$C$47,B$7:B$14)</f>
        <v>0</v>
      </c>
      <c r="D21" s="988">
        <f>SUMPRODUCT('Politicas Cobros y Pagos'!$C$40:$C$47,C$7:C$14)</f>
        <v>0</v>
      </c>
      <c r="E21" s="988">
        <f>SUMPRODUCT('Politicas Cobros y Pagos'!$C$40:$C$47,D$7:D$14)</f>
        <v>0</v>
      </c>
      <c r="F21" s="988">
        <f>SUMPRODUCT('Politicas Cobros y Pagos'!$C$40:$C$47,E$7:E$14)</f>
        <v>0</v>
      </c>
      <c r="G21" s="988">
        <f>SUMPRODUCT('Politicas Cobros y Pagos'!$C$40:$C$47,F$7:F$14)</f>
        <v>0</v>
      </c>
      <c r="H21" s="988">
        <f>SUMPRODUCT('Politicas Cobros y Pagos'!$C$40:$C$47,G$7:G$14)</f>
        <v>0</v>
      </c>
      <c r="I21" s="988">
        <f>SUMPRODUCT('Politicas Cobros y Pagos'!$C$40:$C$47,H$7:H$14)</f>
        <v>0</v>
      </c>
      <c r="J21" s="988">
        <f>SUMPRODUCT('Politicas Cobros y Pagos'!$C$40:$C$47,I$7:I$14)</f>
        <v>0</v>
      </c>
      <c r="K21" s="988">
        <f>SUMPRODUCT('Politicas Cobros y Pagos'!$C$40:$C$47,J$7:J$14)</f>
        <v>0</v>
      </c>
      <c r="L21" s="988">
        <f>SUMPRODUCT('Politicas Cobros y Pagos'!$C$40:$C$47,K$7:K$14)</f>
        <v>0</v>
      </c>
      <c r="M21" s="988">
        <f>SUMPRODUCT('Politicas Cobros y Pagos'!$C$40:$C$47,L$7:L$14)</f>
        <v>0</v>
      </c>
      <c r="N21" s="988">
        <f>SUMPRODUCT('Politicas Cobros y Pagos'!$C$40:$C$47,M$7:M$14)</f>
        <v>0</v>
      </c>
      <c r="O21" s="988"/>
      <c r="P21" s="988"/>
      <c r="Q21" s="988"/>
      <c r="R21" s="988"/>
      <c r="S21" s="988"/>
    </row>
    <row r="22" spans="1:19" s="843" customFormat="1" ht="16.149999999999999" customHeight="1" x14ac:dyDescent="0.25">
      <c r="A22" s="856">
        <v>60</v>
      </c>
      <c r="B22" s="991">
        <f>'Cobros y pagos 1'!N22</f>
        <v>0</v>
      </c>
      <c r="C22" s="991">
        <f>'Cobros y pagos 1'!O22</f>
        <v>0</v>
      </c>
      <c r="D22" s="988">
        <f>SUMPRODUCT('Politicas Cobros y Pagos'!$D$40:$D$47,B$7:B$14)</f>
        <v>0</v>
      </c>
      <c r="E22" s="988">
        <f>SUMPRODUCT('Politicas Cobros y Pagos'!$D$40:$D$47,C$7:C$14)</f>
        <v>0</v>
      </c>
      <c r="F22" s="988">
        <f>SUMPRODUCT('Politicas Cobros y Pagos'!$D$40:$D$47,D$7:D$14)</f>
        <v>0</v>
      </c>
      <c r="G22" s="988">
        <f>SUMPRODUCT('Politicas Cobros y Pagos'!$D$40:$D$47,E$7:E$14)</f>
        <v>0</v>
      </c>
      <c r="H22" s="988">
        <f>SUMPRODUCT('Politicas Cobros y Pagos'!$D$40:$D$47,F$7:F$14)</f>
        <v>0</v>
      </c>
      <c r="I22" s="988">
        <f>SUMPRODUCT('Politicas Cobros y Pagos'!$D$40:$D$47,G$7:G$14)</f>
        <v>0</v>
      </c>
      <c r="J22" s="988">
        <f>SUMPRODUCT('Politicas Cobros y Pagos'!$D$40:$D$47,H$7:H$14)</f>
        <v>0</v>
      </c>
      <c r="K22" s="988">
        <f>SUMPRODUCT('Politicas Cobros y Pagos'!$D$40:$D$47,I$7:I$14)</f>
        <v>0</v>
      </c>
      <c r="L22" s="988">
        <f>SUMPRODUCT('Politicas Cobros y Pagos'!$D$40:$D$47,J$7:J$14)</f>
        <v>0</v>
      </c>
      <c r="M22" s="988">
        <f>SUMPRODUCT('Politicas Cobros y Pagos'!$D$40:$D$47,K$7:K$14)</f>
        <v>0</v>
      </c>
      <c r="N22" s="988">
        <f>SUMPRODUCT('Politicas Cobros y Pagos'!$D$40:$D$47,L$7:L$14)</f>
        <v>0</v>
      </c>
      <c r="O22" s="988">
        <f>SUMPRODUCT('Politicas Cobros y Pagos'!$D$40:$D$47,M$7:M$14)</f>
        <v>0</v>
      </c>
      <c r="P22" s="988"/>
      <c r="Q22" s="988"/>
      <c r="R22" s="988"/>
      <c r="S22" s="988"/>
    </row>
    <row r="23" spans="1:19" s="843" customFormat="1" ht="16.149999999999999" customHeight="1" x14ac:dyDescent="0.25">
      <c r="A23" s="856">
        <v>90</v>
      </c>
      <c r="B23" s="991">
        <f>'Cobros y pagos 1'!N23</f>
        <v>0</v>
      </c>
      <c r="C23" s="991">
        <f>'Cobros y pagos 1'!O23</f>
        <v>0</v>
      </c>
      <c r="D23" s="991">
        <f>'Cobros y pagos 1'!P23</f>
        <v>0</v>
      </c>
      <c r="E23" s="988">
        <f>SUMPRODUCT('Politicas Cobros y Pagos'!$E$40:$E$47,B$7:B$14)</f>
        <v>0</v>
      </c>
      <c r="F23" s="988">
        <f>SUMPRODUCT('Politicas Cobros y Pagos'!$E$40:$E$47,C$7:C$14)</f>
        <v>0</v>
      </c>
      <c r="G23" s="988">
        <f>SUMPRODUCT('Politicas Cobros y Pagos'!$E$40:$E$47,D$7:D$14)</f>
        <v>0</v>
      </c>
      <c r="H23" s="988">
        <f>SUMPRODUCT('Politicas Cobros y Pagos'!$E$40:$E$47,E$7:E$14)</f>
        <v>0</v>
      </c>
      <c r="I23" s="988">
        <f>SUMPRODUCT('Politicas Cobros y Pagos'!$E$40:$E$47,F$7:F$14)</f>
        <v>0</v>
      </c>
      <c r="J23" s="988">
        <f>SUMPRODUCT('Politicas Cobros y Pagos'!$E$40:$E$47,G$7:G$14)</f>
        <v>0</v>
      </c>
      <c r="K23" s="988">
        <f>SUMPRODUCT('Politicas Cobros y Pagos'!$E$40:$E$47,H$7:H$14)</f>
        <v>0</v>
      </c>
      <c r="L23" s="988">
        <f>SUMPRODUCT('Politicas Cobros y Pagos'!$E$40:$E$47,I$7:I$14)</f>
        <v>0</v>
      </c>
      <c r="M23" s="988">
        <f>SUMPRODUCT('Politicas Cobros y Pagos'!$E$40:$E$47,J$7:J$14)</f>
        <v>0</v>
      </c>
      <c r="N23" s="988">
        <f>SUMPRODUCT('Politicas Cobros y Pagos'!$E$40:$E$47,K$7:K$14)</f>
        <v>0</v>
      </c>
      <c r="O23" s="988">
        <f>SUMPRODUCT('Politicas Cobros y Pagos'!$E$40:$E$47,L$7:L$14)</f>
        <v>0</v>
      </c>
      <c r="P23" s="988">
        <f>SUMPRODUCT('Politicas Cobros y Pagos'!$E$40:$E$47,M$7:M$14)</f>
        <v>0</v>
      </c>
      <c r="Q23" s="988"/>
      <c r="R23" s="988"/>
      <c r="S23" s="988"/>
    </row>
    <row r="24" spans="1:19" s="843" customFormat="1" ht="16.149999999999999" customHeight="1" x14ac:dyDescent="0.25">
      <c r="A24" s="856">
        <v>120</v>
      </c>
      <c r="B24" s="991">
        <f>'Cobros y pagos 1'!N24</f>
        <v>0</v>
      </c>
      <c r="C24" s="991">
        <f>'Cobros y pagos 1'!O24</f>
        <v>0</v>
      </c>
      <c r="D24" s="991">
        <f>'Cobros y pagos 1'!P24</f>
        <v>0</v>
      </c>
      <c r="E24" s="991">
        <f>'Cobros y pagos 1'!Q24</f>
        <v>0</v>
      </c>
      <c r="F24" s="988">
        <f>SUMPRODUCT('Politicas Cobros y Pagos'!$F$40:$F$47,B$7:B$14)</f>
        <v>0</v>
      </c>
      <c r="G24" s="988">
        <f>SUMPRODUCT('Politicas Cobros y Pagos'!$F$40:$F$47,C$7:C$14)</f>
        <v>0</v>
      </c>
      <c r="H24" s="988">
        <f>SUMPRODUCT('Politicas Cobros y Pagos'!$F$40:$F$47,D$7:D$14)</f>
        <v>0</v>
      </c>
      <c r="I24" s="988">
        <f>SUMPRODUCT('Politicas Cobros y Pagos'!$F$40:$F$47,E$7:E$14)</f>
        <v>0</v>
      </c>
      <c r="J24" s="988">
        <f>SUMPRODUCT('Politicas Cobros y Pagos'!$F$40:$F$47,F$7:F$14)</f>
        <v>0</v>
      </c>
      <c r="K24" s="988">
        <f>SUMPRODUCT('Politicas Cobros y Pagos'!$F$40:$F$47,G$7:G$14)</f>
        <v>0</v>
      </c>
      <c r="L24" s="988">
        <f>SUMPRODUCT('Politicas Cobros y Pagos'!$F$40:$F$47,H$7:H$14)</f>
        <v>0</v>
      </c>
      <c r="M24" s="988">
        <f>SUMPRODUCT('Politicas Cobros y Pagos'!$F$40:$F$47,I$7:I$14)</f>
        <v>0</v>
      </c>
      <c r="N24" s="988">
        <f>SUMPRODUCT('Politicas Cobros y Pagos'!$F$40:$F$47,J$7:J$14)</f>
        <v>0</v>
      </c>
      <c r="O24" s="988">
        <f>SUMPRODUCT('Politicas Cobros y Pagos'!$F$40:$F$47,K$7:K$14)</f>
        <v>0</v>
      </c>
      <c r="P24" s="988">
        <f>SUMPRODUCT('Politicas Cobros y Pagos'!$F$40:$F$47,L$7:L$14)</f>
        <v>0</v>
      </c>
      <c r="Q24" s="988">
        <f>SUMPRODUCT('Politicas Cobros y Pagos'!$F$40:$F$47,M$7:M$14)</f>
        <v>0</v>
      </c>
      <c r="R24" s="988"/>
      <c r="S24" s="988"/>
    </row>
    <row r="25" spans="1:19" s="843" customFormat="1" ht="16.149999999999999" customHeight="1" x14ac:dyDescent="0.25">
      <c r="A25" s="856">
        <v>150</v>
      </c>
      <c r="B25" s="991">
        <f>'Cobros y pagos 1'!N25</f>
        <v>0</v>
      </c>
      <c r="C25" s="991">
        <f>'Cobros y pagos 1'!O25</f>
        <v>0</v>
      </c>
      <c r="D25" s="991">
        <f>'Cobros y pagos 1'!P25</f>
        <v>0</v>
      </c>
      <c r="E25" s="991">
        <f>'Cobros y pagos 1'!Q25</f>
        <v>0</v>
      </c>
      <c r="F25" s="991">
        <f>'Cobros y pagos 1'!R25</f>
        <v>0</v>
      </c>
      <c r="G25" s="988">
        <f>SUMPRODUCT('Politicas Cobros y Pagos'!$G$40:$G$47,B$7:B$14)</f>
        <v>0</v>
      </c>
      <c r="H25" s="988">
        <f>SUMPRODUCT('Politicas Cobros y Pagos'!$G$40:$G$47,C$7:C$14)</f>
        <v>0</v>
      </c>
      <c r="I25" s="988">
        <f>SUMPRODUCT('Politicas Cobros y Pagos'!$G$40:$G$47,D$7:D$14)</f>
        <v>0</v>
      </c>
      <c r="J25" s="988">
        <f>SUMPRODUCT('Politicas Cobros y Pagos'!$G$40:$G$47,E$7:E$14)</f>
        <v>0</v>
      </c>
      <c r="K25" s="988">
        <f>SUMPRODUCT('Politicas Cobros y Pagos'!$G$40:$G$47,F$7:F$14)</f>
        <v>0</v>
      </c>
      <c r="L25" s="988">
        <f>SUMPRODUCT('Politicas Cobros y Pagos'!$G$40:$G$47,G$7:G$14)</f>
        <v>0</v>
      </c>
      <c r="M25" s="988">
        <f>SUMPRODUCT('Politicas Cobros y Pagos'!$G$40:$G$47,H$7:H$14)</f>
        <v>0</v>
      </c>
      <c r="N25" s="988">
        <f>SUMPRODUCT('Politicas Cobros y Pagos'!$G$40:$G$47,I$7:I$14)</f>
        <v>0</v>
      </c>
      <c r="O25" s="988">
        <f>SUMPRODUCT('Politicas Cobros y Pagos'!$G$40:$G$47,J$7:J$14)</f>
        <v>0</v>
      </c>
      <c r="P25" s="988">
        <f>SUMPRODUCT('Politicas Cobros y Pagos'!$G$40:$G$47,K$7:K$14)</f>
        <v>0</v>
      </c>
      <c r="Q25" s="988">
        <f>SUMPRODUCT('Politicas Cobros y Pagos'!$G$40:$G$47,L$7:L$14)</f>
        <v>0</v>
      </c>
      <c r="R25" s="988">
        <f>SUMPRODUCT('Politicas Cobros y Pagos'!$G$40:$G$47,M$7:M$14)</f>
        <v>0</v>
      </c>
      <c r="S25" s="988"/>
    </row>
    <row r="26" spans="1:19" s="843" customFormat="1" ht="16.149999999999999" customHeight="1" x14ac:dyDescent="0.25">
      <c r="A26" s="856">
        <v>180</v>
      </c>
      <c r="B26" s="991">
        <f>'Cobros y pagos 1'!N26</f>
        <v>0</v>
      </c>
      <c r="C26" s="991">
        <f>'Cobros y pagos 1'!O26</f>
        <v>0</v>
      </c>
      <c r="D26" s="991">
        <f>'Cobros y pagos 1'!P26</f>
        <v>0</v>
      </c>
      <c r="E26" s="991">
        <f>'Cobros y pagos 1'!Q26</f>
        <v>0</v>
      </c>
      <c r="F26" s="991">
        <f>'Cobros y pagos 1'!R26</f>
        <v>0</v>
      </c>
      <c r="G26" s="991">
        <f>'Cobros y pagos 1'!S26</f>
        <v>0</v>
      </c>
      <c r="H26" s="988">
        <f>SUMPRODUCT('Politicas Cobros y Pagos'!$H$40:$H$47,B$7:B$14)</f>
        <v>0</v>
      </c>
      <c r="I26" s="988">
        <f>SUMPRODUCT('Politicas Cobros y Pagos'!$H$40:$H$47,C$7:C$14)</f>
        <v>0</v>
      </c>
      <c r="J26" s="988">
        <f>SUMPRODUCT('Politicas Cobros y Pagos'!$H$40:$H$47,D$7:D$14)</f>
        <v>0</v>
      </c>
      <c r="K26" s="988">
        <f>SUMPRODUCT('Politicas Cobros y Pagos'!$H$40:$H$47,E$7:E$14)</f>
        <v>0</v>
      </c>
      <c r="L26" s="988">
        <f>SUMPRODUCT('Politicas Cobros y Pagos'!$H$40:$H$47,F$7:F$14)</f>
        <v>0</v>
      </c>
      <c r="M26" s="988">
        <f>SUMPRODUCT('Politicas Cobros y Pagos'!$H$40:$H$47,G$7:G$14)</f>
        <v>0</v>
      </c>
      <c r="N26" s="988">
        <f>SUMPRODUCT('Politicas Cobros y Pagos'!$H$40:$H$47,H$7:H$14)</f>
        <v>0</v>
      </c>
      <c r="O26" s="988">
        <f>SUMPRODUCT('Politicas Cobros y Pagos'!$H$40:$H$47,I$7:I$14)</f>
        <v>0</v>
      </c>
      <c r="P26" s="988">
        <f>SUMPRODUCT('Politicas Cobros y Pagos'!$H$40:$H$47,J$7:J$14)</f>
        <v>0</v>
      </c>
      <c r="Q26" s="988">
        <f>SUMPRODUCT('Politicas Cobros y Pagos'!$H$40:$H$47,K$7:K$14)</f>
        <v>0</v>
      </c>
      <c r="R26" s="988">
        <f>SUMPRODUCT('Politicas Cobros y Pagos'!$H$40:$H$47,L$7:L$14)</f>
        <v>0</v>
      </c>
      <c r="S26" s="988">
        <f>SUMPRODUCT('Politicas Cobros y Pagos'!$H$40:$H$47,M$7:M$14)</f>
        <v>0</v>
      </c>
    </row>
    <row r="27" spans="1:19" s="845" customFormat="1" ht="16.149999999999999" customHeight="1" thickBot="1" x14ac:dyDescent="0.25">
      <c r="A27" s="857" t="s">
        <v>860</v>
      </c>
      <c r="B27" s="858">
        <f t="shared" ref="B27:S27" si="4">SUM(B20:B26)</f>
        <v>0</v>
      </c>
      <c r="C27" s="858">
        <f t="shared" si="4"/>
        <v>0</v>
      </c>
      <c r="D27" s="858">
        <f t="shared" si="4"/>
        <v>0</v>
      </c>
      <c r="E27" s="858">
        <f t="shared" si="4"/>
        <v>0</v>
      </c>
      <c r="F27" s="858">
        <f t="shared" si="4"/>
        <v>0</v>
      </c>
      <c r="G27" s="858">
        <f t="shared" si="4"/>
        <v>0</v>
      </c>
      <c r="H27" s="858">
        <f t="shared" si="4"/>
        <v>0</v>
      </c>
      <c r="I27" s="858">
        <f t="shared" si="4"/>
        <v>0</v>
      </c>
      <c r="J27" s="858">
        <f t="shared" si="4"/>
        <v>0</v>
      </c>
      <c r="K27" s="858">
        <f t="shared" si="4"/>
        <v>0</v>
      </c>
      <c r="L27" s="858">
        <f t="shared" si="4"/>
        <v>0</v>
      </c>
      <c r="M27" s="858">
        <f t="shared" si="4"/>
        <v>0</v>
      </c>
      <c r="N27" s="858">
        <f t="shared" si="4"/>
        <v>0</v>
      </c>
      <c r="O27" s="858">
        <f t="shared" si="4"/>
        <v>0</v>
      </c>
      <c r="P27" s="858">
        <f t="shared" si="4"/>
        <v>0</v>
      </c>
      <c r="Q27" s="858">
        <f t="shared" si="4"/>
        <v>0</v>
      </c>
      <c r="R27" s="858">
        <f t="shared" si="4"/>
        <v>0</v>
      </c>
      <c r="S27" s="858">
        <f t="shared" si="4"/>
        <v>0</v>
      </c>
    </row>
    <row r="28" spans="1:19" s="845" customFormat="1" ht="13.5" customHeight="1" thickBot="1" x14ac:dyDescent="0.25">
      <c r="B28" s="859"/>
    </row>
    <row r="29" spans="1:19" s="843" customFormat="1" ht="16.149999999999999" customHeight="1" thickBot="1" x14ac:dyDescent="0.3">
      <c r="A29" s="305"/>
      <c r="B29" s="859"/>
      <c r="O29" s="860"/>
      <c r="P29" s="861"/>
      <c r="Q29" s="861"/>
      <c r="R29" s="862" t="str">
        <f>CONCATENATE("Cobros de ventas pendintes para el año ",Q18," (sin IVA)")</f>
        <v>Cobros de ventas pendintes para el año 2.029 (sin IVA)</v>
      </c>
      <c r="S29" s="863">
        <f>SUM(N27:S27)</f>
        <v>0</v>
      </c>
    </row>
    <row r="30" spans="1:19" ht="27.75" x14ac:dyDescent="0.45">
      <c r="A30" s="408" t="s">
        <v>261</v>
      </c>
      <c r="G30" s="409"/>
      <c r="H30" s="409"/>
      <c r="P30" s="845"/>
    </row>
    <row r="31" spans="1:19" ht="7.5" customHeight="1" thickBot="1" x14ac:dyDescent="0.3">
      <c r="P31" s="845"/>
    </row>
    <row r="32" spans="1:19" ht="18" thickBot="1" x14ac:dyDescent="0.3">
      <c r="A32" s="454" t="s">
        <v>939</v>
      </c>
      <c r="B32" s="846" t="str">
        <f t="shared" ref="B32:M32" si="5">B$6</f>
        <v>enero</v>
      </c>
      <c r="C32" s="846" t="str">
        <f t="shared" si="5"/>
        <v>febrero</v>
      </c>
      <c r="D32" s="846" t="str">
        <f t="shared" si="5"/>
        <v>marzo</v>
      </c>
      <c r="E32" s="846" t="str">
        <f t="shared" si="5"/>
        <v>abril</v>
      </c>
      <c r="F32" s="846" t="str">
        <f t="shared" si="5"/>
        <v>mayo</v>
      </c>
      <c r="G32" s="846" t="str">
        <f t="shared" si="5"/>
        <v>junio</v>
      </c>
      <c r="H32" s="846" t="str">
        <f t="shared" si="5"/>
        <v>julio</v>
      </c>
      <c r="I32" s="846" t="str">
        <f t="shared" si="5"/>
        <v>agosto</v>
      </c>
      <c r="J32" s="846" t="str">
        <f t="shared" si="5"/>
        <v>septiembre</v>
      </c>
      <c r="K32" s="846" t="str">
        <f t="shared" si="5"/>
        <v>octubre</v>
      </c>
      <c r="L32" s="846" t="str">
        <f t="shared" si="5"/>
        <v>noviembre</v>
      </c>
      <c r="M32" s="846" t="str">
        <f t="shared" si="5"/>
        <v>diciembre</v>
      </c>
      <c r="N32" s="840" t="s">
        <v>860</v>
      </c>
      <c r="O32" s="845"/>
    </row>
    <row r="33" spans="1:19" ht="17.25" x14ac:dyDescent="0.3">
      <c r="A33" s="848" t="str">
        <f t="shared" ref="A33:A40" si="6">A7</f>
        <v/>
      </c>
      <c r="B33" s="988">
        <f>'Prev.Ventas 2'!B31*(1+Parametros!$F24)</f>
        <v>0</v>
      </c>
      <c r="C33" s="988">
        <f>'Prev.Ventas 2'!C31*(1+Parametros!$F24)</f>
        <v>0</v>
      </c>
      <c r="D33" s="988">
        <f>'Prev.Ventas 2'!D31*(1+Parametros!$F24)</f>
        <v>0</v>
      </c>
      <c r="E33" s="988">
        <f>'Prev.Ventas 2'!E31*(1+Parametros!$F24)</f>
        <v>0</v>
      </c>
      <c r="F33" s="988">
        <f>'Prev.Ventas 2'!F31*(1+Parametros!$F24)</f>
        <v>0</v>
      </c>
      <c r="G33" s="988">
        <f>'Prev.Ventas 2'!G31*(1+Parametros!$F24)</f>
        <v>0</v>
      </c>
      <c r="H33" s="988">
        <f>'Prev.Ventas 2'!H31*(1+Parametros!$F24)</f>
        <v>0</v>
      </c>
      <c r="I33" s="988">
        <f>'Prev.Ventas 2'!I31*(1+Parametros!$F24)</f>
        <v>0</v>
      </c>
      <c r="J33" s="988">
        <f>'Prev.Ventas 2'!J31*(1+Parametros!$F24)</f>
        <v>0</v>
      </c>
      <c r="K33" s="988">
        <f>'Prev.Ventas 2'!K31*(1+Parametros!$F24)</f>
        <v>0</v>
      </c>
      <c r="L33" s="988">
        <f>'Prev.Ventas 2'!L31*(1+Parametros!$F24)</f>
        <v>0</v>
      </c>
      <c r="M33" s="988">
        <f>'Prev.Ventas 2'!M31*(1+Parametros!$F24)</f>
        <v>0</v>
      </c>
      <c r="N33" s="992">
        <f t="shared" ref="N33:N40" si="7">SUM(B33:M33)</f>
        <v>0</v>
      </c>
      <c r="O33" s="845"/>
    </row>
    <row r="34" spans="1:19" ht="17.25" x14ac:dyDescent="0.3">
      <c r="A34" s="849" t="str">
        <f t="shared" si="6"/>
        <v/>
      </c>
      <c r="B34" s="988">
        <f>'Prev.Ventas 2'!B32*(1+Parametros!$F25)</f>
        <v>0</v>
      </c>
      <c r="C34" s="988">
        <f>'Prev.Ventas 2'!C32*(1+Parametros!$F25)</f>
        <v>0</v>
      </c>
      <c r="D34" s="988">
        <f>'Prev.Ventas 2'!D32*(1+Parametros!$F25)</f>
        <v>0</v>
      </c>
      <c r="E34" s="988">
        <f>'Prev.Ventas 2'!E32*(1+Parametros!$F25)</f>
        <v>0</v>
      </c>
      <c r="F34" s="988">
        <f>'Prev.Ventas 2'!F32*(1+Parametros!$F25)</f>
        <v>0</v>
      </c>
      <c r="G34" s="988">
        <f>'Prev.Ventas 2'!G32*(1+Parametros!$F25)</f>
        <v>0</v>
      </c>
      <c r="H34" s="988">
        <f>'Prev.Ventas 2'!H32*(1+Parametros!$F25)</f>
        <v>0</v>
      </c>
      <c r="I34" s="988">
        <f>'Prev.Ventas 2'!I32*(1+Parametros!$F25)</f>
        <v>0</v>
      </c>
      <c r="J34" s="988">
        <f>'Prev.Ventas 2'!J32*(1+Parametros!$F25)</f>
        <v>0</v>
      </c>
      <c r="K34" s="988">
        <f>'Prev.Ventas 2'!K32*(1+Parametros!$F25)</f>
        <v>0</v>
      </c>
      <c r="L34" s="988">
        <f>'Prev.Ventas 2'!L32*(1+Parametros!$F25)</f>
        <v>0</v>
      </c>
      <c r="M34" s="988">
        <f>'Prev.Ventas 2'!M32*(1+Parametros!$F25)</f>
        <v>0</v>
      </c>
      <c r="N34" s="992">
        <f t="shared" si="7"/>
        <v>0</v>
      </c>
      <c r="O34" s="845"/>
    </row>
    <row r="35" spans="1:19" ht="17.25" x14ac:dyDescent="0.3">
      <c r="A35" s="849" t="str">
        <f t="shared" si="6"/>
        <v/>
      </c>
      <c r="B35" s="988">
        <f>'Prev.Ventas 2'!B33*(1+Parametros!$F26)</f>
        <v>0</v>
      </c>
      <c r="C35" s="988">
        <f>'Prev.Ventas 2'!C33*(1+Parametros!$F26)</f>
        <v>0</v>
      </c>
      <c r="D35" s="988">
        <f>'Prev.Ventas 2'!D33*(1+Parametros!$F26)</f>
        <v>0</v>
      </c>
      <c r="E35" s="988">
        <f>'Prev.Ventas 2'!E33*(1+Parametros!$F26)</f>
        <v>0</v>
      </c>
      <c r="F35" s="988">
        <f>'Prev.Ventas 2'!F33*(1+Parametros!$F26)</f>
        <v>0</v>
      </c>
      <c r="G35" s="988">
        <f>'Prev.Ventas 2'!G33*(1+Parametros!$F26)</f>
        <v>0</v>
      </c>
      <c r="H35" s="988">
        <f>'Prev.Ventas 2'!H33*(1+Parametros!$F26)</f>
        <v>0</v>
      </c>
      <c r="I35" s="988">
        <f>'Prev.Ventas 2'!I33*(1+Parametros!$F26)</f>
        <v>0</v>
      </c>
      <c r="J35" s="988">
        <f>'Prev.Ventas 2'!J33*(1+Parametros!$F26)</f>
        <v>0</v>
      </c>
      <c r="K35" s="988">
        <f>'Prev.Ventas 2'!K33*(1+Parametros!$F26)</f>
        <v>0</v>
      </c>
      <c r="L35" s="988">
        <f>'Prev.Ventas 2'!L33*(1+Parametros!$F26)</f>
        <v>0</v>
      </c>
      <c r="M35" s="988">
        <f>'Prev.Ventas 2'!M33*(1+Parametros!$F26)</f>
        <v>0</v>
      </c>
      <c r="N35" s="992">
        <f t="shared" si="7"/>
        <v>0</v>
      </c>
      <c r="O35" s="845"/>
    </row>
    <row r="36" spans="1:19" ht="17.25" x14ac:dyDescent="0.3">
      <c r="A36" s="849" t="str">
        <f t="shared" si="6"/>
        <v/>
      </c>
      <c r="B36" s="988">
        <f>'Prev.Ventas 2'!B34*(1+Parametros!$F27)</f>
        <v>0</v>
      </c>
      <c r="C36" s="988">
        <f>'Prev.Ventas 2'!C34*(1+Parametros!$F27)</f>
        <v>0</v>
      </c>
      <c r="D36" s="988">
        <f>'Prev.Ventas 2'!D34*(1+Parametros!$F27)</f>
        <v>0</v>
      </c>
      <c r="E36" s="988">
        <f>'Prev.Ventas 2'!E34*(1+Parametros!$F27)</f>
        <v>0</v>
      </c>
      <c r="F36" s="988">
        <f>'Prev.Ventas 2'!F34*(1+Parametros!$F27)</f>
        <v>0</v>
      </c>
      <c r="G36" s="988">
        <f>'Prev.Ventas 2'!G34*(1+Parametros!$F27)</f>
        <v>0</v>
      </c>
      <c r="H36" s="988">
        <f>'Prev.Ventas 2'!H34*(1+Parametros!$F27)</f>
        <v>0</v>
      </c>
      <c r="I36" s="988">
        <f>'Prev.Ventas 2'!I34*(1+Parametros!$F27)</f>
        <v>0</v>
      </c>
      <c r="J36" s="988">
        <f>'Prev.Ventas 2'!J34*(1+Parametros!$F27)</f>
        <v>0</v>
      </c>
      <c r="K36" s="988">
        <f>'Prev.Ventas 2'!K34*(1+Parametros!$F27)</f>
        <v>0</v>
      </c>
      <c r="L36" s="988">
        <f>'Prev.Ventas 2'!L34*(1+Parametros!$F27)</f>
        <v>0</v>
      </c>
      <c r="M36" s="988">
        <f>'Prev.Ventas 2'!M34*(1+Parametros!$F27)</f>
        <v>0</v>
      </c>
      <c r="N36" s="992">
        <f t="shared" si="7"/>
        <v>0</v>
      </c>
      <c r="O36" s="845"/>
    </row>
    <row r="37" spans="1:19" ht="17.25" x14ac:dyDescent="0.3">
      <c r="A37" s="849" t="str">
        <f t="shared" si="6"/>
        <v/>
      </c>
      <c r="B37" s="988">
        <f>'Prev.Ventas 2'!B35*(1+Parametros!$F28)</f>
        <v>0</v>
      </c>
      <c r="C37" s="988">
        <f>'Prev.Ventas 2'!C35*(1+Parametros!$F28)</f>
        <v>0</v>
      </c>
      <c r="D37" s="988">
        <f>'Prev.Ventas 2'!D35*(1+Parametros!$F28)</f>
        <v>0</v>
      </c>
      <c r="E37" s="988">
        <f>'Prev.Ventas 2'!E35*(1+Parametros!$F28)</f>
        <v>0</v>
      </c>
      <c r="F37" s="988">
        <f>'Prev.Ventas 2'!F35*(1+Parametros!$F28)</f>
        <v>0</v>
      </c>
      <c r="G37" s="988">
        <f>'Prev.Ventas 2'!G35*(1+Parametros!$F28)</f>
        <v>0</v>
      </c>
      <c r="H37" s="988">
        <f>'Prev.Ventas 2'!H35*(1+Parametros!$F28)</f>
        <v>0</v>
      </c>
      <c r="I37" s="988">
        <f>'Prev.Ventas 2'!I35*(1+Parametros!$F28)</f>
        <v>0</v>
      </c>
      <c r="J37" s="988">
        <f>'Prev.Ventas 2'!J35*(1+Parametros!$F28)</f>
        <v>0</v>
      </c>
      <c r="K37" s="988">
        <f>'Prev.Ventas 2'!K35*(1+Parametros!$F28)</f>
        <v>0</v>
      </c>
      <c r="L37" s="988">
        <f>'Prev.Ventas 2'!L35*(1+Parametros!$F28)</f>
        <v>0</v>
      </c>
      <c r="M37" s="988">
        <f>'Prev.Ventas 2'!M35*(1+Parametros!$F28)</f>
        <v>0</v>
      </c>
      <c r="N37" s="992">
        <f t="shared" si="7"/>
        <v>0</v>
      </c>
      <c r="O37" s="845"/>
    </row>
    <row r="38" spans="1:19" ht="17.25" x14ac:dyDescent="0.3">
      <c r="A38" s="849" t="str">
        <f t="shared" si="6"/>
        <v/>
      </c>
      <c r="B38" s="988">
        <f>'Prev.Ventas 2'!B36*(1+Parametros!$F29)</f>
        <v>0</v>
      </c>
      <c r="C38" s="988">
        <f>'Prev.Ventas 2'!C36*(1+Parametros!$F29)</f>
        <v>0</v>
      </c>
      <c r="D38" s="988">
        <f>'Prev.Ventas 2'!D36*(1+Parametros!$F29)</f>
        <v>0</v>
      </c>
      <c r="E38" s="988">
        <f>'Prev.Ventas 2'!E36*(1+Parametros!$F29)</f>
        <v>0</v>
      </c>
      <c r="F38" s="988">
        <f>'Prev.Ventas 2'!F36*(1+Parametros!$F29)</f>
        <v>0</v>
      </c>
      <c r="G38" s="988">
        <f>'Prev.Ventas 2'!G36*(1+Parametros!$F29)</f>
        <v>0</v>
      </c>
      <c r="H38" s="988">
        <f>'Prev.Ventas 2'!H36*(1+Parametros!$F29)</f>
        <v>0</v>
      </c>
      <c r="I38" s="988">
        <f>'Prev.Ventas 2'!I36*(1+Parametros!$F29)</f>
        <v>0</v>
      </c>
      <c r="J38" s="988">
        <f>'Prev.Ventas 2'!J36*(1+Parametros!$F29)</f>
        <v>0</v>
      </c>
      <c r="K38" s="988">
        <f>'Prev.Ventas 2'!K36*(1+Parametros!$F29)</f>
        <v>0</v>
      </c>
      <c r="L38" s="988">
        <f>'Prev.Ventas 2'!L36*(1+Parametros!$F29)</f>
        <v>0</v>
      </c>
      <c r="M38" s="988">
        <f>'Prev.Ventas 2'!M36*(1+Parametros!$F29)</f>
        <v>0</v>
      </c>
      <c r="N38" s="992">
        <f t="shared" si="7"/>
        <v>0</v>
      </c>
      <c r="O38" s="845"/>
    </row>
    <row r="39" spans="1:19" ht="17.25" x14ac:dyDescent="0.3">
      <c r="A39" s="849" t="str">
        <f t="shared" si="6"/>
        <v/>
      </c>
      <c r="B39" s="988">
        <f>'Prev.Ventas 2'!B37*(1+Parametros!$F30)</f>
        <v>0</v>
      </c>
      <c r="C39" s="988">
        <f>'Prev.Ventas 2'!C37*(1+Parametros!$F30)</f>
        <v>0</v>
      </c>
      <c r="D39" s="988">
        <f>'Prev.Ventas 2'!D37*(1+Parametros!$F30)</f>
        <v>0</v>
      </c>
      <c r="E39" s="988">
        <f>'Prev.Ventas 2'!E37*(1+Parametros!$F30)</f>
        <v>0</v>
      </c>
      <c r="F39" s="988">
        <f>'Prev.Ventas 2'!F37*(1+Parametros!$F30)</f>
        <v>0</v>
      </c>
      <c r="G39" s="988">
        <f>'Prev.Ventas 2'!G37*(1+Parametros!$F30)</f>
        <v>0</v>
      </c>
      <c r="H39" s="988">
        <f>'Prev.Ventas 2'!H37*(1+Parametros!$F30)</f>
        <v>0</v>
      </c>
      <c r="I39" s="988">
        <f>'Prev.Ventas 2'!I37*(1+Parametros!$F30)</f>
        <v>0</v>
      </c>
      <c r="J39" s="988">
        <f>'Prev.Ventas 2'!J37*(1+Parametros!$F30)</f>
        <v>0</v>
      </c>
      <c r="K39" s="988">
        <f>'Prev.Ventas 2'!K37*(1+Parametros!$F30)</f>
        <v>0</v>
      </c>
      <c r="L39" s="988">
        <f>'Prev.Ventas 2'!L37*(1+Parametros!$F30)</f>
        <v>0</v>
      </c>
      <c r="M39" s="988">
        <f>'Prev.Ventas 2'!M37*(1+Parametros!$F30)</f>
        <v>0</v>
      </c>
      <c r="N39" s="992">
        <f t="shared" si="7"/>
        <v>0</v>
      </c>
      <c r="O39" s="845"/>
    </row>
    <row r="40" spans="1:19" ht="18" thickBot="1" x14ac:dyDescent="0.35">
      <c r="A40" s="864" t="str">
        <f t="shared" si="6"/>
        <v/>
      </c>
      <c r="B40" s="990">
        <f>'Prev.Ventas 2'!B38*(1+Parametros!$F31)</f>
        <v>0</v>
      </c>
      <c r="C40" s="990">
        <f>'Prev.Ventas 2'!C38*(1+Parametros!$F31)</f>
        <v>0</v>
      </c>
      <c r="D40" s="990">
        <f>'Prev.Ventas 2'!D38*(1+Parametros!$F31)</f>
        <v>0</v>
      </c>
      <c r="E40" s="990">
        <f>'Prev.Ventas 2'!E38*(1+Parametros!$F31)</f>
        <v>0</v>
      </c>
      <c r="F40" s="990">
        <f>'Prev.Ventas 2'!F38*(1+Parametros!$F31)</f>
        <v>0</v>
      </c>
      <c r="G40" s="990">
        <f>'Prev.Ventas 2'!G38*(1+Parametros!$F31)</f>
        <v>0</v>
      </c>
      <c r="H40" s="990">
        <f>'Prev.Ventas 2'!H38*(1+Parametros!$F31)</f>
        <v>0</v>
      </c>
      <c r="I40" s="990">
        <f>'Prev.Ventas 2'!I38*(1+Parametros!$F31)</f>
        <v>0</v>
      </c>
      <c r="J40" s="990">
        <f>'Prev.Ventas 2'!J38*(1+Parametros!$F31)</f>
        <v>0</v>
      </c>
      <c r="K40" s="990">
        <f>'Prev.Ventas 2'!K38*(1+Parametros!$F31)</f>
        <v>0</v>
      </c>
      <c r="L40" s="990">
        <f>'Prev.Ventas 2'!L38*(1+Parametros!$F31)</f>
        <v>0</v>
      </c>
      <c r="M40" s="990">
        <f>'Prev.Ventas 2'!M38*(1+Parametros!$F31)</f>
        <v>0</v>
      </c>
      <c r="N40" s="992">
        <f t="shared" si="7"/>
        <v>0</v>
      </c>
      <c r="O40" s="845"/>
    </row>
    <row r="41" spans="1:19" ht="18" thickBot="1" x14ac:dyDescent="0.35">
      <c r="A41" s="410" t="s">
        <v>860</v>
      </c>
      <c r="B41" s="851">
        <f t="shared" ref="B41:N41" si="8">SUM(B33:B40)</f>
        <v>0</v>
      </c>
      <c r="C41" s="851">
        <f t="shared" si="8"/>
        <v>0</v>
      </c>
      <c r="D41" s="851">
        <f t="shared" si="8"/>
        <v>0</v>
      </c>
      <c r="E41" s="851">
        <f t="shared" si="8"/>
        <v>0</v>
      </c>
      <c r="F41" s="851">
        <f t="shared" si="8"/>
        <v>0</v>
      </c>
      <c r="G41" s="851">
        <f t="shared" si="8"/>
        <v>0</v>
      </c>
      <c r="H41" s="851">
        <f t="shared" si="8"/>
        <v>0</v>
      </c>
      <c r="I41" s="851">
        <f t="shared" si="8"/>
        <v>0</v>
      </c>
      <c r="J41" s="851">
        <f t="shared" si="8"/>
        <v>0</v>
      </c>
      <c r="K41" s="851">
        <f t="shared" si="8"/>
        <v>0</v>
      </c>
      <c r="L41" s="851">
        <f t="shared" si="8"/>
        <v>0</v>
      </c>
      <c r="M41" s="851">
        <f t="shared" si="8"/>
        <v>0</v>
      </c>
      <c r="N41" s="851">
        <f t="shared" si="8"/>
        <v>0</v>
      </c>
      <c r="O41" s="845"/>
    </row>
    <row r="42" spans="1:19" x14ac:dyDescent="0.25">
      <c r="C42" s="845"/>
      <c r="D42" s="845"/>
      <c r="E42" s="845"/>
      <c r="F42" s="845"/>
      <c r="G42" s="845"/>
      <c r="H42" s="845"/>
      <c r="I42" s="845"/>
      <c r="J42" s="845"/>
      <c r="K42" s="845"/>
      <c r="L42" s="845"/>
      <c r="M42" s="845"/>
      <c r="N42" s="845"/>
      <c r="O42" s="845"/>
      <c r="P42" s="845"/>
    </row>
    <row r="43" spans="1:19" ht="27.75" x14ac:dyDescent="0.45">
      <c r="A43" s="408" t="s">
        <v>260</v>
      </c>
      <c r="C43" s="845"/>
      <c r="D43" s="845"/>
      <c r="E43" s="845"/>
      <c r="G43" s="409"/>
      <c r="H43" s="409"/>
      <c r="I43" s="845"/>
      <c r="J43" s="845"/>
      <c r="K43" s="845"/>
      <c r="L43" s="845"/>
      <c r="M43" s="845"/>
      <c r="N43" s="845"/>
      <c r="O43" s="845"/>
      <c r="P43" s="845"/>
    </row>
    <row r="44" spans="1:19" ht="16.5" thickBot="1" x14ac:dyDescent="0.3">
      <c r="A44" s="845"/>
      <c r="B44" s="847"/>
      <c r="C44" s="845"/>
      <c r="D44" s="845"/>
      <c r="E44" s="845"/>
      <c r="F44" s="845"/>
      <c r="G44" s="845"/>
      <c r="H44" s="845"/>
      <c r="I44" s="845"/>
      <c r="J44" s="845"/>
      <c r="K44" s="845"/>
      <c r="L44" s="845"/>
      <c r="M44" s="845"/>
      <c r="N44" s="845"/>
      <c r="O44" s="845"/>
      <c r="P44" s="852" t="str">
        <f>P18</f>
        <v>Pendiente para el año siguiente:</v>
      </c>
      <c r="Q44" s="853" t="str">
        <f>Q18</f>
        <v>2.029</v>
      </c>
    </row>
    <row r="45" spans="1:19" ht="27.75" customHeight="1" thickBot="1" x14ac:dyDescent="0.3">
      <c r="A45" s="454" t="s">
        <v>940</v>
      </c>
      <c r="B45" s="854" t="str">
        <f t="shared" ref="B45:K45" si="9">B19</f>
        <v>enero 
2028</v>
      </c>
      <c r="C45" s="854" t="str">
        <f t="shared" si="9"/>
        <v>febrero 
2028</v>
      </c>
      <c r="D45" s="854" t="str">
        <f t="shared" si="9"/>
        <v>marzo 
2028</v>
      </c>
      <c r="E45" s="854" t="str">
        <f t="shared" si="9"/>
        <v>abril 
2028</v>
      </c>
      <c r="F45" s="854" t="str">
        <f t="shared" si="9"/>
        <v>mayo 
2028</v>
      </c>
      <c r="G45" s="854" t="str">
        <f t="shared" si="9"/>
        <v>junio 
2028</v>
      </c>
      <c r="H45" s="854" t="str">
        <f t="shared" si="9"/>
        <v>julio 
2028</v>
      </c>
      <c r="I45" s="854" t="str">
        <f t="shared" si="9"/>
        <v>agosto 
2028</v>
      </c>
      <c r="J45" s="854" t="str">
        <f t="shared" si="9"/>
        <v>septiembre 
2028</v>
      </c>
      <c r="K45" s="854" t="str">
        <f t="shared" si="9"/>
        <v>octubre 
2028</v>
      </c>
      <c r="L45" s="854" t="str">
        <f t="shared" ref="L45:S45" si="10">L19</f>
        <v>noviembre 
2028</v>
      </c>
      <c r="M45" s="854" t="str">
        <f t="shared" si="10"/>
        <v>diciembre 
2028</v>
      </c>
      <c r="N45" s="854" t="str">
        <f t="shared" si="10"/>
        <v>enero 
2.029</v>
      </c>
      <c r="O45" s="854" t="str">
        <f t="shared" si="10"/>
        <v>febrero 
2.029</v>
      </c>
      <c r="P45" s="854" t="str">
        <f t="shared" si="10"/>
        <v>marzo 
2.029</v>
      </c>
      <c r="Q45" s="854" t="str">
        <f t="shared" si="10"/>
        <v>abril 
2.029</v>
      </c>
      <c r="R45" s="854" t="str">
        <f t="shared" si="10"/>
        <v>mayo 
2.029</v>
      </c>
      <c r="S45" s="854" t="str">
        <f t="shared" si="10"/>
        <v>junio 
2.029</v>
      </c>
    </row>
    <row r="46" spans="1:19" x14ac:dyDescent="0.25">
      <c r="A46" s="855" t="s">
        <v>938</v>
      </c>
      <c r="B46" s="988">
        <f>SUMPRODUCT('Politicas Cobros y Pagos'!$B$88:$B$95,B$33:B$40)</f>
        <v>0</v>
      </c>
      <c r="C46" s="988">
        <f>SUMPRODUCT('Politicas Cobros y Pagos'!$B$88:$B$95,C$33:C$40)</f>
        <v>0</v>
      </c>
      <c r="D46" s="988">
        <f>SUMPRODUCT('Politicas Cobros y Pagos'!$B$88:$B$95,D$33:D$40)</f>
        <v>0</v>
      </c>
      <c r="E46" s="988">
        <f>SUMPRODUCT('Politicas Cobros y Pagos'!$B$88:$B$95,E$33:E$40)</f>
        <v>0</v>
      </c>
      <c r="F46" s="988">
        <f>SUMPRODUCT('Politicas Cobros y Pagos'!$B$88:$B$95,F$33:F$40)</f>
        <v>0</v>
      </c>
      <c r="G46" s="988">
        <f>SUMPRODUCT('Politicas Cobros y Pagos'!$B$88:$B$95,G$33:G$40)</f>
        <v>0</v>
      </c>
      <c r="H46" s="988">
        <f>SUMPRODUCT('Politicas Cobros y Pagos'!$B$88:$B$95,H$33:H$40)</f>
        <v>0</v>
      </c>
      <c r="I46" s="988">
        <f>SUMPRODUCT('Politicas Cobros y Pagos'!$B$88:$B$95,I$33:I$40)</f>
        <v>0</v>
      </c>
      <c r="J46" s="988">
        <f>SUMPRODUCT('Politicas Cobros y Pagos'!$B$88:$B$95,J$33:J$40)</f>
        <v>0</v>
      </c>
      <c r="K46" s="988">
        <f>SUMPRODUCT('Politicas Cobros y Pagos'!$B$88:$B$95,K$33:K$40)</f>
        <v>0</v>
      </c>
      <c r="L46" s="988">
        <f>SUMPRODUCT('Politicas Cobros y Pagos'!$B$88:$B$95,L$33:L$40)</f>
        <v>0</v>
      </c>
      <c r="M46" s="988">
        <f>SUMPRODUCT('Politicas Cobros y Pagos'!$B$88:$B$95,M$33:M$40)</f>
        <v>0</v>
      </c>
      <c r="N46" s="988"/>
      <c r="O46" s="988"/>
      <c r="P46" s="988"/>
      <c r="Q46" s="988"/>
      <c r="R46" s="988"/>
      <c r="S46" s="988"/>
    </row>
    <row r="47" spans="1:19" x14ac:dyDescent="0.25">
      <c r="A47" s="856">
        <v>30</v>
      </c>
      <c r="B47" s="991">
        <f>'Cobros y pagos 1'!N47</f>
        <v>0</v>
      </c>
      <c r="C47" s="988">
        <f>SUMPRODUCT('Politicas Cobros y Pagos'!$C$88:$C$95,B$33:B$40)</f>
        <v>0</v>
      </c>
      <c r="D47" s="988">
        <f>SUMPRODUCT('Politicas Cobros y Pagos'!$C$88:$C$95,C$33:C$40)</f>
        <v>0</v>
      </c>
      <c r="E47" s="988">
        <f>SUMPRODUCT('Politicas Cobros y Pagos'!$C$88:$C$95,D$33:D$40)</f>
        <v>0</v>
      </c>
      <c r="F47" s="988">
        <f>SUMPRODUCT('Politicas Cobros y Pagos'!$C$88:$C$95,E$33:E$40)</f>
        <v>0</v>
      </c>
      <c r="G47" s="988">
        <f>SUMPRODUCT('Politicas Cobros y Pagos'!$C$88:$C$95,F$33:F$40)</f>
        <v>0</v>
      </c>
      <c r="H47" s="988">
        <f>SUMPRODUCT('Politicas Cobros y Pagos'!$C$88:$C$95,G$33:G$40)</f>
        <v>0</v>
      </c>
      <c r="I47" s="988">
        <f>SUMPRODUCT('Politicas Cobros y Pagos'!$C$88:$C$95,H$33:H$40)</f>
        <v>0</v>
      </c>
      <c r="J47" s="988">
        <f>SUMPRODUCT('Politicas Cobros y Pagos'!$C$88:$C$95,I$33:I$40)</f>
        <v>0</v>
      </c>
      <c r="K47" s="988">
        <f>SUMPRODUCT('Politicas Cobros y Pagos'!$C$88:$C$95,J$33:J$40)</f>
        <v>0</v>
      </c>
      <c r="L47" s="988">
        <f>SUMPRODUCT('Politicas Cobros y Pagos'!$C$88:$C$95,K$33:K$40)</f>
        <v>0</v>
      </c>
      <c r="M47" s="988">
        <f>SUMPRODUCT('Politicas Cobros y Pagos'!$C$88:$C$95,L$33:L$40)</f>
        <v>0</v>
      </c>
      <c r="N47" s="988">
        <f>SUMPRODUCT('Politicas Cobros y Pagos'!$C$88:$C$95,M$33:M$40)</f>
        <v>0</v>
      </c>
      <c r="O47" s="988"/>
      <c r="P47" s="988"/>
      <c r="Q47" s="988"/>
      <c r="R47" s="988"/>
      <c r="S47" s="988"/>
    </row>
    <row r="48" spans="1:19" x14ac:dyDescent="0.25">
      <c r="A48" s="856">
        <v>60</v>
      </c>
      <c r="B48" s="991">
        <f>'Cobros y pagos 1'!N48</f>
        <v>0</v>
      </c>
      <c r="C48" s="991">
        <f>'Cobros y pagos 1'!O48</f>
        <v>0</v>
      </c>
      <c r="D48" s="988">
        <f>SUMPRODUCT('Politicas Cobros y Pagos'!$D$88:$D$95,B$33:B$40)</f>
        <v>0</v>
      </c>
      <c r="E48" s="988">
        <f>SUMPRODUCT('Politicas Cobros y Pagos'!$D$88:$D$95,C$33:C$40)</f>
        <v>0</v>
      </c>
      <c r="F48" s="988">
        <f>SUMPRODUCT('Politicas Cobros y Pagos'!$D$88:$D$95,D$33:D$40)</f>
        <v>0</v>
      </c>
      <c r="G48" s="988">
        <f>SUMPRODUCT('Politicas Cobros y Pagos'!$D$88:$D$95,E$33:E$40)</f>
        <v>0</v>
      </c>
      <c r="H48" s="988">
        <f>SUMPRODUCT('Politicas Cobros y Pagos'!$D$88:$D$95,F$33:F$40)</f>
        <v>0</v>
      </c>
      <c r="I48" s="988">
        <f>SUMPRODUCT('Politicas Cobros y Pagos'!$D$88:$D$95,G$33:G$40)</f>
        <v>0</v>
      </c>
      <c r="J48" s="988">
        <f>SUMPRODUCT('Politicas Cobros y Pagos'!$D$88:$D$95,H$33:H$40)</f>
        <v>0</v>
      </c>
      <c r="K48" s="988">
        <f>SUMPRODUCT('Politicas Cobros y Pagos'!$D$88:$D$95,I$33:I$40)</f>
        <v>0</v>
      </c>
      <c r="L48" s="988">
        <f>SUMPRODUCT('Politicas Cobros y Pagos'!$D$88:$D$95,J$33:J$40)</f>
        <v>0</v>
      </c>
      <c r="M48" s="988">
        <f>SUMPRODUCT('Politicas Cobros y Pagos'!$D$88:$D$95,K$33:K$40)</f>
        <v>0</v>
      </c>
      <c r="N48" s="988">
        <f>SUMPRODUCT('Politicas Cobros y Pagos'!$D$88:$D$95,L$33:L$40)</f>
        <v>0</v>
      </c>
      <c r="O48" s="988">
        <f>SUMPRODUCT('Politicas Cobros y Pagos'!$D$88:$D$95,M$33:M$40)</f>
        <v>0</v>
      </c>
      <c r="P48" s="988"/>
      <c r="Q48" s="988"/>
      <c r="R48" s="988"/>
      <c r="S48" s="988"/>
    </row>
    <row r="49" spans="1:19" x14ac:dyDescent="0.25">
      <c r="A49" s="856">
        <v>90</v>
      </c>
      <c r="B49" s="991">
        <f>'Cobros y pagos 1'!N49</f>
        <v>0</v>
      </c>
      <c r="C49" s="991">
        <f>'Cobros y pagos 1'!O49</f>
        <v>0</v>
      </c>
      <c r="D49" s="991">
        <f>'Cobros y pagos 1'!P49</f>
        <v>0</v>
      </c>
      <c r="E49" s="988">
        <f>SUMPRODUCT('Politicas Cobros y Pagos'!$E$88:$E$95,B$33:B$40)</f>
        <v>0</v>
      </c>
      <c r="F49" s="988">
        <f>SUMPRODUCT('Politicas Cobros y Pagos'!$E$88:$E$95,C$33:C$40)</f>
        <v>0</v>
      </c>
      <c r="G49" s="988">
        <f>SUMPRODUCT('Politicas Cobros y Pagos'!$E$88:$E$95,D$33:D$40)</f>
        <v>0</v>
      </c>
      <c r="H49" s="988">
        <f>SUMPRODUCT('Politicas Cobros y Pagos'!$E$88:$E$95,E$33:E$40)</f>
        <v>0</v>
      </c>
      <c r="I49" s="988">
        <f>SUMPRODUCT('Politicas Cobros y Pagos'!$E$88:$E$95,F$33:F$40)</f>
        <v>0</v>
      </c>
      <c r="J49" s="988">
        <f>SUMPRODUCT('Politicas Cobros y Pagos'!$E$88:$E$95,G$33:G$40)</f>
        <v>0</v>
      </c>
      <c r="K49" s="988">
        <f>SUMPRODUCT('Politicas Cobros y Pagos'!$E$88:$E$95,H$33:H$40)</f>
        <v>0</v>
      </c>
      <c r="L49" s="988">
        <f>SUMPRODUCT('Politicas Cobros y Pagos'!$E$88:$E$95,I$33:I$40)</f>
        <v>0</v>
      </c>
      <c r="M49" s="988">
        <f>SUMPRODUCT('Politicas Cobros y Pagos'!$E$88:$E$95,J$33:J$40)</f>
        <v>0</v>
      </c>
      <c r="N49" s="988">
        <f>SUMPRODUCT('Politicas Cobros y Pagos'!$E$88:$E$95,K$33:K$40)</f>
        <v>0</v>
      </c>
      <c r="O49" s="988">
        <f>SUMPRODUCT('Politicas Cobros y Pagos'!$E$88:$E$95,L$33:L$40)</f>
        <v>0</v>
      </c>
      <c r="P49" s="988">
        <f>SUMPRODUCT('Politicas Cobros y Pagos'!$E$88:$E$95,M$33:M$40)</f>
        <v>0</v>
      </c>
      <c r="Q49" s="988"/>
      <c r="R49" s="988"/>
      <c r="S49" s="988"/>
    </row>
    <row r="50" spans="1:19" x14ac:dyDescent="0.25">
      <c r="A50" s="856">
        <v>120</v>
      </c>
      <c r="B50" s="991">
        <f>'Cobros y pagos 1'!N50</f>
        <v>0</v>
      </c>
      <c r="C50" s="991">
        <f>'Cobros y pagos 1'!O50</f>
        <v>0</v>
      </c>
      <c r="D50" s="991">
        <f>'Cobros y pagos 1'!P50</f>
        <v>0</v>
      </c>
      <c r="E50" s="991">
        <f>'Cobros y pagos 1'!Q50</f>
        <v>0</v>
      </c>
      <c r="F50" s="988">
        <f>SUMPRODUCT('Politicas Cobros y Pagos'!$F$88:$F$95,B$33:B$40)</f>
        <v>0</v>
      </c>
      <c r="G50" s="988">
        <f>SUMPRODUCT('Politicas Cobros y Pagos'!$F$88:$F$95,C$33:C$40)</f>
        <v>0</v>
      </c>
      <c r="H50" s="988">
        <f>SUMPRODUCT('Politicas Cobros y Pagos'!$F$88:$F$95,D$33:D$40)</f>
        <v>0</v>
      </c>
      <c r="I50" s="988">
        <f>SUMPRODUCT('Politicas Cobros y Pagos'!$F$88:$F$95,E$33:E$40)</f>
        <v>0</v>
      </c>
      <c r="J50" s="988">
        <f>SUMPRODUCT('Politicas Cobros y Pagos'!$F$88:$F$95,F$33:F$40)</f>
        <v>0</v>
      </c>
      <c r="K50" s="988">
        <f>SUMPRODUCT('Politicas Cobros y Pagos'!$F$88:$F$95,G$33:G$40)</f>
        <v>0</v>
      </c>
      <c r="L50" s="988">
        <f>SUMPRODUCT('Politicas Cobros y Pagos'!$F$88:$F$95,H$33:H$40)</f>
        <v>0</v>
      </c>
      <c r="M50" s="988">
        <f>SUMPRODUCT('Politicas Cobros y Pagos'!$F$88:$F$95,I$33:I$40)</f>
        <v>0</v>
      </c>
      <c r="N50" s="988">
        <f>SUMPRODUCT('Politicas Cobros y Pagos'!$F$88:$F$95,J$33:J$40)</f>
        <v>0</v>
      </c>
      <c r="O50" s="988">
        <f>SUMPRODUCT('Politicas Cobros y Pagos'!$F$88:$F$95,K$33:K$40)</f>
        <v>0</v>
      </c>
      <c r="P50" s="988">
        <f>SUMPRODUCT('Politicas Cobros y Pagos'!$F$88:$F$95,L$33:L$40)</f>
        <v>0</v>
      </c>
      <c r="Q50" s="988">
        <f>SUMPRODUCT('Politicas Cobros y Pagos'!$F$88:$F$95,M$33:M$40)</f>
        <v>0</v>
      </c>
      <c r="R50" s="988"/>
      <c r="S50" s="988"/>
    </row>
    <row r="51" spans="1:19" x14ac:dyDescent="0.25">
      <c r="A51" s="856">
        <v>150</v>
      </c>
      <c r="B51" s="991">
        <f>'Cobros y pagos 1'!N51</f>
        <v>0</v>
      </c>
      <c r="C51" s="991">
        <f>'Cobros y pagos 1'!O51</f>
        <v>0</v>
      </c>
      <c r="D51" s="991">
        <f>'Cobros y pagos 1'!P51</f>
        <v>0</v>
      </c>
      <c r="E51" s="991">
        <f>'Cobros y pagos 1'!Q51</f>
        <v>0</v>
      </c>
      <c r="F51" s="991">
        <f>'Cobros y pagos 1'!R51</f>
        <v>0</v>
      </c>
      <c r="G51" s="988">
        <f>SUMPRODUCT('Politicas Cobros y Pagos'!$G$88:$G$95,B$33:B$40)</f>
        <v>0</v>
      </c>
      <c r="H51" s="988">
        <f>SUMPRODUCT('Politicas Cobros y Pagos'!$G$88:$G$95,C$33:C$40)</f>
        <v>0</v>
      </c>
      <c r="I51" s="988">
        <f>SUMPRODUCT('Politicas Cobros y Pagos'!$G$88:$G$95,D$33:D$40)</f>
        <v>0</v>
      </c>
      <c r="J51" s="988">
        <f>SUMPRODUCT('Politicas Cobros y Pagos'!$G$88:$G$95,E$33:E$40)</f>
        <v>0</v>
      </c>
      <c r="K51" s="988">
        <f>SUMPRODUCT('Politicas Cobros y Pagos'!$G$88:$G$95,F$33:F$40)</f>
        <v>0</v>
      </c>
      <c r="L51" s="988">
        <f>SUMPRODUCT('Politicas Cobros y Pagos'!$G$88:$G$95,G$33:G$40)</f>
        <v>0</v>
      </c>
      <c r="M51" s="988">
        <f>SUMPRODUCT('Politicas Cobros y Pagos'!$G$88:$G$95,H$33:H$40)</f>
        <v>0</v>
      </c>
      <c r="N51" s="988">
        <f>SUMPRODUCT('Politicas Cobros y Pagos'!$G$88:$G$95,I$33:I$40)</f>
        <v>0</v>
      </c>
      <c r="O51" s="988">
        <f>SUMPRODUCT('Politicas Cobros y Pagos'!$G$88:$G$95,J$33:J$40)</f>
        <v>0</v>
      </c>
      <c r="P51" s="988">
        <f>SUMPRODUCT('Politicas Cobros y Pagos'!$G$88:$G$95,K$33:K$40)</f>
        <v>0</v>
      </c>
      <c r="Q51" s="988">
        <f>SUMPRODUCT('Politicas Cobros y Pagos'!$G$88:$G$95,L$33:L$40)</f>
        <v>0</v>
      </c>
      <c r="R51" s="988">
        <f>SUMPRODUCT('Politicas Cobros y Pagos'!$G$88:$G$95,M$33:M$40)</f>
        <v>0</v>
      </c>
      <c r="S51" s="988"/>
    </row>
    <row r="52" spans="1:19" x14ac:dyDescent="0.25">
      <c r="A52" s="856">
        <v>180</v>
      </c>
      <c r="B52" s="991">
        <f>'Cobros y pagos 1'!N52</f>
        <v>0</v>
      </c>
      <c r="C52" s="991">
        <f>'Cobros y pagos 1'!O52</f>
        <v>0</v>
      </c>
      <c r="D52" s="991">
        <f>'Cobros y pagos 1'!P52</f>
        <v>0</v>
      </c>
      <c r="E52" s="991">
        <f>'Cobros y pagos 1'!Q52</f>
        <v>0</v>
      </c>
      <c r="F52" s="991">
        <f>'Cobros y pagos 1'!R52</f>
        <v>0</v>
      </c>
      <c r="G52" s="991">
        <f>'Cobros y pagos 1'!S52</f>
        <v>0</v>
      </c>
      <c r="H52" s="988">
        <f>SUMPRODUCT('Politicas Cobros y Pagos'!$H$88:$H$95,B$33:B$40)</f>
        <v>0</v>
      </c>
      <c r="I52" s="988">
        <f>SUMPRODUCT('Politicas Cobros y Pagos'!$H$88:$H$95,C$33:C$40)</f>
        <v>0</v>
      </c>
      <c r="J52" s="988">
        <f>SUMPRODUCT('Politicas Cobros y Pagos'!$H$88:$H$95,D$33:D$40)</f>
        <v>0</v>
      </c>
      <c r="K52" s="988">
        <f>SUMPRODUCT('Politicas Cobros y Pagos'!$H$88:$H$95,E$33:E$40)</f>
        <v>0</v>
      </c>
      <c r="L52" s="988">
        <f>SUMPRODUCT('Politicas Cobros y Pagos'!$H$88:$H$95,F$33:F$40)</f>
        <v>0</v>
      </c>
      <c r="M52" s="988">
        <f>SUMPRODUCT('Politicas Cobros y Pagos'!$H$88:$H$95,G$33:G$40)</f>
        <v>0</v>
      </c>
      <c r="N52" s="988">
        <f>SUMPRODUCT('Politicas Cobros y Pagos'!$H$88:$H$95,H$33:H$40)</f>
        <v>0</v>
      </c>
      <c r="O52" s="988">
        <f>SUMPRODUCT('Politicas Cobros y Pagos'!$H$88:$H$95,I$33:I$40)</f>
        <v>0</v>
      </c>
      <c r="P52" s="988">
        <f>SUMPRODUCT('Politicas Cobros y Pagos'!$H$88:$H$95,J$33:J$40)</f>
        <v>0</v>
      </c>
      <c r="Q52" s="988">
        <f>SUMPRODUCT('Politicas Cobros y Pagos'!$H$88:$H$95,K$33:K$40)</f>
        <v>0</v>
      </c>
      <c r="R52" s="988">
        <f>SUMPRODUCT('Politicas Cobros y Pagos'!$H$88:$H$95,L$33:L$40)</f>
        <v>0</v>
      </c>
      <c r="S52" s="988">
        <f>SUMPRODUCT('Politicas Cobros y Pagos'!$H$88:$H$95,M$33:M$40)</f>
        <v>0</v>
      </c>
    </row>
    <row r="53" spans="1:19" ht="15.75" thickBot="1" x14ac:dyDescent="0.3">
      <c r="A53" s="865" t="s">
        <v>860</v>
      </c>
      <c r="B53" s="993">
        <f t="shared" ref="B53:S53" si="11">SUM(B46:B52)</f>
        <v>0</v>
      </c>
      <c r="C53" s="993">
        <f t="shared" si="11"/>
        <v>0</v>
      </c>
      <c r="D53" s="993">
        <f t="shared" si="11"/>
        <v>0</v>
      </c>
      <c r="E53" s="993">
        <f t="shared" si="11"/>
        <v>0</v>
      </c>
      <c r="F53" s="993">
        <f t="shared" si="11"/>
        <v>0</v>
      </c>
      <c r="G53" s="993">
        <f t="shared" si="11"/>
        <v>0</v>
      </c>
      <c r="H53" s="993">
        <f t="shared" si="11"/>
        <v>0</v>
      </c>
      <c r="I53" s="993">
        <f t="shared" si="11"/>
        <v>0</v>
      </c>
      <c r="J53" s="993">
        <f t="shared" si="11"/>
        <v>0</v>
      </c>
      <c r="K53" s="993">
        <f t="shared" si="11"/>
        <v>0</v>
      </c>
      <c r="L53" s="993">
        <f t="shared" si="11"/>
        <v>0</v>
      </c>
      <c r="M53" s="993">
        <f t="shared" si="11"/>
        <v>0</v>
      </c>
      <c r="N53" s="993">
        <f t="shared" si="11"/>
        <v>0</v>
      </c>
      <c r="O53" s="993">
        <f t="shared" si="11"/>
        <v>0</v>
      </c>
      <c r="P53" s="993">
        <f t="shared" si="11"/>
        <v>0</v>
      </c>
      <c r="Q53" s="993">
        <f t="shared" si="11"/>
        <v>0</v>
      </c>
      <c r="R53" s="993">
        <f t="shared" si="11"/>
        <v>0</v>
      </c>
      <c r="S53" s="993">
        <f t="shared" si="11"/>
        <v>0</v>
      </c>
    </row>
    <row r="54" spans="1:19" ht="15.75" thickBot="1" x14ac:dyDescent="0.3">
      <c r="A54" s="845"/>
      <c r="B54" s="847"/>
      <c r="C54" s="843"/>
      <c r="D54" s="843"/>
      <c r="E54" s="843"/>
      <c r="F54" s="843"/>
      <c r="G54" s="843"/>
      <c r="H54" s="843"/>
      <c r="I54" s="843"/>
      <c r="J54" s="843"/>
      <c r="K54" s="843"/>
      <c r="L54" s="843"/>
      <c r="M54" s="843"/>
      <c r="N54" s="843"/>
      <c r="O54" s="845"/>
      <c r="P54" s="843"/>
    </row>
    <row r="55" spans="1:19" ht="15.75" thickBot="1" x14ac:dyDescent="0.3">
      <c r="N55" s="827"/>
      <c r="O55" s="860"/>
      <c r="P55" s="861"/>
      <c r="Q55" s="861"/>
      <c r="R55" s="862" t="str">
        <f>CONCATENATE("Pagos de compras y CV pendintes para el año ",Q44," (sin IVA)")</f>
        <v>Pagos de compras y CV pendintes para el año 2.029 (sin IVA)</v>
      </c>
      <c r="S55" s="638">
        <f>SUM(N53:S53)</f>
        <v>0</v>
      </c>
    </row>
  </sheetData>
  <sheetProtection sheet="1" objects="1" scenarios="1" formatCells="0" formatColumns="0"/>
  <phoneticPr fontId="13" type="noConversion"/>
  <printOptions horizontalCentered="1" verticalCentered="1"/>
  <pageMargins left="0.39370078740157483" right="0.39370078740157483" top="0.31" bottom="0.3" header="0.31496062992125984" footer="0.31496062992125984"/>
  <pageSetup paperSize="9" scale="61" orientation="landscape" horizontalDpi="300" verticalDpi="300" r:id="rId1"/>
  <headerFooter alignWithMargins="0">
    <oddFooter>&amp;A</oddFooter>
  </headerFooter>
  <rowBreaks count="1" manualBreakCount="1">
    <brk id="16" max="14"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51">
    <tabColor rgb="FF14A3A8"/>
    <pageSetUpPr fitToPage="1"/>
  </sheetPr>
  <dimension ref="A1:S55"/>
  <sheetViews>
    <sheetView showGridLines="0" workbookViewId="0"/>
  </sheetViews>
  <sheetFormatPr baseColWidth="10" defaultRowHeight="15" x14ac:dyDescent="0.25"/>
  <cols>
    <col min="1" max="1" width="24.75" style="305" customWidth="1"/>
    <col min="2" max="2" width="9.75" style="445" customWidth="1"/>
    <col min="3" max="4" width="10" style="446" customWidth="1"/>
    <col min="5" max="5" width="11.625" style="446" customWidth="1"/>
    <col min="6" max="6" width="12.125" style="446" customWidth="1"/>
    <col min="7" max="14" width="10" style="446" customWidth="1"/>
    <col min="15" max="15" width="9.5" style="305" customWidth="1"/>
    <col min="16" max="16384" width="11" style="446"/>
  </cols>
  <sheetData>
    <row r="1" spans="1:15" ht="27.75" x14ac:dyDescent="0.45">
      <c r="A1" s="485" t="s">
        <v>1022</v>
      </c>
      <c r="B1" s="841"/>
      <c r="F1" s="866">
        <f>'Datos Básicos'!E16</f>
        <v>3</v>
      </c>
      <c r="G1" s="470">
        <f>'Datos Básicos'!$D$17+1</f>
        <v>2029</v>
      </c>
      <c r="M1" s="842"/>
    </row>
    <row r="2" spans="1:15" s="843" customFormat="1" ht="27.75" x14ac:dyDescent="0.45">
      <c r="A2" s="408">
        <f>'Datos Básicos'!B8</f>
        <v>0</v>
      </c>
      <c r="B2" s="841"/>
      <c r="D2" s="844"/>
      <c r="E2" s="450"/>
      <c r="O2" s="845"/>
    </row>
    <row r="4" spans="1:15" ht="27.75" x14ac:dyDescent="0.45">
      <c r="A4" s="408" t="s">
        <v>262</v>
      </c>
      <c r="E4" s="409"/>
      <c r="F4" s="409"/>
    </row>
    <row r="5" spans="1:15" ht="15.75" thickBot="1" x14ac:dyDescent="0.3"/>
    <row r="6" spans="1:15" s="847" customFormat="1" ht="16.149999999999999" customHeight="1" thickBot="1" x14ac:dyDescent="0.25">
      <c r="A6" s="454" t="s">
        <v>936</v>
      </c>
      <c r="B6" s="846" t="str">
        <f>'Datos Gastos Fijos'!D7</f>
        <v>enero</v>
      </c>
      <c r="C6" s="840" t="str">
        <f>'Datos Gastos Fijos'!E7</f>
        <v>febrero</v>
      </c>
      <c r="D6" s="840" t="str">
        <f>'Datos Gastos Fijos'!F7</f>
        <v>marzo</v>
      </c>
      <c r="E6" s="840" t="str">
        <f>'Datos Gastos Fijos'!G7</f>
        <v>abril</v>
      </c>
      <c r="F6" s="840" t="str">
        <f>'Datos Gastos Fijos'!H7</f>
        <v>mayo</v>
      </c>
      <c r="G6" s="840" t="str">
        <f>'Datos Gastos Fijos'!I7</f>
        <v>junio</v>
      </c>
      <c r="H6" s="840" t="str">
        <f>'Datos Gastos Fijos'!J7</f>
        <v>julio</v>
      </c>
      <c r="I6" s="840" t="str">
        <f>'Datos Gastos Fijos'!K7</f>
        <v>agosto</v>
      </c>
      <c r="J6" s="840" t="str">
        <f>'Datos Gastos Fijos'!L7</f>
        <v>septiembre</v>
      </c>
      <c r="K6" s="840" t="str">
        <f>'Datos Gastos Fijos'!M7</f>
        <v>octubre</v>
      </c>
      <c r="L6" s="840" t="str">
        <f>'Datos Gastos Fijos'!N7</f>
        <v>noviembre</v>
      </c>
      <c r="M6" s="840" t="str">
        <f>'Datos Gastos Fijos'!O7</f>
        <v>diciembre</v>
      </c>
      <c r="N6" s="840" t="s">
        <v>860</v>
      </c>
    </row>
    <row r="7" spans="1:15" s="845" customFormat="1" ht="16.149999999999999" customHeight="1" x14ac:dyDescent="0.3">
      <c r="A7" s="848" t="str">
        <f>'Politicas Cobros y Pagos'!A40</f>
        <v/>
      </c>
      <c r="B7" s="988">
        <f>'Prev.Ventas 3'!B17*(1+Parametros!$E24)-'Prev.Ventas 3'!B17*retIRPF</f>
        <v>0</v>
      </c>
      <c r="C7" s="988">
        <f>'Prev.Ventas 3'!C17*(1+Parametros!$E24)-'Prev.Ventas 3'!C17*retIRPF</f>
        <v>0</v>
      </c>
      <c r="D7" s="988">
        <f>'Prev.Ventas 3'!D17*(1+Parametros!$E24)-'Prev.Ventas 3'!D17*retIRPF</f>
        <v>0</v>
      </c>
      <c r="E7" s="988">
        <f>'Prev.Ventas 3'!E17*(1+Parametros!$E24)-'Prev.Ventas 3'!E17*retIRPF</f>
        <v>0</v>
      </c>
      <c r="F7" s="988">
        <f>'Prev.Ventas 3'!F17*(1+Parametros!$E24)-'Prev.Ventas 3'!F17*retIRPF</f>
        <v>0</v>
      </c>
      <c r="G7" s="988">
        <f>'Prev.Ventas 3'!G17*(1+Parametros!$E24)-'Prev.Ventas 3'!G17*retIRPF</f>
        <v>0</v>
      </c>
      <c r="H7" s="988">
        <f>'Prev.Ventas 3'!H17*(1+Parametros!$E24)-'Prev.Ventas 3'!H17*retIRPF</f>
        <v>0</v>
      </c>
      <c r="I7" s="988">
        <f>'Prev.Ventas 3'!I17*(1+Parametros!$E24)-'Prev.Ventas 3'!I17*retIRPF</f>
        <v>0</v>
      </c>
      <c r="J7" s="988">
        <f>'Prev.Ventas 3'!J17*(1+Parametros!$E24)-'Prev.Ventas 3'!J17*retIRPF</f>
        <v>0</v>
      </c>
      <c r="K7" s="988">
        <f>'Prev.Ventas 3'!K17*(1+Parametros!$E24)-'Prev.Ventas 3'!K17*retIRPF</f>
        <v>0</v>
      </c>
      <c r="L7" s="988">
        <f>'Prev.Ventas 3'!L17*(1+Parametros!$E24)-'Prev.Ventas 3'!L17*retIRPF</f>
        <v>0</v>
      </c>
      <c r="M7" s="988">
        <f>'Prev.Ventas 3'!M17*(1+Parametros!$E24)-'Prev.Ventas 3'!M17*retIRPF</f>
        <v>0</v>
      </c>
      <c r="N7" s="989">
        <f t="shared" ref="N7:N14" si="0">SUM(B7:M7)</f>
        <v>0</v>
      </c>
    </row>
    <row r="8" spans="1:15" s="845" customFormat="1" ht="16.149999999999999" customHeight="1" x14ac:dyDescent="0.3">
      <c r="A8" s="849" t="str">
        <f>'Politicas Cobros y Pagos'!A41</f>
        <v/>
      </c>
      <c r="B8" s="988">
        <f>'Prev.Ventas 3'!B18*(1+Parametros!$E25)-'Prev.Ventas 3'!B18*retIRPF</f>
        <v>0</v>
      </c>
      <c r="C8" s="988">
        <f>'Prev.Ventas 3'!C18*(1+Parametros!$E25)-'Prev.Ventas 3'!C18*retIRPF</f>
        <v>0</v>
      </c>
      <c r="D8" s="988">
        <f>'Prev.Ventas 3'!D18*(1+Parametros!$E25)-'Prev.Ventas 3'!D18*retIRPF</f>
        <v>0</v>
      </c>
      <c r="E8" s="988">
        <f>'Prev.Ventas 3'!E18*(1+Parametros!$E25)-'Prev.Ventas 3'!E18*retIRPF</f>
        <v>0</v>
      </c>
      <c r="F8" s="988">
        <f>'Prev.Ventas 3'!F18*(1+Parametros!$E25)-'Prev.Ventas 3'!F18*retIRPF</f>
        <v>0</v>
      </c>
      <c r="G8" s="988">
        <f>'Prev.Ventas 3'!G18*(1+Parametros!$E25)-'Prev.Ventas 3'!G18*retIRPF</f>
        <v>0</v>
      </c>
      <c r="H8" s="988">
        <f>'Prev.Ventas 3'!H18*(1+Parametros!$E25)-'Prev.Ventas 3'!H18*retIRPF</f>
        <v>0</v>
      </c>
      <c r="I8" s="988">
        <f>'Prev.Ventas 3'!I18*(1+Parametros!$E25)-'Prev.Ventas 3'!I18*retIRPF</f>
        <v>0</v>
      </c>
      <c r="J8" s="988">
        <f>'Prev.Ventas 3'!J18*(1+Parametros!$E25)-'Prev.Ventas 3'!J18*retIRPF</f>
        <v>0</v>
      </c>
      <c r="K8" s="988">
        <f>'Prev.Ventas 3'!K18*(1+Parametros!$E25)-'Prev.Ventas 3'!K18*retIRPF</f>
        <v>0</v>
      </c>
      <c r="L8" s="988">
        <f>'Prev.Ventas 3'!L18*(1+Parametros!$E25)-'Prev.Ventas 3'!L18*retIRPF</f>
        <v>0</v>
      </c>
      <c r="M8" s="988">
        <f>'Prev.Ventas 3'!M18*(1+Parametros!$E25)-'Prev.Ventas 3'!M18*retIRPF</f>
        <v>0</v>
      </c>
      <c r="N8" s="989">
        <f t="shared" si="0"/>
        <v>0</v>
      </c>
    </row>
    <row r="9" spans="1:15" s="845" customFormat="1" ht="16.149999999999999" customHeight="1" x14ac:dyDescent="0.3">
      <c r="A9" s="849" t="str">
        <f>'Politicas Cobros y Pagos'!A42</f>
        <v/>
      </c>
      <c r="B9" s="988">
        <f>'Prev.Ventas 3'!B19*(1+Parametros!$E26)-'Prev.Ventas 3'!B19*retIRPF</f>
        <v>0</v>
      </c>
      <c r="C9" s="988">
        <f>'Prev.Ventas 3'!C19*(1+Parametros!$E26)-'Prev.Ventas 3'!C19*retIRPF</f>
        <v>0</v>
      </c>
      <c r="D9" s="988">
        <f>'Prev.Ventas 3'!D19*(1+Parametros!$E26)-'Prev.Ventas 3'!D19*retIRPF</f>
        <v>0</v>
      </c>
      <c r="E9" s="988">
        <f>'Prev.Ventas 3'!E19*(1+Parametros!$E26)-'Prev.Ventas 3'!E19*retIRPF</f>
        <v>0</v>
      </c>
      <c r="F9" s="988">
        <f>'Prev.Ventas 3'!F19*(1+Parametros!$E26)-'Prev.Ventas 3'!F19*retIRPF</f>
        <v>0</v>
      </c>
      <c r="G9" s="988">
        <f>'Prev.Ventas 3'!G19*(1+Parametros!$E26)-'Prev.Ventas 3'!G19*retIRPF</f>
        <v>0</v>
      </c>
      <c r="H9" s="988">
        <f>'Prev.Ventas 3'!H19*(1+Parametros!$E26)-'Prev.Ventas 3'!H19*retIRPF</f>
        <v>0</v>
      </c>
      <c r="I9" s="988">
        <f>'Prev.Ventas 3'!I19*(1+Parametros!$E26)-'Prev.Ventas 3'!I19*retIRPF</f>
        <v>0</v>
      </c>
      <c r="J9" s="988">
        <f>'Prev.Ventas 3'!J19*(1+Parametros!$E26)-'Prev.Ventas 3'!J19*retIRPF</f>
        <v>0</v>
      </c>
      <c r="K9" s="988">
        <f>'Prev.Ventas 3'!K19*(1+Parametros!$E26)-'Prev.Ventas 3'!K19*retIRPF</f>
        <v>0</v>
      </c>
      <c r="L9" s="988">
        <f>'Prev.Ventas 3'!L19*(1+Parametros!$E26)-'Prev.Ventas 3'!L19*retIRPF</f>
        <v>0</v>
      </c>
      <c r="M9" s="988">
        <f>'Prev.Ventas 3'!M19*(1+Parametros!$E26)-'Prev.Ventas 3'!M19*retIRPF</f>
        <v>0</v>
      </c>
      <c r="N9" s="989">
        <f t="shared" si="0"/>
        <v>0</v>
      </c>
    </row>
    <row r="10" spans="1:15" s="845" customFormat="1" ht="16.149999999999999" customHeight="1" x14ac:dyDescent="0.3">
      <c r="A10" s="849" t="str">
        <f>'Politicas Cobros y Pagos'!A43</f>
        <v/>
      </c>
      <c r="B10" s="988">
        <f>'Prev.Ventas 3'!B20*(1+Parametros!$E27)-'Prev.Ventas 3'!B20*retIRPF</f>
        <v>0</v>
      </c>
      <c r="C10" s="988">
        <f>'Prev.Ventas 3'!C20*(1+Parametros!$E27)-'Prev.Ventas 3'!C20*retIRPF</f>
        <v>0</v>
      </c>
      <c r="D10" s="988">
        <f>'Prev.Ventas 3'!D20*(1+Parametros!$E27)-'Prev.Ventas 3'!D20*retIRPF</f>
        <v>0</v>
      </c>
      <c r="E10" s="988">
        <f>'Prev.Ventas 3'!E20*(1+Parametros!$E27)-'Prev.Ventas 3'!E20*retIRPF</f>
        <v>0</v>
      </c>
      <c r="F10" s="988">
        <f>'Prev.Ventas 3'!F20*(1+Parametros!$E27)-'Prev.Ventas 3'!F20*retIRPF</f>
        <v>0</v>
      </c>
      <c r="G10" s="988">
        <f>'Prev.Ventas 3'!G20*(1+Parametros!$E27)-'Prev.Ventas 3'!G20*retIRPF</f>
        <v>0</v>
      </c>
      <c r="H10" s="988">
        <f>'Prev.Ventas 3'!H20*(1+Parametros!$E27)-'Prev.Ventas 3'!H20*retIRPF</f>
        <v>0</v>
      </c>
      <c r="I10" s="988">
        <f>'Prev.Ventas 3'!I20*(1+Parametros!$E27)-'Prev.Ventas 3'!I20*retIRPF</f>
        <v>0</v>
      </c>
      <c r="J10" s="988">
        <f>'Prev.Ventas 3'!J20*(1+Parametros!$E27)-'Prev.Ventas 3'!J20*retIRPF</f>
        <v>0</v>
      </c>
      <c r="K10" s="988">
        <f>'Prev.Ventas 3'!K20*(1+Parametros!$E27)-'Prev.Ventas 3'!K20*retIRPF</f>
        <v>0</v>
      </c>
      <c r="L10" s="988">
        <f>'Prev.Ventas 3'!L20*(1+Parametros!$E27)-'Prev.Ventas 3'!L20*retIRPF</f>
        <v>0</v>
      </c>
      <c r="M10" s="988">
        <f>'Prev.Ventas 3'!M20*(1+Parametros!$E27)-'Prev.Ventas 3'!M20*retIRPF</f>
        <v>0</v>
      </c>
      <c r="N10" s="989">
        <f t="shared" si="0"/>
        <v>0</v>
      </c>
    </row>
    <row r="11" spans="1:15" s="845" customFormat="1" ht="16.149999999999999" customHeight="1" x14ac:dyDescent="0.3">
      <c r="A11" s="849" t="str">
        <f>'Politicas Cobros y Pagos'!A44</f>
        <v/>
      </c>
      <c r="B11" s="988">
        <f>'Prev.Ventas 3'!B21*(1+Parametros!$E28)-'Prev.Ventas 3'!B21*retIRPF</f>
        <v>0</v>
      </c>
      <c r="C11" s="988">
        <f>'Prev.Ventas 3'!C21*(1+Parametros!$E28)-'Prev.Ventas 3'!C21*retIRPF</f>
        <v>0</v>
      </c>
      <c r="D11" s="988">
        <f>'Prev.Ventas 3'!D21*(1+Parametros!$E28)-'Prev.Ventas 3'!D21*retIRPF</f>
        <v>0</v>
      </c>
      <c r="E11" s="988">
        <f>'Prev.Ventas 3'!E21*(1+Parametros!$E28)-'Prev.Ventas 3'!E21*retIRPF</f>
        <v>0</v>
      </c>
      <c r="F11" s="988">
        <f>'Prev.Ventas 3'!F21*(1+Parametros!$E28)-'Prev.Ventas 3'!F21*retIRPF</f>
        <v>0</v>
      </c>
      <c r="G11" s="988">
        <f>'Prev.Ventas 3'!G21*(1+Parametros!$E28)-'Prev.Ventas 3'!G21*retIRPF</f>
        <v>0</v>
      </c>
      <c r="H11" s="988">
        <f>'Prev.Ventas 3'!H21*(1+Parametros!$E28)-'Prev.Ventas 3'!H21*retIRPF</f>
        <v>0</v>
      </c>
      <c r="I11" s="988">
        <f>'Prev.Ventas 3'!I21*(1+Parametros!$E28)-'Prev.Ventas 3'!I21*retIRPF</f>
        <v>0</v>
      </c>
      <c r="J11" s="988">
        <f>'Prev.Ventas 3'!J21*(1+Parametros!$E28)-'Prev.Ventas 3'!J21*retIRPF</f>
        <v>0</v>
      </c>
      <c r="K11" s="988">
        <f>'Prev.Ventas 3'!K21*(1+Parametros!$E28)-'Prev.Ventas 3'!K21*retIRPF</f>
        <v>0</v>
      </c>
      <c r="L11" s="988">
        <f>'Prev.Ventas 3'!L21*(1+Parametros!$E28)-'Prev.Ventas 3'!L21*retIRPF</f>
        <v>0</v>
      </c>
      <c r="M11" s="988">
        <f>'Prev.Ventas 3'!M21*(1+Parametros!$E28)-'Prev.Ventas 3'!M21*retIRPF</f>
        <v>0</v>
      </c>
      <c r="N11" s="989">
        <f t="shared" si="0"/>
        <v>0</v>
      </c>
    </row>
    <row r="12" spans="1:15" s="845" customFormat="1" ht="16.149999999999999" customHeight="1" x14ac:dyDescent="0.3">
      <c r="A12" s="849" t="str">
        <f>'Politicas Cobros y Pagos'!A45</f>
        <v/>
      </c>
      <c r="B12" s="988">
        <f>'Prev.Ventas 3'!B22*(1+Parametros!$E29)-'Prev.Ventas 3'!B22*retIRPF</f>
        <v>0</v>
      </c>
      <c r="C12" s="988">
        <f>'Prev.Ventas 3'!C22*(1+Parametros!$E29)-'Prev.Ventas 3'!C22*retIRPF</f>
        <v>0</v>
      </c>
      <c r="D12" s="988">
        <f>'Prev.Ventas 3'!D22*(1+Parametros!$E29)-'Prev.Ventas 3'!D22*retIRPF</f>
        <v>0</v>
      </c>
      <c r="E12" s="988">
        <f>'Prev.Ventas 3'!E22*(1+Parametros!$E29)-'Prev.Ventas 3'!E22*retIRPF</f>
        <v>0</v>
      </c>
      <c r="F12" s="988">
        <f>'Prev.Ventas 3'!F22*(1+Parametros!$E29)-'Prev.Ventas 3'!F22*retIRPF</f>
        <v>0</v>
      </c>
      <c r="G12" s="988">
        <f>'Prev.Ventas 3'!G22*(1+Parametros!$E29)-'Prev.Ventas 3'!G22*retIRPF</f>
        <v>0</v>
      </c>
      <c r="H12" s="988">
        <f>'Prev.Ventas 3'!H22*(1+Parametros!$E29)-'Prev.Ventas 3'!H22*retIRPF</f>
        <v>0</v>
      </c>
      <c r="I12" s="988">
        <f>'Prev.Ventas 3'!I22*(1+Parametros!$E29)-'Prev.Ventas 3'!I22*retIRPF</f>
        <v>0</v>
      </c>
      <c r="J12" s="988">
        <f>'Prev.Ventas 3'!J22*(1+Parametros!$E29)-'Prev.Ventas 3'!J22*retIRPF</f>
        <v>0</v>
      </c>
      <c r="K12" s="988">
        <f>'Prev.Ventas 3'!K22*(1+Parametros!$E29)-'Prev.Ventas 3'!K22*retIRPF</f>
        <v>0</v>
      </c>
      <c r="L12" s="988">
        <f>'Prev.Ventas 3'!L22*(1+Parametros!$E29)-'Prev.Ventas 3'!L22*retIRPF</f>
        <v>0</v>
      </c>
      <c r="M12" s="988">
        <f>'Prev.Ventas 3'!M22*(1+Parametros!$E29)-'Prev.Ventas 3'!M22*retIRPF</f>
        <v>0</v>
      </c>
      <c r="N12" s="989">
        <f t="shared" si="0"/>
        <v>0</v>
      </c>
    </row>
    <row r="13" spans="1:15" s="845" customFormat="1" ht="16.149999999999999" customHeight="1" x14ac:dyDescent="0.3">
      <c r="A13" s="849" t="str">
        <f>'Politicas Cobros y Pagos'!A46</f>
        <v/>
      </c>
      <c r="B13" s="988">
        <f>'Prev.Ventas 3'!B23*(1+Parametros!$E30)-'Prev.Ventas 3'!B23*retIRPF</f>
        <v>0</v>
      </c>
      <c r="C13" s="988">
        <f>'Prev.Ventas 3'!C23*(1+Parametros!$E30)-'Prev.Ventas 3'!C23*retIRPF</f>
        <v>0</v>
      </c>
      <c r="D13" s="988">
        <f>'Prev.Ventas 3'!D23*(1+Parametros!$E30)-'Prev.Ventas 3'!D23*retIRPF</f>
        <v>0</v>
      </c>
      <c r="E13" s="988">
        <f>'Prev.Ventas 3'!E23*(1+Parametros!$E30)-'Prev.Ventas 3'!E23*retIRPF</f>
        <v>0</v>
      </c>
      <c r="F13" s="988">
        <f>'Prev.Ventas 3'!F23*(1+Parametros!$E30)-'Prev.Ventas 3'!F23*retIRPF</f>
        <v>0</v>
      </c>
      <c r="G13" s="988">
        <f>'Prev.Ventas 3'!G23*(1+Parametros!$E30)-'Prev.Ventas 3'!G23*retIRPF</f>
        <v>0</v>
      </c>
      <c r="H13" s="988">
        <f>'Prev.Ventas 3'!H23*(1+Parametros!$E30)-'Prev.Ventas 3'!H23*retIRPF</f>
        <v>0</v>
      </c>
      <c r="I13" s="988">
        <f>'Prev.Ventas 3'!I23*(1+Parametros!$E30)-'Prev.Ventas 3'!I23*retIRPF</f>
        <v>0</v>
      </c>
      <c r="J13" s="988">
        <f>'Prev.Ventas 3'!J23*(1+Parametros!$E30)-'Prev.Ventas 3'!J23*retIRPF</f>
        <v>0</v>
      </c>
      <c r="K13" s="988">
        <f>'Prev.Ventas 3'!K23*(1+Parametros!$E30)-'Prev.Ventas 3'!K23*retIRPF</f>
        <v>0</v>
      </c>
      <c r="L13" s="988">
        <f>'Prev.Ventas 3'!L23*(1+Parametros!$E30)-'Prev.Ventas 3'!L23*retIRPF</f>
        <v>0</v>
      </c>
      <c r="M13" s="988">
        <f>'Prev.Ventas 3'!M23*(1+Parametros!$E30)-'Prev.Ventas 3'!M23*retIRPF</f>
        <v>0</v>
      </c>
      <c r="N13" s="989">
        <f t="shared" si="0"/>
        <v>0</v>
      </c>
    </row>
    <row r="14" spans="1:15" s="845" customFormat="1" ht="16.149999999999999" customHeight="1" thickBot="1" x14ac:dyDescent="0.35">
      <c r="A14" s="850" t="str">
        <f>'Politicas Cobros y Pagos'!A47</f>
        <v/>
      </c>
      <c r="B14" s="990">
        <f>'Prev.Ventas 3'!B24*(1+Parametros!$E31)-'Prev.Ventas 3'!B24*retIRPF</f>
        <v>0</v>
      </c>
      <c r="C14" s="990">
        <f>'Prev.Ventas 3'!C24*(1+Parametros!$E31)-'Prev.Ventas 3'!C24*retIRPF</f>
        <v>0</v>
      </c>
      <c r="D14" s="990">
        <f>'Prev.Ventas 3'!D24*(1+Parametros!$E31)-'Prev.Ventas 3'!D24*retIRPF</f>
        <v>0</v>
      </c>
      <c r="E14" s="990">
        <f>'Prev.Ventas 3'!E24*(1+Parametros!$E31)-'Prev.Ventas 3'!E24*retIRPF</f>
        <v>0</v>
      </c>
      <c r="F14" s="990">
        <f>'Prev.Ventas 3'!F24*(1+Parametros!$E31)-'Prev.Ventas 3'!F24*retIRPF</f>
        <v>0</v>
      </c>
      <c r="G14" s="990">
        <f>'Prev.Ventas 3'!G24*(1+Parametros!$E31)-'Prev.Ventas 3'!G24*retIRPF</f>
        <v>0</v>
      </c>
      <c r="H14" s="990">
        <f>'Prev.Ventas 3'!H24*(1+Parametros!$E31)-'Prev.Ventas 3'!H24*retIRPF</f>
        <v>0</v>
      </c>
      <c r="I14" s="990">
        <f>'Prev.Ventas 3'!I24*(1+Parametros!$E31)-'Prev.Ventas 3'!I24*retIRPF</f>
        <v>0</v>
      </c>
      <c r="J14" s="990">
        <f>'Prev.Ventas 3'!J24*(1+Parametros!$E31)-'Prev.Ventas 3'!J24*retIRPF</f>
        <v>0</v>
      </c>
      <c r="K14" s="990">
        <f>'Prev.Ventas 3'!K24*(1+Parametros!$E31)-'Prev.Ventas 3'!K24*retIRPF</f>
        <v>0</v>
      </c>
      <c r="L14" s="990">
        <f>'Prev.Ventas 3'!L24*(1+Parametros!$E31)-'Prev.Ventas 3'!L24*retIRPF</f>
        <v>0</v>
      </c>
      <c r="M14" s="990">
        <f>'Prev.Ventas 3'!M24*(1+Parametros!$E31)-'Prev.Ventas 3'!M24*retIRPF</f>
        <v>0</v>
      </c>
      <c r="N14" s="989">
        <f t="shared" si="0"/>
        <v>0</v>
      </c>
    </row>
    <row r="15" spans="1:15" s="845" customFormat="1" ht="16.149999999999999" customHeight="1" thickBot="1" x14ac:dyDescent="0.35">
      <c r="A15" s="410" t="s">
        <v>860</v>
      </c>
      <c r="B15" s="851">
        <f t="shared" ref="B15:N15" si="1">SUM(B7:B14)</f>
        <v>0</v>
      </c>
      <c r="C15" s="851">
        <f t="shared" si="1"/>
        <v>0</v>
      </c>
      <c r="D15" s="851">
        <f t="shared" si="1"/>
        <v>0</v>
      </c>
      <c r="E15" s="851">
        <f t="shared" si="1"/>
        <v>0</v>
      </c>
      <c r="F15" s="851">
        <f t="shared" si="1"/>
        <v>0</v>
      </c>
      <c r="G15" s="851">
        <f t="shared" si="1"/>
        <v>0</v>
      </c>
      <c r="H15" s="851">
        <f t="shared" si="1"/>
        <v>0</v>
      </c>
      <c r="I15" s="851">
        <f t="shared" si="1"/>
        <v>0</v>
      </c>
      <c r="J15" s="851">
        <f t="shared" si="1"/>
        <v>0</v>
      </c>
      <c r="K15" s="851">
        <f t="shared" si="1"/>
        <v>0</v>
      </c>
      <c r="L15" s="851">
        <f t="shared" si="1"/>
        <v>0</v>
      </c>
      <c r="M15" s="851">
        <f t="shared" si="1"/>
        <v>0</v>
      </c>
      <c r="N15" s="851">
        <f t="shared" si="1"/>
        <v>0</v>
      </c>
    </row>
    <row r="16" spans="1:15" s="845" customFormat="1" ht="16.149999999999999" customHeight="1" x14ac:dyDescent="0.3">
      <c r="A16" s="442"/>
    </row>
    <row r="17" spans="1:19" s="845" customFormat="1" ht="27.75" x14ac:dyDescent="0.45">
      <c r="A17" s="408" t="s">
        <v>988</v>
      </c>
      <c r="B17" s="847"/>
      <c r="E17" s="409"/>
      <c r="F17" s="409"/>
    </row>
    <row r="18" spans="1:19" ht="16.5" thickBot="1" x14ac:dyDescent="0.3">
      <c r="A18" s="446"/>
      <c r="B18" s="446"/>
      <c r="O18" s="446"/>
      <c r="P18" s="852" t="s">
        <v>160</v>
      </c>
      <c r="Q18" s="867">
        <f>G1+1</f>
        <v>2030</v>
      </c>
    </row>
    <row r="19" spans="1:19" s="847" customFormat="1" ht="28.5" customHeight="1" thickBot="1" x14ac:dyDescent="0.25">
      <c r="A19" s="454" t="s">
        <v>937</v>
      </c>
      <c r="B19" s="854" t="str">
        <f t="shared" ref="B19:M19" si="2">CONCATENATE(B6," ","
",
$G$1)</f>
        <v>enero 
2029</v>
      </c>
      <c r="C19" s="854" t="str">
        <f t="shared" si="2"/>
        <v>febrero 
2029</v>
      </c>
      <c r="D19" s="854" t="str">
        <f t="shared" si="2"/>
        <v>marzo 
2029</v>
      </c>
      <c r="E19" s="854" t="str">
        <f t="shared" si="2"/>
        <v>abril 
2029</v>
      </c>
      <c r="F19" s="854" t="str">
        <f t="shared" si="2"/>
        <v>mayo 
2029</v>
      </c>
      <c r="G19" s="854" t="str">
        <f t="shared" si="2"/>
        <v>junio 
2029</v>
      </c>
      <c r="H19" s="854" t="str">
        <f t="shared" si="2"/>
        <v>julio 
2029</v>
      </c>
      <c r="I19" s="854" t="str">
        <f t="shared" si="2"/>
        <v>agosto 
2029</v>
      </c>
      <c r="J19" s="854" t="str">
        <f t="shared" si="2"/>
        <v>septiembre 
2029</v>
      </c>
      <c r="K19" s="854" t="str">
        <f t="shared" si="2"/>
        <v>octubre 
2029</v>
      </c>
      <c r="L19" s="854" t="str">
        <f t="shared" si="2"/>
        <v>noviembre 
2029</v>
      </c>
      <c r="M19" s="854" t="str">
        <f t="shared" si="2"/>
        <v>diciembre 
2029</v>
      </c>
      <c r="N19" s="854" t="str">
        <f t="shared" ref="N19:S19" si="3">CONCATENATE(B6," ","
",
$Q$18)</f>
        <v>enero 
2030</v>
      </c>
      <c r="O19" s="854" t="str">
        <f t="shared" si="3"/>
        <v>febrero 
2030</v>
      </c>
      <c r="P19" s="854" t="str">
        <f t="shared" si="3"/>
        <v>marzo 
2030</v>
      </c>
      <c r="Q19" s="854" t="str">
        <f t="shared" si="3"/>
        <v>abril 
2030</v>
      </c>
      <c r="R19" s="854" t="str">
        <f t="shared" si="3"/>
        <v>mayo 
2030</v>
      </c>
      <c r="S19" s="854" t="str">
        <f t="shared" si="3"/>
        <v>junio 
2030</v>
      </c>
    </row>
    <row r="20" spans="1:19" s="843" customFormat="1" ht="16.149999999999999" customHeight="1" x14ac:dyDescent="0.25">
      <c r="A20" s="855" t="s">
        <v>938</v>
      </c>
      <c r="B20" s="988">
        <f>SUMPRODUCT('Politicas Cobros y Pagos'!$B$40:$B$47,B7:B14)</f>
        <v>0</v>
      </c>
      <c r="C20" s="988">
        <f>SUMPRODUCT('Politicas Cobros y Pagos'!$B$40:$B$47,C7:C14)</f>
        <v>0</v>
      </c>
      <c r="D20" s="988">
        <f>SUMPRODUCT('Politicas Cobros y Pagos'!$B$40:$B$47,D7:D14)</f>
        <v>0</v>
      </c>
      <c r="E20" s="988">
        <f>SUMPRODUCT('Politicas Cobros y Pagos'!$B$40:$B$47,E7:E14)</f>
        <v>0</v>
      </c>
      <c r="F20" s="988">
        <f>SUMPRODUCT('Politicas Cobros y Pagos'!$B$40:$B$47,F7:F14)</f>
        <v>0</v>
      </c>
      <c r="G20" s="988">
        <f>SUMPRODUCT('Politicas Cobros y Pagos'!$B$40:$B$47,G7:G14)</f>
        <v>0</v>
      </c>
      <c r="H20" s="988">
        <f>SUMPRODUCT('Politicas Cobros y Pagos'!$B$40:$B$47,H7:H14)</f>
        <v>0</v>
      </c>
      <c r="I20" s="988">
        <f>SUMPRODUCT('Politicas Cobros y Pagos'!$B$40:$B$47,I7:I14)</f>
        <v>0</v>
      </c>
      <c r="J20" s="988">
        <f>SUMPRODUCT('Politicas Cobros y Pagos'!$B$40:$B$47,J7:J14)</f>
        <v>0</v>
      </c>
      <c r="K20" s="988">
        <f>SUMPRODUCT('Politicas Cobros y Pagos'!$B$40:$B$47,K7:K14)</f>
        <v>0</v>
      </c>
      <c r="L20" s="988">
        <f>SUMPRODUCT('Politicas Cobros y Pagos'!$B$40:$B$47,L7:L14)</f>
        <v>0</v>
      </c>
      <c r="M20" s="988">
        <f>SUMPRODUCT('Politicas Cobros y Pagos'!$B$40:$B$47,M7:M14)</f>
        <v>0</v>
      </c>
      <c r="N20" s="988"/>
      <c r="O20" s="988"/>
      <c r="P20" s="988"/>
      <c r="Q20" s="988"/>
      <c r="R20" s="988"/>
      <c r="S20" s="988"/>
    </row>
    <row r="21" spans="1:19" s="845" customFormat="1" ht="16.149999999999999" customHeight="1" x14ac:dyDescent="0.25">
      <c r="A21" s="856">
        <v>30</v>
      </c>
      <c r="B21" s="991">
        <f>'Cobros y pagos 2'!N21</f>
        <v>0</v>
      </c>
      <c r="C21" s="988">
        <f>SUMPRODUCT('Politicas Cobros y Pagos'!$C$40:$C$47,B$7:B$14)</f>
        <v>0</v>
      </c>
      <c r="D21" s="988">
        <f>SUMPRODUCT('Politicas Cobros y Pagos'!$C$40:$C$47,C$7:C$14)</f>
        <v>0</v>
      </c>
      <c r="E21" s="988">
        <f>SUMPRODUCT('Politicas Cobros y Pagos'!$C$40:$C$47,D$7:D$14)</f>
        <v>0</v>
      </c>
      <c r="F21" s="988">
        <f>SUMPRODUCT('Politicas Cobros y Pagos'!$C$40:$C$47,E$7:E$14)</f>
        <v>0</v>
      </c>
      <c r="G21" s="988">
        <f>SUMPRODUCT('Politicas Cobros y Pagos'!$C$40:$C$47,F$7:F$14)</f>
        <v>0</v>
      </c>
      <c r="H21" s="988">
        <f>SUMPRODUCT('Politicas Cobros y Pagos'!$C$40:$C$47,G$7:G$14)</f>
        <v>0</v>
      </c>
      <c r="I21" s="988">
        <f>SUMPRODUCT('Politicas Cobros y Pagos'!$C$40:$C$47,H$7:H$14)</f>
        <v>0</v>
      </c>
      <c r="J21" s="988">
        <f>SUMPRODUCT('Politicas Cobros y Pagos'!$C$40:$C$47,I$7:I$14)</f>
        <v>0</v>
      </c>
      <c r="K21" s="988">
        <f>SUMPRODUCT('Politicas Cobros y Pagos'!$C$40:$C$47,J$7:J$14)</f>
        <v>0</v>
      </c>
      <c r="L21" s="988">
        <f>SUMPRODUCT('Politicas Cobros y Pagos'!$C$40:$C$47,K$7:K$14)</f>
        <v>0</v>
      </c>
      <c r="M21" s="988">
        <f>SUMPRODUCT('Politicas Cobros y Pagos'!$C$40:$C$47,L$7:L$14)</f>
        <v>0</v>
      </c>
      <c r="N21" s="988">
        <f>SUMPRODUCT('Politicas Cobros y Pagos'!$C$40:$C$47,M$7:M$14)</f>
        <v>0</v>
      </c>
      <c r="O21" s="988"/>
      <c r="P21" s="988"/>
      <c r="Q21" s="988"/>
      <c r="R21" s="988"/>
      <c r="S21" s="988"/>
    </row>
    <row r="22" spans="1:19" s="843" customFormat="1" ht="16.149999999999999" customHeight="1" x14ac:dyDescent="0.25">
      <c r="A22" s="856">
        <v>60</v>
      </c>
      <c r="B22" s="991">
        <f>'Cobros y pagos 2'!N22</f>
        <v>0</v>
      </c>
      <c r="C22" s="991">
        <f>'Cobros y pagos 2'!O22</f>
        <v>0</v>
      </c>
      <c r="D22" s="988">
        <f>SUMPRODUCT('Politicas Cobros y Pagos'!$D$40:$D$47,B$7:B$14)</f>
        <v>0</v>
      </c>
      <c r="E22" s="988">
        <f>SUMPRODUCT('Politicas Cobros y Pagos'!$D$40:$D$47,C$7:C$14)</f>
        <v>0</v>
      </c>
      <c r="F22" s="988">
        <f>SUMPRODUCT('Politicas Cobros y Pagos'!$D$40:$D$47,D$7:D$14)</f>
        <v>0</v>
      </c>
      <c r="G22" s="988">
        <f>SUMPRODUCT('Politicas Cobros y Pagos'!$D$40:$D$47,E$7:E$14)</f>
        <v>0</v>
      </c>
      <c r="H22" s="988">
        <f>SUMPRODUCT('Politicas Cobros y Pagos'!$D$40:$D$47,F$7:F$14)</f>
        <v>0</v>
      </c>
      <c r="I22" s="988">
        <f>SUMPRODUCT('Politicas Cobros y Pagos'!$D$40:$D$47,G$7:G$14)</f>
        <v>0</v>
      </c>
      <c r="J22" s="988">
        <f>SUMPRODUCT('Politicas Cobros y Pagos'!$D$40:$D$47,H$7:H$14)</f>
        <v>0</v>
      </c>
      <c r="K22" s="988">
        <f>SUMPRODUCT('Politicas Cobros y Pagos'!$D$40:$D$47,I$7:I$14)</f>
        <v>0</v>
      </c>
      <c r="L22" s="988">
        <f>SUMPRODUCT('Politicas Cobros y Pagos'!$D$40:$D$47,J$7:J$14)</f>
        <v>0</v>
      </c>
      <c r="M22" s="988">
        <f>SUMPRODUCT('Politicas Cobros y Pagos'!$D$40:$D$47,K$7:K$14)</f>
        <v>0</v>
      </c>
      <c r="N22" s="988">
        <f>SUMPRODUCT('Politicas Cobros y Pagos'!$D$40:$D$47,L$7:L$14)</f>
        <v>0</v>
      </c>
      <c r="O22" s="988">
        <f>SUMPRODUCT('Politicas Cobros y Pagos'!$D$40:$D$47,M$7:M$14)</f>
        <v>0</v>
      </c>
      <c r="P22" s="988"/>
      <c r="Q22" s="988"/>
      <c r="R22" s="988"/>
      <c r="S22" s="988"/>
    </row>
    <row r="23" spans="1:19" s="843" customFormat="1" ht="16.149999999999999" customHeight="1" x14ac:dyDescent="0.25">
      <c r="A23" s="856">
        <v>90</v>
      </c>
      <c r="B23" s="991">
        <f>'Cobros y pagos 2'!N23</f>
        <v>0</v>
      </c>
      <c r="C23" s="991">
        <f>'Cobros y pagos 2'!O23</f>
        <v>0</v>
      </c>
      <c r="D23" s="991">
        <f>'Cobros y pagos 2'!P23</f>
        <v>0</v>
      </c>
      <c r="E23" s="988">
        <f>SUMPRODUCT('Politicas Cobros y Pagos'!$E$40:$E$47,B$7:B$14)</f>
        <v>0</v>
      </c>
      <c r="F23" s="988">
        <f>SUMPRODUCT('Politicas Cobros y Pagos'!$E$40:$E$47,C$7:C$14)</f>
        <v>0</v>
      </c>
      <c r="G23" s="988">
        <f>SUMPRODUCT('Politicas Cobros y Pagos'!$E$40:$E$47,D$7:D$14)</f>
        <v>0</v>
      </c>
      <c r="H23" s="988">
        <f>SUMPRODUCT('Politicas Cobros y Pagos'!$E$40:$E$47,E$7:E$14)</f>
        <v>0</v>
      </c>
      <c r="I23" s="988">
        <f>SUMPRODUCT('Politicas Cobros y Pagos'!$E$40:$E$47,F$7:F$14)</f>
        <v>0</v>
      </c>
      <c r="J23" s="988">
        <f>SUMPRODUCT('Politicas Cobros y Pagos'!$E$40:$E$47,G$7:G$14)</f>
        <v>0</v>
      </c>
      <c r="K23" s="988">
        <f>SUMPRODUCT('Politicas Cobros y Pagos'!$E$40:$E$47,H$7:H$14)</f>
        <v>0</v>
      </c>
      <c r="L23" s="988">
        <f>SUMPRODUCT('Politicas Cobros y Pagos'!$E$40:$E$47,I$7:I$14)</f>
        <v>0</v>
      </c>
      <c r="M23" s="988">
        <f>SUMPRODUCT('Politicas Cobros y Pagos'!$E$40:$E$47,J$7:J$14)</f>
        <v>0</v>
      </c>
      <c r="N23" s="988">
        <f>SUMPRODUCT('Politicas Cobros y Pagos'!$E$40:$E$47,K$7:K$14)</f>
        <v>0</v>
      </c>
      <c r="O23" s="988">
        <f>SUMPRODUCT('Politicas Cobros y Pagos'!$E$40:$E$47,L$7:L$14)</f>
        <v>0</v>
      </c>
      <c r="P23" s="988">
        <f>SUMPRODUCT('Politicas Cobros y Pagos'!$E$40:$E$47,M$7:M$14)</f>
        <v>0</v>
      </c>
      <c r="Q23" s="988"/>
      <c r="R23" s="988"/>
      <c r="S23" s="988"/>
    </row>
    <row r="24" spans="1:19" s="843" customFormat="1" ht="16.149999999999999" customHeight="1" x14ac:dyDescent="0.25">
      <c r="A24" s="856">
        <v>120</v>
      </c>
      <c r="B24" s="991">
        <f>'Cobros y pagos 2'!N24</f>
        <v>0</v>
      </c>
      <c r="C24" s="991">
        <f>'Cobros y pagos 2'!O24</f>
        <v>0</v>
      </c>
      <c r="D24" s="991">
        <f>'Cobros y pagos 2'!P24</f>
        <v>0</v>
      </c>
      <c r="E24" s="991">
        <f>'Cobros y pagos 2'!Q24</f>
        <v>0</v>
      </c>
      <c r="F24" s="988">
        <f>SUMPRODUCT('Politicas Cobros y Pagos'!$F$40:$F$47,B$7:B$14)</f>
        <v>0</v>
      </c>
      <c r="G24" s="988">
        <f>SUMPRODUCT('Politicas Cobros y Pagos'!$F$40:$F$47,C$7:C$14)</f>
        <v>0</v>
      </c>
      <c r="H24" s="988">
        <f>SUMPRODUCT('Politicas Cobros y Pagos'!$F$40:$F$47,D$7:D$14)</f>
        <v>0</v>
      </c>
      <c r="I24" s="988">
        <f>SUMPRODUCT('Politicas Cobros y Pagos'!$F$40:$F$47,E$7:E$14)</f>
        <v>0</v>
      </c>
      <c r="J24" s="988">
        <f>SUMPRODUCT('Politicas Cobros y Pagos'!$F$40:$F$47,F$7:F$14)</f>
        <v>0</v>
      </c>
      <c r="K24" s="988">
        <f>SUMPRODUCT('Politicas Cobros y Pagos'!$F$40:$F$47,G$7:G$14)</f>
        <v>0</v>
      </c>
      <c r="L24" s="988">
        <f>SUMPRODUCT('Politicas Cobros y Pagos'!$F$40:$F$47,H$7:H$14)</f>
        <v>0</v>
      </c>
      <c r="M24" s="988">
        <f>SUMPRODUCT('Politicas Cobros y Pagos'!$F$40:$F$47,I$7:I$14)</f>
        <v>0</v>
      </c>
      <c r="N24" s="988">
        <f>SUMPRODUCT('Politicas Cobros y Pagos'!$F$40:$F$47,J$7:J$14)</f>
        <v>0</v>
      </c>
      <c r="O24" s="988">
        <f>SUMPRODUCT('Politicas Cobros y Pagos'!$F$40:$F$47,K$7:K$14)</f>
        <v>0</v>
      </c>
      <c r="P24" s="988">
        <f>SUMPRODUCT('Politicas Cobros y Pagos'!$F$40:$F$47,L$7:L$14)</f>
        <v>0</v>
      </c>
      <c r="Q24" s="988">
        <f>SUMPRODUCT('Politicas Cobros y Pagos'!$F$40:$F$47,M$7:M$14)</f>
        <v>0</v>
      </c>
      <c r="R24" s="988"/>
      <c r="S24" s="988"/>
    </row>
    <row r="25" spans="1:19" s="843" customFormat="1" ht="16.149999999999999" customHeight="1" x14ac:dyDescent="0.25">
      <c r="A25" s="856">
        <v>150</v>
      </c>
      <c r="B25" s="991">
        <f>'Cobros y pagos 2'!N25</f>
        <v>0</v>
      </c>
      <c r="C25" s="991">
        <f>'Cobros y pagos 2'!O25</f>
        <v>0</v>
      </c>
      <c r="D25" s="991">
        <f>'Cobros y pagos 2'!P25</f>
        <v>0</v>
      </c>
      <c r="E25" s="991">
        <f>'Cobros y pagos 2'!Q25</f>
        <v>0</v>
      </c>
      <c r="F25" s="991">
        <f>'Cobros y pagos 2'!R25</f>
        <v>0</v>
      </c>
      <c r="G25" s="988">
        <f>SUMPRODUCT('Politicas Cobros y Pagos'!$G$40:$G$47,B$7:B$14)</f>
        <v>0</v>
      </c>
      <c r="H25" s="988">
        <f>SUMPRODUCT('Politicas Cobros y Pagos'!$G$40:$G$47,C$7:C$14)</f>
        <v>0</v>
      </c>
      <c r="I25" s="988">
        <f>SUMPRODUCT('Politicas Cobros y Pagos'!$G$40:$G$47,D$7:D$14)</f>
        <v>0</v>
      </c>
      <c r="J25" s="988">
        <f>SUMPRODUCT('Politicas Cobros y Pagos'!$G$40:$G$47,E$7:E$14)</f>
        <v>0</v>
      </c>
      <c r="K25" s="988">
        <f>SUMPRODUCT('Politicas Cobros y Pagos'!$G$40:$G$47,F$7:F$14)</f>
        <v>0</v>
      </c>
      <c r="L25" s="988">
        <f>SUMPRODUCT('Politicas Cobros y Pagos'!$G$40:$G$47,G$7:G$14)</f>
        <v>0</v>
      </c>
      <c r="M25" s="988">
        <f>SUMPRODUCT('Politicas Cobros y Pagos'!$G$40:$G$47,H$7:H$14)</f>
        <v>0</v>
      </c>
      <c r="N25" s="988">
        <f>SUMPRODUCT('Politicas Cobros y Pagos'!$G$40:$G$47,I$7:I$14)</f>
        <v>0</v>
      </c>
      <c r="O25" s="988">
        <f>SUMPRODUCT('Politicas Cobros y Pagos'!$G$40:$G$47,J$7:J$14)</f>
        <v>0</v>
      </c>
      <c r="P25" s="988">
        <f>SUMPRODUCT('Politicas Cobros y Pagos'!$G$40:$G$47,K$7:K$14)</f>
        <v>0</v>
      </c>
      <c r="Q25" s="988">
        <f>SUMPRODUCT('Politicas Cobros y Pagos'!$G$40:$G$47,L$7:L$14)</f>
        <v>0</v>
      </c>
      <c r="R25" s="988">
        <f>SUMPRODUCT('Politicas Cobros y Pagos'!$G$40:$G$47,M$7:M$14)</f>
        <v>0</v>
      </c>
      <c r="S25" s="988"/>
    </row>
    <row r="26" spans="1:19" s="843" customFormat="1" ht="16.149999999999999" customHeight="1" x14ac:dyDescent="0.25">
      <c r="A26" s="856">
        <v>180</v>
      </c>
      <c r="B26" s="991">
        <f>'Cobros y pagos 2'!N26</f>
        <v>0</v>
      </c>
      <c r="C26" s="991">
        <f>'Cobros y pagos 2'!O26</f>
        <v>0</v>
      </c>
      <c r="D26" s="991">
        <f>'Cobros y pagos 2'!P26</f>
        <v>0</v>
      </c>
      <c r="E26" s="991">
        <f>'Cobros y pagos 2'!Q26</f>
        <v>0</v>
      </c>
      <c r="F26" s="991">
        <f>'Cobros y pagos 2'!R26</f>
        <v>0</v>
      </c>
      <c r="G26" s="991">
        <f>'Cobros y pagos 2'!S26</f>
        <v>0</v>
      </c>
      <c r="H26" s="988">
        <f>SUMPRODUCT('Politicas Cobros y Pagos'!$H$40:$H$47,B$7:B$14)</f>
        <v>0</v>
      </c>
      <c r="I26" s="988">
        <f>SUMPRODUCT('Politicas Cobros y Pagos'!$H$40:$H$47,C$7:C$14)</f>
        <v>0</v>
      </c>
      <c r="J26" s="988">
        <f>SUMPRODUCT('Politicas Cobros y Pagos'!$H$40:$H$47,D$7:D$14)</f>
        <v>0</v>
      </c>
      <c r="K26" s="988">
        <f>SUMPRODUCT('Politicas Cobros y Pagos'!$H$40:$H$47,E$7:E$14)</f>
        <v>0</v>
      </c>
      <c r="L26" s="988">
        <f>SUMPRODUCT('Politicas Cobros y Pagos'!$H$40:$H$47,F$7:F$14)</f>
        <v>0</v>
      </c>
      <c r="M26" s="988">
        <f>SUMPRODUCT('Politicas Cobros y Pagos'!$H$40:$H$47,G$7:G$14)</f>
        <v>0</v>
      </c>
      <c r="N26" s="988">
        <f>SUMPRODUCT('Politicas Cobros y Pagos'!$H$40:$H$47,H$7:H$14)</f>
        <v>0</v>
      </c>
      <c r="O26" s="988">
        <f>SUMPRODUCT('Politicas Cobros y Pagos'!$H$40:$H$47,I$7:I$14)</f>
        <v>0</v>
      </c>
      <c r="P26" s="988">
        <f>SUMPRODUCT('Politicas Cobros y Pagos'!$H$40:$H$47,J$7:J$14)</f>
        <v>0</v>
      </c>
      <c r="Q26" s="988">
        <f>SUMPRODUCT('Politicas Cobros y Pagos'!$H$40:$H$47,K$7:K$14)</f>
        <v>0</v>
      </c>
      <c r="R26" s="988">
        <f>SUMPRODUCT('Politicas Cobros y Pagos'!$H$40:$H$47,L$7:L$14)</f>
        <v>0</v>
      </c>
      <c r="S26" s="988">
        <f>SUMPRODUCT('Politicas Cobros y Pagos'!$H$40:$H$47,M$7:M$14)</f>
        <v>0</v>
      </c>
    </row>
    <row r="27" spans="1:19" s="845" customFormat="1" ht="16.149999999999999" customHeight="1" thickBot="1" x14ac:dyDescent="0.25">
      <c r="A27" s="857" t="s">
        <v>860</v>
      </c>
      <c r="B27" s="858">
        <f t="shared" ref="B27:S27" si="4">SUM(B20:B26)</f>
        <v>0</v>
      </c>
      <c r="C27" s="858">
        <f t="shared" si="4"/>
        <v>0</v>
      </c>
      <c r="D27" s="858">
        <f t="shared" si="4"/>
        <v>0</v>
      </c>
      <c r="E27" s="858">
        <f t="shared" si="4"/>
        <v>0</v>
      </c>
      <c r="F27" s="858">
        <f t="shared" si="4"/>
        <v>0</v>
      </c>
      <c r="G27" s="858">
        <f t="shared" si="4"/>
        <v>0</v>
      </c>
      <c r="H27" s="858">
        <f t="shared" si="4"/>
        <v>0</v>
      </c>
      <c r="I27" s="858">
        <f t="shared" si="4"/>
        <v>0</v>
      </c>
      <c r="J27" s="858">
        <f t="shared" si="4"/>
        <v>0</v>
      </c>
      <c r="K27" s="858">
        <f t="shared" si="4"/>
        <v>0</v>
      </c>
      <c r="L27" s="858">
        <f t="shared" si="4"/>
        <v>0</v>
      </c>
      <c r="M27" s="858">
        <f t="shared" si="4"/>
        <v>0</v>
      </c>
      <c r="N27" s="858">
        <f t="shared" si="4"/>
        <v>0</v>
      </c>
      <c r="O27" s="858">
        <f t="shared" si="4"/>
        <v>0</v>
      </c>
      <c r="P27" s="858">
        <f t="shared" si="4"/>
        <v>0</v>
      </c>
      <c r="Q27" s="858">
        <f t="shared" si="4"/>
        <v>0</v>
      </c>
      <c r="R27" s="858">
        <f t="shared" si="4"/>
        <v>0</v>
      </c>
      <c r="S27" s="858">
        <f t="shared" si="4"/>
        <v>0</v>
      </c>
    </row>
    <row r="28" spans="1:19" s="845" customFormat="1" ht="13.5" customHeight="1" thickBot="1" x14ac:dyDescent="0.25">
      <c r="B28" s="859"/>
    </row>
    <row r="29" spans="1:19" s="843" customFormat="1" ht="16.149999999999999" customHeight="1" thickBot="1" x14ac:dyDescent="0.3">
      <c r="A29" s="305"/>
      <c r="B29" s="859"/>
      <c r="O29" s="860"/>
      <c r="P29" s="861"/>
      <c r="Q29" s="861"/>
      <c r="R29" s="862" t="str">
        <f>CONCATENATE("Cobros de ventas pendintes para el año ",Q18," (sin IVA)")</f>
        <v>Cobros de ventas pendintes para el año 2030 (sin IVA)</v>
      </c>
      <c r="S29" s="863">
        <f>SUM(N27:S27)</f>
        <v>0</v>
      </c>
    </row>
    <row r="30" spans="1:19" ht="27.75" x14ac:dyDescent="0.45">
      <c r="A30" s="408" t="s">
        <v>261</v>
      </c>
      <c r="G30" s="409"/>
      <c r="H30" s="409"/>
      <c r="P30" s="845"/>
    </row>
    <row r="31" spans="1:19" ht="7.5" customHeight="1" thickBot="1" x14ac:dyDescent="0.3">
      <c r="P31" s="845"/>
    </row>
    <row r="32" spans="1:19" ht="18" thickBot="1" x14ac:dyDescent="0.3">
      <c r="A32" s="454" t="s">
        <v>939</v>
      </c>
      <c r="B32" s="846" t="str">
        <f t="shared" ref="B32:M32" si="5">B$6</f>
        <v>enero</v>
      </c>
      <c r="C32" s="846" t="str">
        <f t="shared" si="5"/>
        <v>febrero</v>
      </c>
      <c r="D32" s="846" t="str">
        <f t="shared" si="5"/>
        <v>marzo</v>
      </c>
      <c r="E32" s="846" t="str">
        <f t="shared" si="5"/>
        <v>abril</v>
      </c>
      <c r="F32" s="846" t="str">
        <f t="shared" si="5"/>
        <v>mayo</v>
      </c>
      <c r="G32" s="846" t="str">
        <f t="shared" si="5"/>
        <v>junio</v>
      </c>
      <c r="H32" s="846" t="str">
        <f t="shared" si="5"/>
        <v>julio</v>
      </c>
      <c r="I32" s="846" t="str">
        <f t="shared" si="5"/>
        <v>agosto</v>
      </c>
      <c r="J32" s="846" t="str">
        <f t="shared" si="5"/>
        <v>septiembre</v>
      </c>
      <c r="K32" s="846" t="str">
        <f t="shared" si="5"/>
        <v>octubre</v>
      </c>
      <c r="L32" s="846" t="str">
        <f t="shared" si="5"/>
        <v>noviembre</v>
      </c>
      <c r="M32" s="846" t="str">
        <f t="shared" si="5"/>
        <v>diciembre</v>
      </c>
      <c r="N32" s="840" t="s">
        <v>860</v>
      </c>
      <c r="O32" s="845"/>
    </row>
    <row r="33" spans="1:19" ht="17.25" x14ac:dyDescent="0.3">
      <c r="A33" s="848" t="str">
        <f t="shared" ref="A33:A40" si="6">A7</f>
        <v/>
      </c>
      <c r="B33" s="988">
        <f>'Prev.Ventas 3'!B31*(1+Parametros!$F24)</f>
        <v>0</v>
      </c>
      <c r="C33" s="988">
        <f>'Prev.Ventas 3'!C31*(1+Parametros!$F24)</f>
        <v>0</v>
      </c>
      <c r="D33" s="988">
        <f>'Prev.Ventas 3'!D31*(1+Parametros!$F24)</f>
        <v>0</v>
      </c>
      <c r="E33" s="988">
        <f>'Prev.Ventas 3'!E31*(1+Parametros!$F24)</f>
        <v>0</v>
      </c>
      <c r="F33" s="988">
        <f>'Prev.Ventas 3'!F31*(1+Parametros!$F24)</f>
        <v>0</v>
      </c>
      <c r="G33" s="988">
        <f>'Prev.Ventas 3'!G31*(1+Parametros!$F24)</f>
        <v>0</v>
      </c>
      <c r="H33" s="988">
        <f>'Prev.Ventas 3'!H31*(1+Parametros!$F24)</f>
        <v>0</v>
      </c>
      <c r="I33" s="988">
        <f>'Prev.Ventas 3'!I31*(1+Parametros!$F24)</f>
        <v>0</v>
      </c>
      <c r="J33" s="988">
        <f>'Prev.Ventas 3'!J31*(1+Parametros!$F24)</f>
        <v>0</v>
      </c>
      <c r="K33" s="988">
        <f>'Prev.Ventas 3'!K31*(1+Parametros!$F24)</f>
        <v>0</v>
      </c>
      <c r="L33" s="988">
        <f>'Prev.Ventas 3'!L31*(1+Parametros!$F24)</f>
        <v>0</v>
      </c>
      <c r="M33" s="988">
        <f>'Prev.Ventas 3'!M31*(1+Parametros!$F24)</f>
        <v>0</v>
      </c>
      <c r="N33" s="992">
        <f t="shared" ref="N33:N40" si="7">SUM(B33:M33)</f>
        <v>0</v>
      </c>
      <c r="O33" s="845"/>
    </row>
    <row r="34" spans="1:19" ht="17.25" x14ac:dyDescent="0.3">
      <c r="A34" s="849" t="str">
        <f t="shared" si="6"/>
        <v/>
      </c>
      <c r="B34" s="988">
        <f>'Prev.Ventas 3'!B32*(1+Parametros!$F25)</f>
        <v>0</v>
      </c>
      <c r="C34" s="988">
        <f>'Prev.Ventas 3'!C32*(1+Parametros!$F25)</f>
        <v>0</v>
      </c>
      <c r="D34" s="988">
        <f>'Prev.Ventas 3'!D32*(1+Parametros!$F25)</f>
        <v>0</v>
      </c>
      <c r="E34" s="988">
        <f>'Prev.Ventas 3'!E32*(1+Parametros!$F25)</f>
        <v>0</v>
      </c>
      <c r="F34" s="988">
        <f>'Prev.Ventas 3'!F32*(1+Parametros!$F25)</f>
        <v>0</v>
      </c>
      <c r="G34" s="988">
        <f>'Prev.Ventas 3'!G32*(1+Parametros!$F25)</f>
        <v>0</v>
      </c>
      <c r="H34" s="988">
        <f>'Prev.Ventas 3'!H32*(1+Parametros!$F25)</f>
        <v>0</v>
      </c>
      <c r="I34" s="988">
        <f>'Prev.Ventas 3'!I32*(1+Parametros!$F25)</f>
        <v>0</v>
      </c>
      <c r="J34" s="988">
        <f>'Prev.Ventas 3'!J32*(1+Parametros!$F25)</f>
        <v>0</v>
      </c>
      <c r="K34" s="988">
        <f>'Prev.Ventas 3'!K32*(1+Parametros!$F25)</f>
        <v>0</v>
      </c>
      <c r="L34" s="988">
        <f>'Prev.Ventas 3'!L32*(1+Parametros!$F25)</f>
        <v>0</v>
      </c>
      <c r="M34" s="988">
        <f>'Prev.Ventas 3'!M32*(1+Parametros!$F25)</f>
        <v>0</v>
      </c>
      <c r="N34" s="992">
        <f t="shared" si="7"/>
        <v>0</v>
      </c>
      <c r="O34" s="845"/>
    </row>
    <row r="35" spans="1:19" ht="17.25" x14ac:dyDescent="0.3">
      <c r="A35" s="849" t="str">
        <f t="shared" si="6"/>
        <v/>
      </c>
      <c r="B35" s="988">
        <f>'Prev.Ventas 3'!B33*(1+Parametros!$F26)</f>
        <v>0</v>
      </c>
      <c r="C35" s="988">
        <f>'Prev.Ventas 3'!C33*(1+Parametros!$F26)</f>
        <v>0</v>
      </c>
      <c r="D35" s="988">
        <f>'Prev.Ventas 3'!D33*(1+Parametros!$F26)</f>
        <v>0</v>
      </c>
      <c r="E35" s="988">
        <f>'Prev.Ventas 3'!E33*(1+Parametros!$F26)</f>
        <v>0</v>
      </c>
      <c r="F35" s="988">
        <f>'Prev.Ventas 3'!F33*(1+Parametros!$F26)</f>
        <v>0</v>
      </c>
      <c r="G35" s="988">
        <f>'Prev.Ventas 3'!G33*(1+Parametros!$F26)</f>
        <v>0</v>
      </c>
      <c r="H35" s="988">
        <f>'Prev.Ventas 3'!H33*(1+Parametros!$F26)</f>
        <v>0</v>
      </c>
      <c r="I35" s="988">
        <f>'Prev.Ventas 3'!I33*(1+Parametros!$F26)</f>
        <v>0</v>
      </c>
      <c r="J35" s="988">
        <f>'Prev.Ventas 3'!J33*(1+Parametros!$F26)</f>
        <v>0</v>
      </c>
      <c r="K35" s="988">
        <f>'Prev.Ventas 3'!K33*(1+Parametros!$F26)</f>
        <v>0</v>
      </c>
      <c r="L35" s="988">
        <f>'Prev.Ventas 3'!L33*(1+Parametros!$F26)</f>
        <v>0</v>
      </c>
      <c r="M35" s="988">
        <f>'Prev.Ventas 3'!M33*(1+Parametros!$F26)</f>
        <v>0</v>
      </c>
      <c r="N35" s="992">
        <f t="shared" si="7"/>
        <v>0</v>
      </c>
      <c r="O35" s="845"/>
    </row>
    <row r="36" spans="1:19" ht="17.25" x14ac:dyDescent="0.3">
      <c r="A36" s="849" t="str">
        <f t="shared" si="6"/>
        <v/>
      </c>
      <c r="B36" s="988">
        <f>'Prev.Ventas 3'!B34*(1+Parametros!$F27)</f>
        <v>0</v>
      </c>
      <c r="C36" s="988">
        <f>'Prev.Ventas 3'!C34*(1+Parametros!$F27)</f>
        <v>0</v>
      </c>
      <c r="D36" s="988">
        <f>'Prev.Ventas 3'!D34*(1+Parametros!$F27)</f>
        <v>0</v>
      </c>
      <c r="E36" s="988">
        <f>'Prev.Ventas 3'!E34*(1+Parametros!$F27)</f>
        <v>0</v>
      </c>
      <c r="F36" s="988">
        <f>'Prev.Ventas 3'!F34*(1+Parametros!$F27)</f>
        <v>0</v>
      </c>
      <c r="G36" s="988">
        <f>'Prev.Ventas 3'!G34*(1+Parametros!$F27)</f>
        <v>0</v>
      </c>
      <c r="H36" s="988">
        <f>'Prev.Ventas 3'!H34*(1+Parametros!$F27)</f>
        <v>0</v>
      </c>
      <c r="I36" s="988">
        <f>'Prev.Ventas 3'!I34*(1+Parametros!$F27)</f>
        <v>0</v>
      </c>
      <c r="J36" s="988">
        <f>'Prev.Ventas 3'!J34*(1+Parametros!$F27)</f>
        <v>0</v>
      </c>
      <c r="K36" s="988">
        <f>'Prev.Ventas 3'!K34*(1+Parametros!$F27)</f>
        <v>0</v>
      </c>
      <c r="L36" s="988">
        <f>'Prev.Ventas 3'!L34*(1+Parametros!$F27)</f>
        <v>0</v>
      </c>
      <c r="M36" s="988">
        <f>'Prev.Ventas 3'!M34*(1+Parametros!$F27)</f>
        <v>0</v>
      </c>
      <c r="N36" s="992">
        <f t="shared" si="7"/>
        <v>0</v>
      </c>
      <c r="O36" s="845"/>
    </row>
    <row r="37" spans="1:19" ht="17.25" x14ac:dyDescent="0.3">
      <c r="A37" s="849" t="str">
        <f t="shared" si="6"/>
        <v/>
      </c>
      <c r="B37" s="988">
        <f>'Prev.Ventas 3'!B35*(1+Parametros!$F28)</f>
        <v>0</v>
      </c>
      <c r="C37" s="988">
        <f>'Prev.Ventas 3'!C35*(1+Parametros!$F28)</f>
        <v>0</v>
      </c>
      <c r="D37" s="988">
        <f>'Prev.Ventas 3'!D35*(1+Parametros!$F28)</f>
        <v>0</v>
      </c>
      <c r="E37" s="988">
        <f>'Prev.Ventas 3'!E35*(1+Parametros!$F28)</f>
        <v>0</v>
      </c>
      <c r="F37" s="988">
        <f>'Prev.Ventas 3'!F35*(1+Parametros!$F28)</f>
        <v>0</v>
      </c>
      <c r="G37" s="988">
        <f>'Prev.Ventas 3'!G35*(1+Parametros!$F28)</f>
        <v>0</v>
      </c>
      <c r="H37" s="988">
        <f>'Prev.Ventas 3'!H35*(1+Parametros!$F28)</f>
        <v>0</v>
      </c>
      <c r="I37" s="988">
        <f>'Prev.Ventas 3'!I35*(1+Parametros!$F28)</f>
        <v>0</v>
      </c>
      <c r="J37" s="988">
        <f>'Prev.Ventas 3'!J35*(1+Parametros!$F28)</f>
        <v>0</v>
      </c>
      <c r="K37" s="988">
        <f>'Prev.Ventas 3'!K35*(1+Parametros!$F28)</f>
        <v>0</v>
      </c>
      <c r="L37" s="988">
        <f>'Prev.Ventas 3'!L35*(1+Parametros!$F28)</f>
        <v>0</v>
      </c>
      <c r="M37" s="988">
        <f>'Prev.Ventas 3'!M35*(1+Parametros!$F28)</f>
        <v>0</v>
      </c>
      <c r="N37" s="992">
        <f t="shared" si="7"/>
        <v>0</v>
      </c>
      <c r="O37" s="845"/>
    </row>
    <row r="38" spans="1:19" ht="17.25" x14ac:dyDescent="0.3">
      <c r="A38" s="849" t="str">
        <f t="shared" si="6"/>
        <v/>
      </c>
      <c r="B38" s="988">
        <f>'Prev.Ventas 3'!B36*(1+Parametros!$F29)</f>
        <v>0</v>
      </c>
      <c r="C38" s="988">
        <f>'Prev.Ventas 3'!C36*(1+Parametros!$F29)</f>
        <v>0</v>
      </c>
      <c r="D38" s="988">
        <f>'Prev.Ventas 3'!D36*(1+Parametros!$F29)</f>
        <v>0</v>
      </c>
      <c r="E38" s="988">
        <f>'Prev.Ventas 3'!E36*(1+Parametros!$F29)</f>
        <v>0</v>
      </c>
      <c r="F38" s="988">
        <f>'Prev.Ventas 3'!F36*(1+Parametros!$F29)</f>
        <v>0</v>
      </c>
      <c r="G38" s="988">
        <f>'Prev.Ventas 3'!G36*(1+Parametros!$F29)</f>
        <v>0</v>
      </c>
      <c r="H38" s="988">
        <f>'Prev.Ventas 3'!H36*(1+Parametros!$F29)</f>
        <v>0</v>
      </c>
      <c r="I38" s="988">
        <f>'Prev.Ventas 3'!I36*(1+Parametros!$F29)</f>
        <v>0</v>
      </c>
      <c r="J38" s="988">
        <f>'Prev.Ventas 3'!J36*(1+Parametros!$F29)</f>
        <v>0</v>
      </c>
      <c r="K38" s="988">
        <f>'Prev.Ventas 3'!K36*(1+Parametros!$F29)</f>
        <v>0</v>
      </c>
      <c r="L38" s="988">
        <f>'Prev.Ventas 3'!L36*(1+Parametros!$F29)</f>
        <v>0</v>
      </c>
      <c r="M38" s="988">
        <f>'Prev.Ventas 3'!M36*(1+Parametros!$F29)</f>
        <v>0</v>
      </c>
      <c r="N38" s="992">
        <f t="shared" si="7"/>
        <v>0</v>
      </c>
      <c r="O38" s="845"/>
    </row>
    <row r="39" spans="1:19" ht="17.25" x14ac:dyDescent="0.3">
      <c r="A39" s="849" t="str">
        <f t="shared" si="6"/>
        <v/>
      </c>
      <c r="B39" s="988">
        <f>'Prev.Ventas 3'!B37*(1+Parametros!$F30)</f>
        <v>0</v>
      </c>
      <c r="C39" s="988">
        <f>'Prev.Ventas 3'!C37*(1+Parametros!$F30)</f>
        <v>0</v>
      </c>
      <c r="D39" s="988">
        <f>'Prev.Ventas 3'!D37*(1+Parametros!$F30)</f>
        <v>0</v>
      </c>
      <c r="E39" s="988">
        <f>'Prev.Ventas 3'!E37*(1+Parametros!$F30)</f>
        <v>0</v>
      </c>
      <c r="F39" s="988">
        <f>'Prev.Ventas 3'!F37*(1+Parametros!$F30)</f>
        <v>0</v>
      </c>
      <c r="G39" s="988">
        <f>'Prev.Ventas 3'!G37*(1+Parametros!$F30)</f>
        <v>0</v>
      </c>
      <c r="H39" s="988">
        <f>'Prev.Ventas 3'!H37*(1+Parametros!$F30)</f>
        <v>0</v>
      </c>
      <c r="I39" s="988">
        <f>'Prev.Ventas 3'!I37*(1+Parametros!$F30)</f>
        <v>0</v>
      </c>
      <c r="J39" s="988">
        <f>'Prev.Ventas 3'!J37*(1+Parametros!$F30)</f>
        <v>0</v>
      </c>
      <c r="K39" s="988">
        <f>'Prev.Ventas 3'!K37*(1+Parametros!$F30)</f>
        <v>0</v>
      </c>
      <c r="L39" s="988">
        <f>'Prev.Ventas 3'!L37*(1+Parametros!$F30)</f>
        <v>0</v>
      </c>
      <c r="M39" s="988">
        <f>'Prev.Ventas 3'!M37*(1+Parametros!$F30)</f>
        <v>0</v>
      </c>
      <c r="N39" s="992">
        <f t="shared" si="7"/>
        <v>0</v>
      </c>
      <c r="O39" s="845"/>
    </row>
    <row r="40" spans="1:19" ht="18" thickBot="1" x14ac:dyDescent="0.35">
      <c r="A40" s="864" t="str">
        <f t="shared" si="6"/>
        <v/>
      </c>
      <c r="B40" s="990">
        <f>'Prev.Ventas 3'!B38*(1+Parametros!$F31)</f>
        <v>0</v>
      </c>
      <c r="C40" s="990">
        <f>'Prev.Ventas 3'!C38*(1+Parametros!$F31)</f>
        <v>0</v>
      </c>
      <c r="D40" s="990">
        <f>'Prev.Ventas 3'!D38*(1+Parametros!$F31)</f>
        <v>0</v>
      </c>
      <c r="E40" s="990">
        <f>'Prev.Ventas 3'!E38*(1+Parametros!$F31)</f>
        <v>0</v>
      </c>
      <c r="F40" s="990">
        <f>'Prev.Ventas 3'!F38*(1+Parametros!$F31)</f>
        <v>0</v>
      </c>
      <c r="G40" s="990">
        <f>'Prev.Ventas 3'!G38*(1+Parametros!$F31)</f>
        <v>0</v>
      </c>
      <c r="H40" s="990">
        <f>'Prev.Ventas 3'!H38*(1+Parametros!$F31)</f>
        <v>0</v>
      </c>
      <c r="I40" s="990">
        <f>'Prev.Ventas 3'!I38*(1+Parametros!$F31)</f>
        <v>0</v>
      </c>
      <c r="J40" s="990">
        <f>'Prev.Ventas 3'!J38*(1+Parametros!$F31)</f>
        <v>0</v>
      </c>
      <c r="K40" s="990">
        <f>'Prev.Ventas 3'!K38*(1+Parametros!$F31)</f>
        <v>0</v>
      </c>
      <c r="L40" s="990">
        <f>'Prev.Ventas 3'!L38*(1+Parametros!$F31)</f>
        <v>0</v>
      </c>
      <c r="M40" s="990">
        <f>'Prev.Ventas 3'!M38*(1+Parametros!$F31)</f>
        <v>0</v>
      </c>
      <c r="N40" s="992">
        <f t="shared" si="7"/>
        <v>0</v>
      </c>
      <c r="O40" s="845"/>
    </row>
    <row r="41" spans="1:19" ht="18" thickBot="1" x14ac:dyDescent="0.35">
      <c r="A41" s="410" t="s">
        <v>860</v>
      </c>
      <c r="B41" s="851">
        <f t="shared" ref="B41:N41" si="8">SUM(B33:B40)</f>
        <v>0</v>
      </c>
      <c r="C41" s="851">
        <f t="shared" si="8"/>
        <v>0</v>
      </c>
      <c r="D41" s="851">
        <f t="shared" si="8"/>
        <v>0</v>
      </c>
      <c r="E41" s="851">
        <f t="shared" si="8"/>
        <v>0</v>
      </c>
      <c r="F41" s="851">
        <f t="shared" si="8"/>
        <v>0</v>
      </c>
      <c r="G41" s="851">
        <f t="shared" si="8"/>
        <v>0</v>
      </c>
      <c r="H41" s="851">
        <f t="shared" si="8"/>
        <v>0</v>
      </c>
      <c r="I41" s="851">
        <f t="shared" si="8"/>
        <v>0</v>
      </c>
      <c r="J41" s="851">
        <f t="shared" si="8"/>
        <v>0</v>
      </c>
      <c r="K41" s="851">
        <f t="shared" si="8"/>
        <v>0</v>
      </c>
      <c r="L41" s="851">
        <f t="shared" si="8"/>
        <v>0</v>
      </c>
      <c r="M41" s="851">
        <f t="shared" si="8"/>
        <v>0</v>
      </c>
      <c r="N41" s="851">
        <f t="shared" si="8"/>
        <v>0</v>
      </c>
      <c r="O41" s="845"/>
    </row>
    <row r="42" spans="1:19" x14ac:dyDescent="0.25">
      <c r="C42" s="845"/>
      <c r="D42" s="845"/>
      <c r="E42" s="845"/>
      <c r="F42" s="845"/>
      <c r="G42" s="845"/>
      <c r="H42" s="845"/>
      <c r="I42" s="845"/>
      <c r="J42" s="845"/>
      <c r="K42" s="845"/>
      <c r="L42" s="845"/>
      <c r="M42" s="845"/>
      <c r="N42" s="845"/>
      <c r="O42" s="845"/>
      <c r="P42" s="845"/>
    </row>
    <row r="43" spans="1:19" ht="27.75" x14ac:dyDescent="0.45">
      <c r="A43" s="408" t="s">
        <v>260</v>
      </c>
      <c r="C43" s="845"/>
      <c r="D43" s="845"/>
      <c r="E43" s="845"/>
      <c r="G43" s="409"/>
      <c r="H43" s="409"/>
      <c r="I43" s="845"/>
      <c r="J43" s="845"/>
      <c r="K43" s="845"/>
      <c r="L43" s="845"/>
      <c r="M43" s="845"/>
      <c r="N43" s="845"/>
      <c r="O43" s="845"/>
      <c r="P43" s="845"/>
    </row>
    <row r="44" spans="1:19" ht="16.5" thickBot="1" x14ac:dyDescent="0.3">
      <c r="A44" s="845"/>
      <c r="B44" s="847"/>
      <c r="C44" s="845"/>
      <c r="D44" s="845"/>
      <c r="E44" s="845"/>
      <c r="F44" s="845"/>
      <c r="G44" s="845"/>
      <c r="H44" s="845"/>
      <c r="I44" s="845"/>
      <c r="J44" s="845"/>
      <c r="K44" s="845"/>
      <c r="L44" s="845"/>
      <c r="M44" s="845"/>
      <c r="N44" s="845"/>
      <c r="O44" s="845"/>
      <c r="P44" s="852" t="str">
        <f>P18</f>
        <v>Pendiente para el año siguiente:</v>
      </c>
      <c r="Q44" s="867">
        <f>Q18</f>
        <v>2030</v>
      </c>
    </row>
    <row r="45" spans="1:19" ht="27.75" customHeight="1" thickBot="1" x14ac:dyDescent="0.3">
      <c r="A45" s="454" t="s">
        <v>940</v>
      </c>
      <c r="B45" s="854" t="str">
        <f t="shared" ref="B45:O45" si="9">B19</f>
        <v>enero 
2029</v>
      </c>
      <c r="C45" s="854" t="str">
        <f t="shared" si="9"/>
        <v>febrero 
2029</v>
      </c>
      <c r="D45" s="854" t="str">
        <f t="shared" si="9"/>
        <v>marzo 
2029</v>
      </c>
      <c r="E45" s="854" t="str">
        <f t="shared" si="9"/>
        <v>abril 
2029</v>
      </c>
      <c r="F45" s="854" t="str">
        <f t="shared" si="9"/>
        <v>mayo 
2029</v>
      </c>
      <c r="G45" s="854" t="str">
        <f t="shared" si="9"/>
        <v>junio 
2029</v>
      </c>
      <c r="H45" s="854" t="str">
        <f t="shared" si="9"/>
        <v>julio 
2029</v>
      </c>
      <c r="I45" s="854" t="str">
        <f t="shared" si="9"/>
        <v>agosto 
2029</v>
      </c>
      <c r="J45" s="854" t="str">
        <f t="shared" si="9"/>
        <v>septiembre 
2029</v>
      </c>
      <c r="K45" s="854" t="str">
        <f t="shared" si="9"/>
        <v>octubre 
2029</v>
      </c>
      <c r="L45" s="854" t="str">
        <f t="shared" si="9"/>
        <v>noviembre 
2029</v>
      </c>
      <c r="M45" s="854" t="str">
        <f t="shared" si="9"/>
        <v>diciembre 
2029</v>
      </c>
      <c r="N45" s="854" t="str">
        <f t="shared" si="9"/>
        <v>enero 
2030</v>
      </c>
      <c r="O45" s="854" t="str">
        <f t="shared" si="9"/>
        <v>febrero 
2030</v>
      </c>
      <c r="P45" s="854" t="str">
        <f>P19</f>
        <v>marzo 
2030</v>
      </c>
      <c r="Q45" s="854" t="str">
        <f>Q19</f>
        <v>abril 
2030</v>
      </c>
      <c r="R45" s="854" t="str">
        <f>R19</f>
        <v>mayo 
2030</v>
      </c>
      <c r="S45" s="854" t="str">
        <f>S19</f>
        <v>junio 
2030</v>
      </c>
    </row>
    <row r="46" spans="1:19" x14ac:dyDescent="0.25">
      <c r="A46" s="855" t="s">
        <v>938</v>
      </c>
      <c r="B46" s="988">
        <f>SUMPRODUCT('Politicas Cobros y Pagos'!$B$88:$B$95,B$33:B$40)</f>
        <v>0</v>
      </c>
      <c r="C46" s="988">
        <f>SUMPRODUCT('Politicas Cobros y Pagos'!$B$88:$B$95,C$33:C$40)</f>
        <v>0</v>
      </c>
      <c r="D46" s="988">
        <f>SUMPRODUCT('Politicas Cobros y Pagos'!$B$88:$B$95,D$33:D$40)</f>
        <v>0</v>
      </c>
      <c r="E46" s="988">
        <f>SUMPRODUCT('Politicas Cobros y Pagos'!$B$88:$B$95,E$33:E$40)</f>
        <v>0</v>
      </c>
      <c r="F46" s="988">
        <f>SUMPRODUCT('Politicas Cobros y Pagos'!$B$88:$B$95,F$33:F$40)</f>
        <v>0</v>
      </c>
      <c r="G46" s="988">
        <f>SUMPRODUCT('Politicas Cobros y Pagos'!$B$88:$B$95,G$33:G$40)</f>
        <v>0</v>
      </c>
      <c r="H46" s="988">
        <f>SUMPRODUCT('Politicas Cobros y Pagos'!$B$88:$B$95,H$33:H$40)</f>
        <v>0</v>
      </c>
      <c r="I46" s="988">
        <f>SUMPRODUCT('Politicas Cobros y Pagos'!$B$88:$B$95,I$33:I$40)</f>
        <v>0</v>
      </c>
      <c r="J46" s="988">
        <f>SUMPRODUCT('Politicas Cobros y Pagos'!$B$88:$B$95,J$33:J$40)</f>
        <v>0</v>
      </c>
      <c r="K46" s="988">
        <f>SUMPRODUCT('Politicas Cobros y Pagos'!$B$88:$B$95,K$33:K$40)</f>
        <v>0</v>
      </c>
      <c r="L46" s="988">
        <f>SUMPRODUCT('Politicas Cobros y Pagos'!$B$88:$B$95,L$33:L$40)</f>
        <v>0</v>
      </c>
      <c r="M46" s="988">
        <f>SUMPRODUCT('Politicas Cobros y Pagos'!$B$88:$B$95,M$33:M$40)</f>
        <v>0</v>
      </c>
      <c r="N46" s="988"/>
      <c r="O46" s="988"/>
      <c r="P46" s="988"/>
      <c r="Q46" s="988"/>
      <c r="R46" s="988"/>
      <c r="S46" s="988"/>
    </row>
    <row r="47" spans="1:19" x14ac:dyDescent="0.25">
      <c r="A47" s="856">
        <v>30</v>
      </c>
      <c r="B47" s="991">
        <f>'Cobros y pagos 2'!N47</f>
        <v>0</v>
      </c>
      <c r="C47" s="988">
        <f>SUMPRODUCT('Politicas Cobros y Pagos'!$C$88:$C$95,B$33:B$40)</f>
        <v>0</v>
      </c>
      <c r="D47" s="988">
        <f>SUMPRODUCT('Politicas Cobros y Pagos'!$C$88:$C$95,C$33:C$40)</f>
        <v>0</v>
      </c>
      <c r="E47" s="988">
        <f>SUMPRODUCT('Politicas Cobros y Pagos'!$C$88:$C$95,D$33:D$40)</f>
        <v>0</v>
      </c>
      <c r="F47" s="988">
        <f>SUMPRODUCT('Politicas Cobros y Pagos'!$C$88:$C$95,E$33:E$40)</f>
        <v>0</v>
      </c>
      <c r="G47" s="988">
        <f>SUMPRODUCT('Politicas Cobros y Pagos'!$C$88:$C$95,F$33:F$40)</f>
        <v>0</v>
      </c>
      <c r="H47" s="988">
        <f>SUMPRODUCT('Politicas Cobros y Pagos'!$C$88:$C$95,G$33:G$40)</f>
        <v>0</v>
      </c>
      <c r="I47" s="988">
        <f>SUMPRODUCT('Politicas Cobros y Pagos'!$C$88:$C$95,H$33:H$40)</f>
        <v>0</v>
      </c>
      <c r="J47" s="988">
        <f>SUMPRODUCT('Politicas Cobros y Pagos'!$C$88:$C$95,I$33:I$40)</f>
        <v>0</v>
      </c>
      <c r="K47" s="988">
        <f>SUMPRODUCT('Politicas Cobros y Pagos'!$C$88:$C$95,J$33:J$40)</f>
        <v>0</v>
      </c>
      <c r="L47" s="988">
        <f>SUMPRODUCT('Politicas Cobros y Pagos'!$C$88:$C$95,K$33:K$40)</f>
        <v>0</v>
      </c>
      <c r="M47" s="988">
        <f>SUMPRODUCT('Politicas Cobros y Pagos'!$C$88:$C$95,L$33:L$40)</f>
        <v>0</v>
      </c>
      <c r="N47" s="988">
        <f>SUMPRODUCT('Politicas Cobros y Pagos'!$C$88:$C$95,M$33:M$40)</f>
        <v>0</v>
      </c>
      <c r="O47" s="988"/>
      <c r="P47" s="988"/>
      <c r="Q47" s="988"/>
      <c r="R47" s="988"/>
      <c r="S47" s="988"/>
    </row>
    <row r="48" spans="1:19" x14ac:dyDescent="0.25">
      <c r="A48" s="856">
        <v>60</v>
      </c>
      <c r="B48" s="991">
        <f>'Cobros y pagos 2'!N48</f>
        <v>0</v>
      </c>
      <c r="C48" s="991">
        <f>'Cobros y pagos 2'!O48</f>
        <v>0</v>
      </c>
      <c r="D48" s="988">
        <f>SUMPRODUCT('Politicas Cobros y Pagos'!$D$88:$D$95,B$33:B$40)</f>
        <v>0</v>
      </c>
      <c r="E48" s="988">
        <f>SUMPRODUCT('Politicas Cobros y Pagos'!$D$88:$D$95,C$33:C$40)</f>
        <v>0</v>
      </c>
      <c r="F48" s="988">
        <f>SUMPRODUCT('Politicas Cobros y Pagos'!$D$88:$D$95,D$33:D$40)</f>
        <v>0</v>
      </c>
      <c r="G48" s="988">
        <f>SUMPRODUCT('Politicas Cobros y Pagos'!$D$88:$D$95,E$33:E$40)</f>
        <v>0</v>
      </c>
      <c r="H48" s="988">
        <f>SUMPRODUCT('Politicas Cobros y Pagos'!$D$88:$D$95,F$33:F$40)</f>
        <v>0</v>
      </c>
      <c r="I48" s="988">
        <f>SUMPRODUCT('Politicas Cobros y Pagos'!$D$88:$D$95,G$33:G$40)</f>
        <v>0</v>
      </c>
      <c r="J48" s="988">
        <f>SUMPRODUCT('Politicas Cobros y Pagos'!$D$88:$D$95,H$33:H$40)</f>
        <v>0</v>
      </c>
      <c r="K48" s="988">
        <f>SUMPRODUCT('Politicas Cobros y Pagos'!$D$88:$D$95,I$33:I$40)</f>
        <v>0</v>
      </c>
      <c r="L48" s="988">
        <f>SUMPRODUCT('Politicas Cobros y Pagos'!$D$88:$D$95,J$33:J$40)</f>
        <v>0</v>
      </c>
      <c r="M48" s="988">
        <f>SUMPRODUCT('Politicas Cobros y Pagos'!$D$88:$D$95,K$33:K$40)</f>
        <v>0</v>
      </c>
      <c r="N48" s="988">
        <f>SUMPRODUCT('Politicas Cobros y Pagos'!$D$88:$D$95,L$33:L$40)</f>
        <v>0</v>
      </c>
      <c r="O48" s="988">
        <f>SUMPRODUCT('Politicas Cobros y Pagos'!$D$88:$D$95,M$33:M$40)</f>
        <v>0</v>
      </c>
      <c r="P48" s="988"/>
      <c r="Q48" s="988"/>
      <c r="R48" s="988"/>
      <c r="S48" s="988"/>
    </row>
    <row r="49" spans="1:19" x14ac:dyDescent="0.25">
      <c r="A49" s="856">
        <v>90</v>
      </c>
      <c r="B49" s="991">
        <f>'Cobros y pagos 2'!N49</f>
        <v>0</v>
      </c>
      <c r="C49" s="991">
        <f>'Cobros y pagos 2'!O49</f>
        <v>0</v>
      </c>
      <c r="D49" s="991">
        <f>'Cobros y pagos 2'!P49</f>
        <v>0</v>
      </c>
      <c r="E49" s="988">
        <f>SUMPRODUCT('Politicas Cobros y Pagos'!$E$88:$E$95,B$33:B$40)</f>
        <v>0</v>
      </c>
      <c r="F49" s="988">
        <f>SUMPRODUCT('Politicas Cobros y Pagos'!$E$88:$E$95,C$33:C$40)</f>
        <v>0</v>
      </c>
      <c r="G49" s="988">
        <f>SUMPRODUCT('Politicas Cobros y Pagos'!$E$88:$E$95,D$33:D$40)</f>
        <v>0</v>
      </c>
      <c r="H49" s="988">
        <f>SUMPRODUCT('Politicas Cobros y Pagos'!$E$88:$E$95,E$33:E$40)</f>
        <v>0</v>
      </c>
      <c r="I49" s="988">
        <f>SUMPRODUCT('Politicas Cobros y Pagos'!$E$88:$E$95,F$33:F$40)</f>
        <v>0</v>
      </c>
      <c r="J49" s="988">
        <f>SUMPRODUCT('Politicas Cobros y Pagos'!$E$88:$E$95,G$33:G$40)</f>
        <v>0</v>
      </c>
      <c r="K49" s="988">
        <f>SUMPRODUCT('Politicas Cobros y Pagos'!$E$88:$E$95,H$33:H$40)</f>
        <v>0</v>
      </c>
      <c r="L49" s="988">
        <f>SUMPRODUCT('Politicas Cobros y Pagos'!$E$88:$E$95,I$33:I$40)</f>
        <v>0</v>
      </c>
      <c r="M49" s="988">
        <f>SUMPRODUCT('Politicas Cobros y Pagos'!$E$88:$E$95,J$33:J$40)</f>
        <v>0</v>
      </c>
      <c r="N49" s="988">
        <f>SUMPRODUCT('Politicas Cobros y Pagos'!$E$88:$E$95,K$33:K$40)</f>
        <v>0</v>
      </c>
      <c r="O49" s="988">
        <f>SUMPRODUCT('Politicas Cobros y Pagos'!$E$88:$E$95,L$33:L$40)</f>
        <v>0</v>
      </c>
      <c r="P49" s="988">
        <f>SUMPRODUCT('Politicas Cobros y Pagos'!$E$88:$E$95,M$33:M$40)</f>
        <v>0</v>
      </c>
      <c r="Q49" s="988"/>
      <c r="R49" s="988"/>
      <c r="S49" s="988"/>
    </row>
    <row r="50" spans="1:19" x14ac:dyDescent="0.25">
      <c r="A50" s="856">
        <v>120</v>
      </c>
      <c r="B50" s="991">
        <f>'Cobros y pagos 2'!N50</f>
        <v>0</v>
      </c>
      <c r="C50" s="991">
        <f>'Cobros y pagos 2'!O50</f>
        <v>0</v>
      </c>
      <c r="D50" s="991">
        <f>'Cobros y pagos 2'!P50</f>
        <v>0</v>
      </c>
      <c r="E50" s="991">
        <f>'Cobros y pagos 2'!Q50</f>
        <v>0</v>
      </c>
      <c r="F50" s="988">
        <f>SUMPRODUCT('Politicas Cobros y Pagos'!$F$88:$F$95,B$33:B$40)</f>
        <v>0</v>
      </c>
      <c r="G50" s="988">
        <f>SUMPRODUCT('Politicas Cobros y Pagos'!$F$88:$F$95,C$33:C$40)</f>
        <v>0</v>
      </c>
      <c r="H50" s="988">
        <f>SUMPRODUCT('Politicas Cobros y Pagos'!$F$88:$F$95,D$33:D$40)</f>
        <v>0</v>
      </c>
      <c r="I50" s="988">
        <f>SUMPRODUCT('Politicas Cobros y Pagos'!$F$88:$F$95,E$33:E$40)</f>
        <v>0</v>
      </c>
      <c r="J50" s="988">
        <f>SUMPRODUCT('Politicas Cobros y Pagos'!$F$88:$F$95,F$33:F$40)</f>
        <v>0</v>
      </c>
      <c r="K50" s="988">
        <f>SUMPRODUCT('Politicas Cobros y Pagos'!$F$88:$F$95,G$33:G$40)</f>
        <v>0</v>
      </c>
      <c r="L50" s="988">
        <f>SUMPRODUCT('Politicas Cobros y Pagos'!$F$88:$F$95,H$33:H$40)</f>
        <v>0</v>
      </c>
      <c r="M50" s="988">
        <f>SUMPRODUCT('Politicas Cobros y Pagos'!$F$88:$F$95,I$33:I$40)</f>
        <v>0</v>
      </c>
      <c r="N50" s="988">
        <f>SUMPRODUCT('Politicas Cobros y Pagos'!$F$88:$F$95,J$33:J$40)</f>
        <v>0</v>
      </c>
      <c r="O50" s="988">
        <f>SUMPRODUCT('Politicas Cobros y Pagos'!$F$88:$F$95,K$33:K$40)</f>
        <v>0</v>
      </c>
      <c r="P50" s="988">
        <f>SUMPRODUCT('Politicas Cobros y Pagos'!$F$88:$F$95,L$33:L$40)</f>
        <v>0</v>
      </c>
      <c r="Q50" s="988">
        <f>SUMPRODUCT('Politicas Cobros y Pagos'!$F$88:$F$95,M$33:M$40)</f>
        <v>0</v>
      </c>
      <c r="R50" s="988"/>
      <c r="S50" s="988"/>
    </row>
    <row r="51" spans="1:19" x14ac:dyDescent="0.25">
      <c r="A51" s="856">
        <v>150</v>
      </c>
      <c r="B51" s="991">
        <f>'Cobros y pagos 2'!N51</f>
        <v>0</v>
      </c>
      <c r="C51" s="991">
        <f>'Cobros y pagos 2'!O51</f>
        <v>0</v>
      </c>
      <c r="D51" s="991">
        <f>'Cobros y pagos 2'!P51</f>
        <v>0</v>
      </c>
      <c r="E51" s="991">
        <f>'Cobros y pagos 2'!Q51</f>
        <v>0</v>
      </c>
      <c r="F51" s="991">
        <f>'Cobros y pagos 2'!R51</f>
        <v>0</v>
      </c>
      <c r="G51" s="988">
        <f>SUMPRODUCT('Politicas Cobros y Pagos'!$G$88:$G$95,B$33:B$40)</f>
        <v>0</v>
      </c>
      <c r="H51" s="988">
        <f>SUMPRODUCT('Politicas Cobros y Pagos'!$G$88:$G$95,C$33:C$40)</f>
        <v>0</v>
      </c>
      <c r="I51" s="988">
        <f>SUMPRODUCT('Politicas Cobros y Pagos'!$G$88:$G$95,D$33:D$40)</f>
        <v>0</v>
      </c>
      <c r="J51" s="988">
        <f>SUMPRODUCT('Politicas Cobros y Pagos'!$G$88:$G$95,E$33:E$40)</f>
        <v>0</v>
      </c>
      <c r="K51" s="988">
        <f>SUMPRODUCT('Politicas Cobros y Pagos'!$G$88:$G$95,F$33:F$40)</f>
        <v>0</v>
      </c>
      <c r="L51" s="988">
        <f>SUMPRODUCT('Politicas Cobros y Pagos'!$G$88:$G$95,G$33:G$40)</f>
        <v>0</v>
      </c>
      <c r="M51" s="988">
        <f>SUMPRODUCT('Politicas Cobros y Pagos'!$G$88:$G$95,H$33:H$40)</f>
        <v>0</v>
      </c>
      <c r="N51" s="988">
        <f>SUMPRODUCT('Politicas Cobros y Pagos'!$G$88:$G$95,I$33:I$40)</f>
        <v>0</v>
      </c>
      <c r="O51" s="988">
        <f>SUMPRODUCT('Politicas Cobros y Pagos'!$G$88:$G$95,J$33:J$40)</f>
        <v>0</v>
      </c>
      <c r="P51" s="988">
        <f>SUMPRODUCT('Politicas Cobros y Pagos'!$G$88:$G$95,K$33:K$40)</f>
        <v>0</v>
      </c>
      <c r="Q51" s="988">
        <f>SUMPRODUCT('Politicas Cobros y Pagos'!$G$88:$G$95,L$33:L$40)</f>
        <v>0</v>
      </c>
      <c r="R51" s="988">
        <f>SUMPRODUCT('Politicas Cobros y Pagos'!$G$88:$G$95,M$33:M$40)</f>
        <v>0</v>
      </c>
      <c r="S51" s="988"/>
    </row>
    <row r="52" spans="1:19" x14ac:dyDescent="0.25">
      <c r="A52" s="856">
        <v>180</v>
      </c>
      <c r="B52" s="991">
        <f>'Cobros y pagos 2'!N52</f>
        <v>0</v>
      </c>
      <c r="C52" s="991">
        <f>'Cobros y pagos 2'!O52</f>
        <v>0</v>
      </c>
      <c r="D52" s="991">
        <f>'Cobros y pagos 2'!P52</f>
        <v>0</v>
      </c>
      <c r="E52" s="991">
        <f>'Cobros y pagos 2'!Q52</f>
        <v>0</v>
      </c>
      <c r="F52" s="991">
        <f>'Cobros y pagos 2'!R52</f>
        <v>0</v>
      </c>
      <c r="G52" s="991">
        <f>'Cobros y pagos 2'!S52</f>
        <v>0</v>
      </c>
      <c r="H52" s="988">
        <f>SUMPRODUCT('Politicas Cobros y Pagos'!$H$88:$H$95,B$33:B$40)</f>
        <v>0</v>
      </c>
      <c r="I52" s="988">
        <f>SUMPRODUCT('Politicas Cobros y Pagos'!$H$88:$H$95,C$33:C$40)</f>
        <v>0</v>
      </c>
      <c r="J52" s="988">
        <f>SUMPRODUCT('Politicas Cobros y Pagos'!$H$88:$H$95,D$33:D$40)</f>
        <v>0</v>
      </c>
      <c r="K52" s="988">
        <f>SUMPRODUCT('Politicas Cobros y Pagos'!$H$88:$H$95,E$33:E$40)</f>
        <v>0</v>
      </c>
      <c r="L52" s="988">
        <f>SUMPRODUCT('Politicas Cobros y Pagos'!$H$88:$H$95,F$33:F$40)</f>
        <v>0</v>
      </c>
      <c r="M52" s="988">
        <f>SUMPRODUCT('Politicas Cobros y Pagos'!$H$88:$H$95,G$33:G$40)</f>
        <v>0</v>
      </c>
      <c r="N52" s="988">
        <f>SUMPRODUCT('Politicas Cobros y Pagos'!$H$88:$H$95,H$33:H$40)</f>
        <v>0</v>
      </c>
      <c r="O52" s="988">
        <f>SUMPRODUCT('Politicas Cobros y Pagos'!$H$88:$H$95,I$33:I$40)</f>
        <v>0</v>
      </c>
      <c r="P52" s="988">
        <f>SUMPRODUCT('Politicas Cobros y Pagos'!$H$88:$H$95,J$33:J$40)</f>
        <v>0</v>
      </c>
      <c r="Q52" s="988">
        <f>SUMPRODUCT('Politicas Cobros y Pagos'!$H$88:$H$95,K$33:K$40)</f>
        <v>0</v>
      </c>
      <c r="R52" s="988">
        <f>SUMPRODUCT('Politicas Cobros y Pagos'!$H$88:$H$95,L$33:L$40)</f>
        <v>0</v>
      </c>
      <c r="S52" s="988">
        <f>SUMPRODUCT('Politicas Cobros y Pagos'!$H$88:$H$95,M$33:M$40)</f>
        <v>0</v>
      </c>
    </row>
    <row r="53" spans="1:19" ht="15.75" thickBot="1" x14ac:dyDescent="0.3">
      <c r="A53" s="865" t="s">
        <v>860</v>
      </c>
      <c r="B53" s="993">
        <f t="shared" ref="B53:S53" si="10">SUM(B46:B52)</f>
        <v>0</v>
      </c>
      <c r="C53" s="993">
        <f t="shared" si="10"/>
        <v>0</v>
      </c>
      <c r="D53" s="993">
        <f t="shared" si="10"/>
        <v>0</v>
      </c>
      <c r="E53" s="993">
        <f t="shared" si="10"/>
        <v>0</v>
      </c>
      <c r="F53" s="993">
        <f t="shared" si="10"/>
        <v>0</v>
      </c>
      <c r="G53" s="993">
        <f t="shared" si="10"/>
        <v>0</v>
      </c>
      <c r="H53" s="993">
        <f t="shared" si="10"/>
        <v>0</v>
      </c>
      <c r="I53" s="993">
        <f t="shared" si="10"/>
        <v>0</v>
      </c>
      <c r="J53" s="993">
        <f t="shared" si="10"/>
        <v>0</v>
      </c>
      <c r="K53" s="993">
        <f t="shared" si="10"/>
        <v>0</v>
      </c>
      <c r="L53" s="993">
        <f t="shared" si="10"/>
        <v>0</v>
      </c>
      <c r="M53" s="993">
        <f t="shared" si="10"/>
        <v>0</v>
      </c>
      <c r="N53" s="993">
        <f t="shared" si="10"/>
        <v>0</v>
      </c>
      <c r="O53" s="993">
        <f t="shared" si="10"/>
        <v>0</v>
      </c>
      <c r="P53" s="993">
        <f t="shared" si="10"/>
        <v>0</v>
      </c>
      <c r="Q53" s="993">
        <f t="shared" si="10"/>
        <v>0</v>
      </c>
      <c r="R53" s="993">
        <f t="shared" si="10"/>
        <v>0</v>
      </c>
      <c r="S53" s="993">
        <f t="shared" si="10"/>
        <v>0</v>
      </c>
    </row>
    <row r="54" spans="1:19" ht="15.75" thickBot="1" x14ac:dyDescent="0.3">
      <c r="A54" s="845"/>
      <c r="B54" s="847"/>
      <c r="C54" s="843"/>
      <c r="D54" s="843"/>
      <c r="E54" s="843"/>
      <c r="F54" s="843"/>
      <c r="G54" s="843"/>
      <c r="H54" s="843"/>
      <c r="I54" s="843"/>
      <c r="J54" s="843"/>
      <c r="K54" s="843"/>
      <c r="L54" s="843"/>
      <c r="M54" s="843"/>
      <c r="N54" s="843"/>
      <c r="O54" s="845"/>
      <c r="P54" s="843"/>
    </row>
    <row r="55" spans="1:19" ht="15.75" thickBot="1" x14ac:dyDescent="0.3">
      <c r="N55" s="827"/>
      <c r="O55" s="860"/>
      <c r="P55" s="861"/>
      <c r="Q55" s="861"/>
      <c r="R55" s="862" t="str">
        <f>CONCATENATE("Pagos de compras y CV pendintes para el año ",Q44," (sin IVA)")</f>
        <v>Pagos de compras y CV pendintes para el año 2030 (sin IVA)</v>
      </c>
      <c r="S55" s="638">
        <f>SUM(N53:S53)</f>
        <v>0</v>
      </c>
    </row>
  </sheetData>
  <sheetProtection sheet="1" objects="1" scenarios="1" formatCells="0" formatColumns="0"/>
  <phoneticPr fontId="13" type="noConversion"/>
  <printOptions horizontalCentered="1" verticalCentered="1"/>
  <pageMargins left="0.39370078740157483" right="0.39370078740157483" top="0.31" bottom="0.3" header="0.31496062992125984" footer="0.31496062992125984"/>
  <pageSetup paperSize="9" scale="61" orientation="landscape" horizontalDpi="300" verticalDpi="300" r:id="rId1"/>
  <headerFooter alignWithMargins="0">
    <oddFooter>&amp;A</oddFooter>
  </headerFooter>
  <rowBreaks count="1" manualBreakCount="1">
    <brk id="16" max="14"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52">
    <tabColor rgb="FF14A3A8"/>
    <pageSetUpPr fitToPage="1"/>
  </sheetPr>
  <dimension ref="A1:S55"/>
  <sheetViews>
    <sheetView showGridLines="0" workbookViewId="0"/>
  </sheetViews>
  <sheetFormatPr baseColWidth="10" defaultRowHeight="15" x14ac:dyDescent="0.25"/>
  <cols>
    <col min="1" max="1" width="24.75" style="305" customWidth="1"/>
    <col min="2" max="2" width="9.75" style="445" customWidth="1"/>
    <col min="3" max="4" width="10" style="446" customWidth="1"/>
    <col min="5" max="5" width="11.625" style="446" customWidth="1"/>
    <col min="6" max="6" width="12.125" style="446" customWidth="1"/>
    <col min="7" max="14" width="10" style="446" customWidth="1"/>
    <col min="15" max="15" width="9.5" style="305" customWidth="1"/>
    <col min="16" max="16384" width="11" style="446"/>
  </cols>
  <sheetData>
    <row r="1" spans="1:15" ht="27.75" x14ac:dyDescent="0.45">
      <c r="A1" s="485" t="s">
        <v>1022</v>
      </c>
      <c r="B1" s="841"/>
      <c r="F1" s="866">
        <f>'Datos Básicos'!F16</f>
        <v>4</v>
      </c>
      <c r="G1" s="470">
        <f>'Datos Básicos'!$D$17+2</f>
        <v>2030</v>
      </c>
      <c r="M1" s="842"/>
    </row>
    <row r="2" spans="1:15" s="843" customFormat="1" ht="27.75" x14ac:dyDescent="0.45">
      <c r="A2" s="408">
        <f>'Datos Básicos'!B8</f>
        <v>0</v>
      </c>
      <c r="B2" s="841"/>
      <c r="D2" s="844"/>
      <c r="E2" s="450"/>
      <c r="O2" s="845"/>
    </row>
    <row r="4" spans="1:15" ht="27.75" x14ac:dyDescent="0.45">
      <c r="A4" s="408" t="s">
        <v>262</v>
      </c>
      <c r="E4" s="409"/>
      <c r="F4" s="409"/>
    </row>
    <row r="5" spans="1:15" ht="15.75" thickBot="1" x14ac:dyDescent="0.3"/>
    <row r="6" spans="1:15" s="847" customFormat="1" ht="16.149999999999999" customHeight="1" thickBot="1" x14ac:dyDescent="0.25">
      <c r="A6" s="454" t="s">
        <v>936</v>
      </c>
      <c r="B6" s="846" t="str">
        <f>'Datos Gastos Fijos'!D7</f>
        <v>enero</v>
      </c>
      <c r="C6" s="840" t="str">
        <f>'Datos Gastos Fijos'!E7</f>
        <v>febrero</v>
      </c>
      <c r="D6" s="840" t="str">
        <f>'Datos Gastos Fijos'!F7</f>
        <v>marzo</v>
      </c>
      <c r="E6" s="840" t="str">
        <f>'Datos Gastos Fijos'!G7</f>
        <v>abril</v>
      </c>
      <c r="F6" s="840" t="str">
        <f>'Datos Gastos Fijos'!H7</f>
        <v>mayo</v>
      </c>
      <c r="G6" s="840" t="str">
        <f>'Datos Gastos Fijos'!I7</f>
        <v>junio</v>
      </c>
      <c r="H6" s="840" t="str">
        <f>'Datos Gastos Fijos'!J7</f>
        <v>julio</v>
      </c>
      <c r="I6" s="840" t="str">
        <f>'Datos Gastos Fijos'!K7</f>
        <v>agosto</v>
      </c>
      <c r="J6" s="840" t="str">
        <f>'Datos Gastos Fijos'!L7</f>
        <v>septiembre</v>
      </c>
      <c r="K6" s="840" t="str">
        <f>'Datos Gastos Fijos'!M7</f>
        <v>octubre</v>
      </c>
      <c r="L6" s="840" t="str">
        <f>'Datos Gastos Fijos'!N7</f>
        <v>noviembre</v>
      </c>
      <c r="M6" s="840" t="str">
        <f>'Datos Gastos Fijos'!O7</f>
        <v>diciembre</v>
      </c>
      <c r="N6" s="840" t="s">
        <v>860</v>
      </c>
    </row>
    <row r="7" spans="1:15" s="845" customFormat="1" ht="16.149999999999999" customHeight="1" x14ac:dyDescent="0.3">
      <c r="A7" s="848" t="str">
        <f>'Politicas Cobros y Pagos'!A40</f>
        <v/>
      </c>
      <c r="B7" s="988">
        <f>'Prev.Ventas 4'!B17*(1+Parametros!$E24)-'Prev.Ventas 4'!B17*retIRPF</f>
        <v>0</v>
      </c>
      <c r="C7" s="988">
        <f>'Prev.Ventas 4'!C17*(1+Parametros!$E24)-'Prev.Ventas 4'!C17*retIRPF</f>
        <v>0</v>
      </c>
      <c r="D7" s="988">
        <f>'Prev.Ventas 4'!D17*(1+Parametros!$E24)-'Prev.Ventas 4'!D17*retIRPF</f>
        <v>0</v>
      </c>
      <c r="E7" s="988">
        <f>'Prev.Ventas 4'!E17*(1+Parametros!$E24)-'Prev.Ventas 4'!E17*retIRPF</f>
        <v>0</v>
      </c>
      <c r="F7" s="988">
        <f>'Prev.Ventas 4'!F17*(1+Parametros!$E24)-'Prev.Ventas 4'!F17*retIRPF</f>
        <v>0</v>
      </c>
      <c r="G7" s="988">
        <f>'Prev.Ventas 4'!G17*(1+Parametros!$E24)-'Prev.Ventas 4'!G17*retIRPF</f>
        <v>0</v>
      </c>
      <c r="H7" s="988">
        <f>'Prev.Ventas 4'!H17*(1+Parametros!$E24)-'Prev.Ventas 4'!H17*retIRPF</f>
        <v>0</v>
      </c>
      <c r="I7" s="988">
        <f>'Prev.Ventas 4'!I17*(1+Parametros!$E24)-'Prev.Ventas 4'!I17*retIRPF</f>
        <v>0</v>
      </c>
      <c r="J7" s="988">
        <f>'Prev.Ventas 4'!J17*(1+Parametros!$E24)-'Prev.Ventas 4'!J17*retIRPF</f>
        <v>0</v>
      </c>
      <c r="K7" s="988">
        <f>'Prev.Ventas 4'!K17*(1+Parametros!$E24)-'Prev.Ventas 4'!K17*retIRPF</f>
        <v>0</v>
      </c>
      <c r="L7" s="988">
        <f>'Prev.Ventas 4'!L17*(1+Parametros!$E24)-'Prev.Ventas 4'!L17*retIRPF</f>
        <v>0</v>
      </c>
      <c r="M7" s="988">
        <f>'Prev.Ventas 4'!M17*(1+Parametros!$E24)-'Prev.Ventas 4'!M17*retIRPF</f>
        <v>0</v>
      </c>
      <c r="N7" s="989">
        <f t="shared" ref="N7:N14" si="0">SUM(B7:M7)</f>
        <v>0</v>
      </c>
    </row>
    <row r="8" spans="1:15" s="845" customFormat="1" ht="16.149999999999999" customHeight="1" x14ac:dyDescent="0.3">
      <c r="A8" s="849" t="str">
        <f>'Politicas Cobros y Pagos'!A41</f>
        <v/>
      </c>
      <c r="B8" s="988">
        <f>'Prev.Ventas 4'!B18*(1+Parametros!$E25)-'Prev.Ventas 4'!B18*retIRPF</f>
        <v>0</v>
      </c>
      <c r="C8" s="988">
        <f>'Prev.Ventas 4'!C18*(1+Parametros!$E25)-'Prev.Ventas 4'!C18*retIRPF</f>
        <v>0</v>
      </c>
      <c r="D8" s="988">
        <f>'Prev.Ventas 4'!D18*(1+Parametros!$E25)-'Prev.Ventas 4'!D18*retIRPF</f>
        <v>0</v>
      </c>
      <c r="E8" s="988">
        <f>'Prev.Ventas 4'!E18*(1+Parametros!$E25)-'Prev.Ventas 4'!E18*retIRPF</f>
        <v>0</v>
      </c>
      <c r="F8" s="988">
        <f>'Prev.Ventas 4'!F18*(1+Parametros!$E25)-'Prev.Ventas 4'!F18*retIRPF</f>
        <v>0</v>
      </c>
      <c r="G8" s="988">
        <f>'Prev.Ventas 4'!G18*(1+Parametros!$E25)-'Prev.Ventas 4'!G18*retIRPF</f>
        <v>0</v>
      </c>
      <c r="H8" s="988">
        <f>'Prev.Ventas 4'!H18*(1+Parametros!$E25)-'Prev.Ventas 4'!H18*retIRPF</f>
        <v>0</v>
      </c>
      <c r="I8" s="988">
        <f>'Prev.Ventas 4'!I18*(1+Parametros!$E25)-'Prev.Ventas 4'!I18*retIRPF</f>
        <v>0</v>
      </c>
      <c r="J8" s="988">
        <f>'Prev.Ventas 4'!J18*(1+Parametros!$E25)-'Prev.Ventas 4'!J18*retIRPF</f>
        <v>0</v>
      </c>
      <c r="K8" s="988">
        <f>'Prev.Ventas 4'!K18*(1+Parametros!$E25)-'Prev.Ventas 4'!K18*retIRPF</f>
        <v>0</v>
      </c>
      <c r="L8" s="988">
        <f>'Prev.Ventas 4'!L18*(1+Parametros!$E25)-'Prev.Ventas 4'!L18*retIRPF</f>
        <v>0</v>
      </c>
      <c r="M8" s="988">
        <f>'Prev.Ventas 4'!M18*(1+Parametros!$E25)-'Prev.Ventas 4'!M18*retIRPF</f>
        <v>0</v>
      </c>
      <c r="N8" s="989">
        <f t="shared" si="0"/>
        <v>0</v>
      </c>
    </row>
    <row r="9" spans="1:15" s="845" customFormat="1" ht="16.149999999999999" customHeight="1" x14ac:dyDescent="0.3">
      <c r="A9" s="849" t="str">
        <f>'Politicas Cobros y Pagos'!A42</f>
        <v/>
      </c>
      <c r="B9" s="988">
        <f>'Prev.Ventas 4'!B19*(1+Parametros!$E26)-'Prev.Ventas 4'!B19*retIRPF</f>
        <v>0</v>
      </c>
      <c r="C9" s="988">
        <f>'Prev.Ventas 4'!C19*(1+Parametros!$E26)-'Prev.Ventas 4'!C19*retIRPF</f>
        <v>0</v>
      </c>
      <c r="D9" s="988">
        <f>'Prev.Ventas 4'!D19*(1+Parametros!$E26)-'Prev.Ventas 4'!D19*retIRPF</f>
        <v>0</v>
      </c>
      <c r="E9" s="988">
        <f>'Prev.Ventas 4'!E19*(1+Parametros!$E26)-'Prev.Ventas 4'!E19*retIRPF</f>
        <v>0</v>
      </c>
      <c r="F9" s="988">
        <f>'Prev.Ventas 4'!F19*(1+Parametros!$E26)-'Prev.Ventas 4'!F19*retIRPF</f>
        <v>0</v>
      </c>
      <c r="G9" s="988">
        <f>'Prev.Ventas 4'!G19*(1+Parametros!$E26)-'Prev.Ventas 4'!G19*retIRPF</f>
        <v>0</v>
      </c>
      <c r="H9" s="988">
        <f>'Prev.Ventas 4'!H19*(1+Parametros!$E26)-'Prev.Ventas 4'!H19*retIRPF</f>
        <v>0</v>
      </c>
      <c r="I9" s="988">
        <f>'Prev.Ventas 4'!I19*(1+Parametros!$E26)-'Prev.Ventas 4'!I19*retIRPF</f>
        <v>0</v>
      </c>
      <c r="J9" s="988">
        <f>'Prev.Ventas 4'!J19*(1+Parametros!$E26)-'Prev.Ventas 4'!J19*retIRPF</f>
        <v>0</v>
      </c>
      <c r="K9" s="988">
        <f>'Prev.Ventas 4'!K19*(1+Parametros!$E26)-'Prev.Ventas 4'!K19*retIRPF</f>
        <v>0</v>
      </c>
      <c r="L9" s="988">
        <f>'Prev.Ventas 4'!L19*(1+Parametros!$E26)-'Prev.Ventas 4'!L19*retIRPF</f>
        <v>0</v>
      </c>
      <c r="M9" s="988">
        <f>'Prev.Ventas 4'!M19*(1+Parametros!$E26)-'Prev.Ventas 4'!M19*retIRPF</f>
        <v>0</v>
      </c>
      <c r="N9" s="989">
        <f t="shared" si="0"/>
        <v>0</v>
      </c>
    </row>
    <row r="10" spans="1:15" s="845" customFormat="1" ht="16.149999999999999" customHeight="1" x14ac:dyDescent="0.3">
      <c r="A10" s="849" t="str">
        <f>'Politicas Cobros y Pagos'!A43</f>
        <v/>
      </c>
      <c r="B10" s="988">
        <f>'Prev.Ventas 4'!B20*(1+Parametros!$E27)-'Prev.Ventas 4'!B20*retIRPF</f>
        <v>0</v>
      </c>
      <c r="C10" s="988">
        <f>'Prev.Ventas 4'!C20*(1+Parametros!$E27)-'Prev.Ventas 4'!C20*retIRPF</f>
        <v>0</v>
      </c>
      <c r="D10" s="988">
        <f>'Prev.Ventas 4'!D20*(1+Parametros!$E27)-'Prev.Ventas 4'!D20*retIRPF</f>
        <v>0</v>
      </c>
      <c r="E10" s="988">
        <f>'Prev.Ventas 4'!E20*(1+Parametros!$E27)-'Prev.Ventas 4'!E20*retIRPF</f>
        <v>0</v>
      </c>
      <c r="F10" s="988">
        <f>'Prev.Ventas 4'!F20*(1+Parametros!$E27)-'Prev.Ventas 4'!F20*retIRPF</f>
        <v>0</v>
      </c>
      <c r="G10" s="988">
        <f>'Prev.Ventas 4'!G20*(1+Parametros!$E27)-'Prev.Ventas 4'!G20*retIRPF</f>
        <v>0</v>
      </c>
      <c r="H10" s="988">
        <f>'Prev.Ventas 4'!H20*(1+Parametros!$E27)-'Prev.Ventas 4'!H20*retIRPF</f>
        <v>0</v>
      </c>
      <c r="I10" s="988">
        <f>'Prev.Ventas 4'!I20*(1+Parametros!$E27)-'Prev.Ventas 4'!I20*retIRPF</f>
        <v>0</v>
      </c>
      <c r="J10" s="988">
        <f>'Prev.Ventas 4'!J20*(1+Parametros!$E27)-'Prev.Ventas 4'!J20*retIRPF</f>
        <v>0</v>
      </c>
      <c r="K10" s="988">
        <f>'Prev.Ventas 4'!K20*(1+Parametros!$E27)-'Prev.Ventas 4'!K20*retIRPF</f>
        <v>0</v>
      </c>
      <c r="L10" s="988">
        <f>'Prev.Ventas 4'!L20*(1+Parametros!$E27)-'Prev.Ventas 4'!L20*retIRPF</f>
        <v>0</v>
      </c>
      <c r="M10" s="988">
        <f>'Prev.Ventas 4'!M20*(1+Parametros!$E27)-'Prev.Ventas 4'!M20*retIRPF</f>
        <v>0</v>
      </c>
      <c r="N10" s="989">
        <f t="shared" si="0"/>
        <v>0</v>
      </c>
    </row>
    <row r="11" spans="1:15" s="845" customFormat="1" ht="16.149999999999999" customHeight="1" x14ac:dyDescent="0.3">
      <c r="A11" s="849" t="str">
        <f>'Politicas Cobros y Pagos'!A44</f>
        <v/>
      </c>
      <c r="B11" s="988">
        <f>'Prev.Ventas 4'!B21*(1+Parametros!$E28)-'Prev.Ventas 4'!B21*retIRPF</f>
        <v>0</v>
      </c>
      <c r="C11" s="988">
        <f>'Prev.Ventas 4'!C21*(1+Parametros!$E28)-'Prev.Ventas 4'!C21*retIRPF</f>
        <v>0</v>
      </c>
      <c r="D11" s="988">
        <f>'Prev.Ventas 4'!D21*(1+Parametros!$E28)-'Prev.Ventas 4'!D21*retIRPF</f>
        <v>0</v>
      </c>
      <c r="E11" s="988">
        <f>'Prev.Ventas 4'!E21*(1+Parametros!$E28)-'Prev.Ventas 4'!E21*retIRPF</f>
        <v>0</v>
      </c>
      <c r="F11" s="988">
        <f>'Prev.Ventas 4'!F21*(1+Parametros!$E28)-'Prev.Ventas 4'!F21*retIRPF</f>
        <v>0</v>
      </c>
      <c r="G11" s="988">
        <f>'Prev.Ventas 4'!G21*(1+Parametros!$E28)-'Prev.Ventas 4'!G21*retIRPF</f>
        <v>0</v>
      </c>
      <c r="H11" s="988">
        <f>'Prev.Ventas 4'!H21*(1+Parametros!$E28)-'Prev.Ventas 4'!H21*retIRPF</f>
        <v>0</v>
      </c>
      <c r="I11" s="988">
        <f>'Prev.Ventas 4'!I21*(1+Parametros!$E28)-'Prev.Ventas 4'!I21*retIRPF</f>
        <v>0</v>
      </c>
      <c r="J11" s="988">
        <f>'Prev.Ventas 4'!J21*(1+Parametros!$E28)-'Prev.Ventas 4'!J21*retIRPF</f>
        <v>0</v>
      </c>
      <c r="K11" s="988">
        <f>'Prev.Ventas 4'!K21*(1+Parametros!$E28)-'Prev.Ventas 4'!K21*retIRPF</f>
        <v>0</v>
      </c>
      <c r="L11" s="988">
        <f>'Prev.Ventas 4'!L21*(1+Parametros!$E28)-'Prev.Ventas 4'!L21*retIRPF</f>
        <v>0</v>
      </c>
      <c r="M11" s="988">
        <f>'Prev.Ventas 4'!M21*(1+Parametros!$E28)-'Prev.Ventas 4'!M21*retIRPF</f>
        <v>0</v>
      </c>
      <c r="N11" s="989">
        <f t="shared" si="0"/>
        <v>0</v>
      </c>
    </row>
    <row r="12" spans="1:15" s="845" customFormat="1" ht="16.149999999999999" customHeight="1" x14ac:dyDescent="0.3">
      <c r="A12" s="849" t="str">
        <f>'Politicas Cobros y Pagos'!A45</f>
        <v/>
      </c>
      <c r="B12" s="988">
        <f>'Prev.Ventas 4'!B22*(1+Parametros!$E29)-'Prev.Ventas 4'!B22*retIRPF</f>
        <v>0</v>
      </c>
      <c r="C12" s="988">
        <f>'Prev.Ventas 4'!C22*(1+Parametros!$E29)-'Prev.Ventas 4'!C22*retIRPF</f>
        <v>0</v>
      </c>
      <c r="D12" s="988">
        <f>'Prev.Ventas 4'!D22*(1+Parametros!$E29)-'Prev.Ventas 4'!D22*retIRPF</f>
        <v>0</v>
      </c>
      <c r="E12" s="988">
        <f>'Prev.Ventas 4'!E22*(1+Parametros!$E29)-'Prev.Ventas 4'!E22*retIRPF</f>
        <v>0</v>
      </c>
      <c r="F12" s="988">
        <f>'Prev.Ventas 4'!F22*(1+Parametros!$E29)-'Prev.Ventas 4'!F22*retIRPF</f>
        <v>0</v>
      </c>
      <c r="G12" s="988">
        <f>'Prev.Ventas 4'!G22*(1+Parametros!$E29)-'Prev.Ventas 4'!G22*retIRPF</f>
        <v>0</v>
      </c>
      <c r="H12" s="988">
        <f>'Prev.Ventas 4'!H22*(1+Parametros!$E29)-'Prev.Ventas 4'!H22*retIRPF</f>
        <v>0</v>
      </c>
      <c r="I12" s="988">
        <f>'Prev.Ventas 4'!I22*(1+Parametros!$E29)-'Prev.Ventas 4'!I22*retIRPF</f>
        <v>0</v>
      </c>
      <c r="J12" s="988">
        <f>'Prev.Ventas 4'!J22*(1+Parametros!$E29)-'Prev.Ventas 4'!J22*retIRPF</f>
        <v>0</v>
      </c>
      <c r="K12" s="988">
        <f>'Prev.Ventas 4'!K22*(1+Parametros!$E29)-'Prev.Ventas 4'!K22*retIRPF</f>
        <v>0</v>
      </c>
      <c r="L12" s="988">
        <f>'Prev.Ventas 4'!L22*(1+Parametros!$E29)-'Prev.Ventas 4'!L22*retIRPF</f>
        <v>0</v>
      </c>
      <c r="M12" s="988">
        <f>'Prev.Ventas 4'!M22*(1+Parametros!$E29)-'Prev.Ventas 4'!M22*retIRPF</f>
        <v>0</v>
      </c>
      <c r="N12" s="989">
        <f t="shared" si="0"/>
        <v>0</v>
      </c>
    </row>
    <row r="13" spans="1:15" s="845" customFormat="1" ht="16.149999999999999" customHeight="1" x14ac:dyDescent="0.3">
      <c r="A13" s="849" t="str">
        <f>'Politicas Cobros y Pagos'!A46</f>
        <v/>
      </c>
      <c r="B13" s="988">
        <f>'Prev.Ventas 4'!B23*(1+Parametros!$E30)-'Prev.Ventas 4'!B23*retIRPF</f>
        <v>0</v>
      </c>
      <c r="C13" s="988">
        <f>'Prev.Ventas 4'!C23*(1+Parametros!$E30)-'Prev.Ventas 4'!C23*retIRPF</f>
        <v>0</v>
      </c>
      <c r="D13" s="988">
        <f>'Prev.Ventas 4'!D23*(1+Parametros!$E30)-'Prev.Ventas 4'!D23*retIRPF</f>
        <v>0</v>
      </c>
      <c r="E13" s="988">
        <f>'Prev.Ventas 4'!E23*(1+Parametros!$E30)-'Prev.Ventas 4'!E23*retIRPF</f>
        <v>0</v>
      </c>
      <c r="F13" s="988">
        <f>'Prev.Ventas 4'!F23*(1+Parametros!$E30)-'Prev.Ventas 4'!F23*retIRPF</f>
        <v>0</v>
      </c>
      <c r="G13" s="988">
        <f>'Prev.Ventas 4'!G23*(1+Parametros!$E30)-'Prev.Ventas 4'!G23*retIRPF</f>
        <v>0</v>
      </c>
      <c r="H13" s="988">
        <f>'Prev.Ventas 4'!H23*(1+Parametros!$E30)-'Prev.Ventas 4'!H23*retIRPF</f>
        <v>0</v>
      </c>
      <c r="I13" s="988">
        <f>'Prev.Ventas 4'!I23*(1+Parametros!$E30)-'Prev.Ventas 4'!I23*retIRPF</f>
        <v>0</v>
      </c>
      <c r="J13" s="988">
        <f>'Prev.Ventas 4'!J23*(1+Parametros!$E30)-'Prev.Ventas 4'!J23*retIRPF</f>
        <v>0</v>
      </c>
      <c r="K13" s="988">
        <f>'Prev.Ventas 4'!K23*(1+Parametros!$E30)-'Prev.Ventas 4'!K23*retIRPF</f>
        <v>0</v>
      </c>
      <c r="L13" s="988">
        <f>'Prev.Ventas 4'!L23*(1+Parametros!$E30)-'Prev.Ventas 4'!L23*retIRPF</f>
        <v>0</v>
      </c>
      <c r="M13" s="988">
        <f>'Prev.Ventas 4'!M23*(1+Parametros!$E30)-'Prev.Ventas 4'!M23*retIRPF</f>
        <v>0</v>
      </c>
      <c r="N13" s="989">
        <f t="shared" si="0"/>
        <v>0</v>
      </c>
    </row>
    <row r="14" spans="1:15" s="845" customFormat="1" ht="16.149999999999999" customHeight="1" thickBot="1" x14ac:dyDescent="0.35">
      <c r="A14" s="850" t="str">
        <f>'Politicas Cobros y Pagos'!A47</f>
        <v/>
      </c>
      <c r="B14" s="990">
        <f>'Prev.Ventas 4'!B24*(1+Parametros!$E31)-'Prev.Ventas 4'!B24*retIRPF</f>
        <v>0</v>
      </c>
      <c r="C14" s="990">
        <f>'Prev.Ventas 4'!C24*(1+Parametros!$E31)-'Prev.Ventas 4'!C24*retIRPF</f>
        <v>0</v>
      </c>
      <c r="D14" s="990">
        <f>'Prev.Ventas 4'!D24*(1+Parametros!$E31)-'Prev.Ventas 4'!D24*retIRPF</f>
        <v>0</v>
      </c>
      <c r="E14" s="990">
        <f>'Prev.Ventas 4'!E24*(1+Parametros!$E31)-'Prev.Ventas 4'!E24*retIRPF</f>
        <v>0</v>
      </c>
      <c r="F14" s="990">
        <f>'Prev.Ventas 4'!F24*(1+Parametros!$E31)-'Prev.Ventas 4'!F24*retIRPF</f>
        <v>0</v>
      </c>
      <c r="G14" s="990">
        <f>'Prev.Ventas 4'!G24*(1+Parametros!$E31)-'Prev.Ventas 4'!G24*retIRPF</f>
        <v>0</v>
      </c>
      <c r="H14" s="990">
        <f>'Prev.Ventas 4'!H24*(1+Parametros!$E31)-'Prev.Ventas 4'!H24*retIRPF</f>
        <v>0</v>
      </c>
      <c r="I14" s="990">
        <f>'Prev.Ventas 4'!I24*(1+Parametros!$E31)-'Prev.Ventas 4'!I24*retIRPF</f>
        <v>0</v>
      </c>
      <c r="J14" s="990">
        <f>'Prev.Ventas 4'!J24*(1+Parametros!$E31)-'Prev.Ventas 4'!J24*retIRPF</f>
        <v>0</v>
      </c>
      <c r="K14" s="990">
        <f>'Prev.Ventas 4'!K24*(1+Parametros!$E31)-'Prev.Ventas 4'!K24*retIRPF</f>
        <v>0</v>
      </c>
      <c r="L14" s="990">
        <f>'Prev.Ventas 4'!L24*(1+Parametros!$E31)-'Prev.Ventas 4'!L24*retIRPF</f>
        <v>0</v>
      </c>
      <c r="M14" s="990">
        <f>'Prev.Ventas 4'!M24*(1+Parametros!$E31)-'Prev.Ventas 4'!M24*retIRPF</f>
        <v>0</v>
      </c>
      <c r="N14" s="989">
        <f t="shared" si="0"/>
        <v>0</v>
      </c>
    </row>
    <row r="15" spans="1:15" s="845" customFormat="1" ht="16.149999999999999" customHeight="1" thickBot="1" x14ac:dyDescent="0.35">
      <c r="A15" s="410" t="s">
        <v>860</v>
      </c>
      <c r="B15" s="851">
        <f t="shared" ref="B15:N15" si="1">SUM(B7:B14)</f>
        <v>0</v>
      </c>
      <c r="C15" s="851">
        <f t="shared" si="1"/>
        <v>0</v>
      </c>
      <c r="D15" s="851">
        <f t="shared" si="1"/>
        <v>0</v>
      </c>
      <c r="E15" s="851">
        <f t="shared" si="1"/>
        <v>0</v>
      </c>
      <c r="F15" s="851">
        <f t="shared" si="1"/>
        <v>0</v>
      </c>
      <c r="G15" s="851">
        <f t="shared" si="1"/>
        <v>0</v>
      </c>
      <c r="H15" s="851">
        <f t="shared" si="1"/>
        <v>0</v>
      </c>
      <c r="I15" s="851">
        <f t="shared" si="1"/>
        <v>0</v>
      </c>
      <c r="J15" s="851">
        <f t="shared" si="1"/>
        <v>0</v>
      </c>
      <c r="K15" s="851">
        <f t="shared" si="1"/>
        <v>0</v>
      </c>
      <c r="L15" s="851">
        <f t="shared" si="1"/>
        <v>0</v>
      </c>
      <c r="M15" s="851">
        <f t="shared" si="1"/>
        <v>0</v>
      </c>
      <c r="N15" s="851">
        <f t="shared" si="1"/>
        <v>0</v>
      </c>
    </row>
    <row r="16" spans="1:15" s="845" customFormat="1" ht="16.149999999999999" customHeight="1" x14ac:dyDescent="0.3">
      <c r="A16" s="442"/>
    </row>
    <row r="17" spans="1:19" s="845" customFormat="1" ht="27.75" x14ac:dyDescent="0.45">
      <c r="A17" s="408" t="s">
        <v>988</v>
      </c>
      <c r="B17" s="847"/>
      <c r="E17" s="409"/>
      <c r="F17" s="409"/>
    </row>
    <row r="18" spans="1:19" ht="16.5" thickBot="1" x14ac:dyDescent="0.3">
      <c r="A18" s="446"/>
      <c r="B18" s="446"/>
      <c r="O18" s="446"/>
      <c r="P18" s="852" t="s">
        <v>160</v>
      </c>
      <c r="Q18" s="867">
        <f>G1+1</f>
        <v>2031</v>
      </c>
    </row>
    <row r="19" spans="1:19" s="847" customFormat="1" ht="28.5" customHeight="1" thickBot="1" x14ac:dyDescent="0.25">
      <c r="A19" s="454" t="s">
        <v>937</v>
      </c>
      <c r="B19" s="854" t="str">
        <f t="shared" ref="B19:M19" si="2">CONCATENATE(B6," ","
",
$G$1)</f>
        <v>enero 
2030</v>
      </c>
      <c r="C19" s="854" t="str">
        <f t="shared" si="2"/>
        <v>febrero 
2030</v>
      </c>
      <c r="D19" s="854" t="str">
        <f t="shared" si="2"/>
        <v>marzo 
2030</v>
      </c>
      <c r="E19" s="854" t="str">
        <f t="shared" si="2"/>
        <v>abril 
2030</v>
      </c>
      <c r="F19" s="854" t="str">
        <f t="shared" si="2"/>
        <v>mayo 
2030</v>
      </c>
      <c r="G19" s="854" t="str">
        <f t="shared" si="2"/>
        <v>junio 
2030</v>
      </c>
      <c r="H19" s="854" t="str">
        <f t="shared" si="2"/>
        <v>julio 
2030</v>
      </c>
      <c r="I19" s="854" t="str">
        <f t="shared" si="2"/>
        <v>agosto 
2030</v>
      </c>
      <c r="J19" s="854" t="str">
        <f t="shared" si="2"/>
        <v>septiembre 
2030</v>
      </c>
      <c r="K19" s="854" t="str">
        <f t="shared" si="2"/>
        <v>octubre 
2030</v>
      </c>
      <c r="L19" s="854" t="str">
        <f t="shared" si="2"/>
        <v>noviembre 
2030</v>
      </c>
      <c r="M19" s="854" t="str">
        <f t="shared" si="2"/>
        <v>diciembre 
2030</v>
      </c>
      <c r="N19" s="854" t="str">
        <f t="shared" ref="N19:S19" si="3">CONCATENATE(B6," ","
",
$Q$18)</f>
        <v>enero 
2031</v>
      </c>
      <c r="O19" s="854" t="str">
        <f t="shared" si="3"/>
        <v>febrero 
2031</v>
      </c>
      <c r="P19" s="854" t="str">
        <f t="shared" si="3"/>
        <v>marzo 
2031</v>
      </c>
      <c r="Q19" s="854" t="str">
        <f t="shared" si="3"/>
        <v>abril 
2031</v>
      </c>
      <c r="R19" s="854" t="str">
        <f t="shared" si="3"/>
        <v>mayo 
2031</v>
      </c>
      <c r="S19" s="854" t="str">
        <f t="shared" si="3"/>
        <v>junio 
2031</v>
      </c>
    </row>
    <row r="20" spans="1:19" s="843" customFormat="1" ht="16.149999999999999" customHeight="1" x14ac:dyDescent="0.25">
      <c r="A20" s="855" t="s">
        <v>938</v>
      </c>
      <c r="B20" s="988">
        <f>SUMPRODUCT('Politicas Cobros y Pagos'!$B$40:$B$47,B7:B14)</f>
        <v>0</v>
      </c>
      <c r="C20" s="988">
        <f>SUMPRODUCT('Politicas Cobros y Pagos'!$B$40:$B$47,C7:C14)</f>
        <v>0</v>
      </c>
      <c r="D20" s="988">
        <f>SUMPRODUCT('Politicas Cobros y Pagos'!$B$40:$B$47,D7:D14)</f>
        <v>0</v>
      </c>
      <c r="E20" s="988">
        <f>SUMPRODUCT('Politicas Cobros y Pagos'!$B$40:$B$47,E7:E14)</f>
        <v>0</v>
      </c>
      <c r="F20" s="988">
        <f>SUMPRODUCT('Politicas Cobros y Pagos'!$B$40:$B$47,F7:F14)</f>
        <v>0</v>
      </c>
      <c r="G20" s="988">
        <f>SUMPRODUCT('Politicas Cobros y Pagos'!$B$40:$B$47,G7:G14)</f>
        <v>0</v>
      </c>
      <c r="H20" s="988">
        <f>SUMPRODUCT('Politicas Cobros y Pagos'!$B$40:$B$47,H7:H14)</f>
        <v>0</v>
      </c>
      <c r="I20" s="988">
        <f>SUMPRODUCT('Politicas Cobros y Pagos'!$B$40:$B$47,I7:I14)</f>
        <v>0</v>
      </c>
      <c r="J20" s="988">
        <f>SUMPRODUCT('Politicas Cobros y Pagos'!$B$40:$B$47,J7:J14)</f>
        <v>0</v>
      </c>
      <c r="K20" s="988">
        <f>SUMPRODUCT('Politicas Cobros y Pagos'!$B$40:$B$47,K7:K14)</f>
        <v>0</v>
      </c>
      <c r="L20" s="988">
        <f>SUMPRODUCT('Politicas Cobros y Pagos'!$B$40:$B$47,L7:L14)</f>
        <v>0</v>
      </c>
      <c r="M20" s="988">
        <f>SUMPRODUCT('Politicas Cobros y Pagos'!$B$40:$B$47,M7:M14)</f>
        <v>0</v>
      </c>
      <c r="N20" s="988"/>
      <c r="O20" s="988"/>
      <c r="P20" s="988"/>
      <c r="Q20" s="988"/>
      <c r="R20" s="988"/>
      <c r="S20" s="988"/>
    </row>
    <row r="21" spans="1:19" s="845" customFormat="1" ht="16.149999999999999" customHeight="1" x14ac:dyDescent="0.25">
      <c r="A21" s="856">
        <v>30</v>
      </c>
      <c r="B21" s="991">
        <f>'Cobros y pagos 3'!N21</f>
        <v>0</v>
      </c>
      <c r="C21" s="988">
        <f>SUMPRODUCT('Politicas Cobros y Pagos'!$C$40:$C$47,B$7:B$14)</f>
        <v>0</v>
      </c>
      <c r="D21" s="988">
        <f>SUMPRODUCT('Politicas Cobros y Pagos'!$C$40:$C$47,C$7:C$14)</f>
        <v>0</v>
      </c>
      <c r="E21" s="988">
        <f>SUMPRODUCT('Politicas Cobros y Pagos'!$C$40:$C$47,D$7:D$14)</f>
        <v>0</v>
      </c>
      <c r="F21" s="988">
        <f>SUMPRODUCT('Politicas Cobros y Pagos'!$C$40:$C$47,E$7:E$14)</f>
        <v>0</v>
      </c>
      <c r="G21" s="988">
        <f>SUMPRODUCT('Politicas Cobros y Pagos'!$C$40:$C$47,F$7:F$14)</f>
        <v>0</v>
      </c>
      <c r="H21" s="988">
        <f>SUMPRODUCT('Politicas Cobros y Pagos'!$C$40:$C$47,G$7:G$14)</f>
        <v>0</v>
      </c>
      <c r="I21" s="988">
        <f>SUMPRODUCT('Politicas Cobros y Pagos'!$C$40:$C$47,H$7:H$14)</f>
        <v>0</v>
      </c>
      <c r="J21" s="988">
        <f>SUMPRODUCT('Politicas Cobros y Pagos'!$C$40:$C$47,I$7:I$14)</f>
        <v>0</v>
      </c>
      <c r="K21" s="988">
        <f>SUMPRODUCT('Politicas Cobros y Pagos'!$C$40:$C$47,J$7:J$14)</f>
        <v>0</v>
      </c>
      <c r="L21" s="988">
        <f>SUMPRODUCT('Politicas Cobros y Pagos'!$C$40:$C$47,K$7:K$14)</f>
        <v>0</v>
      </c>
      <c r="M21" s="988">
        <f>SUMPRODUCT('Politicas Cobros y Pagos'!$C$40:$C$47,L$7:L$14)</f>
        <v>0</v>
      </c>
      <c r="N21" s="988">
        <f>SUMPRODUCT('Politicas Cobros y Pagos'!$C$40:$C$47,M$7:M$14)</f>
        <v>0</v>
      </c>
      <c r="O21" s="988"/>
      <c r="P21" s="988"/>
      <c r="Q21" s="988"/>
      <c r="R21" s="988"/>
      <c r="S21" s="988"/>
    </row>
    <row r="22" spans="1:19" s="843" customFormat="1" ht="16.149999999999999" customHeight="1" x14ac:dyDescent="0.25">
      <c r="A22" s="856">
        <v>60</v>
      </c>
      <c r="B22" s="991">
        <f>'Cobros y pagos 3'!N22</f>
        <v>0</v>
      </c>
      <c r="C22" s="991">
        <f>'Cobros y pagos 3'!O22</f>
        <v>0</v>
      </c>
      <c r="D22" s="988">
        <f>SUMPRODUCT('Politicas Cobros y Pagos'!$D$40:$D$47,B$7:B$14)</f>
        <v>0</v>
      </c>
      <c r="E22" s="988">
        <f>SUMPRODUCT('Politicas Cobros y Pagos'!$D$40:$D$47,C$7:C$14)</f>
        <v>0</v>
      </c>
      <c r="F22" s="988">
        <f>SUMPRODUCT('Politicas Cobros y Pagos'!$D$40:$D$47,D$7:D$14)</f>
        <v>0</v>
      </c>
      <c r="G22" s="988">
        <f>SUMPRODUCT('Politicas Cobros y Pagos'!$D$40:$D$47,E$7:E$14)</f>
        <v>0</v>
      </c>
      <c r="H22" s="988">
        <f>SUMPRODUCT('Politicas Cobros y Pagos'!$D$40:$D$47,F$7:F$14)</f>
        <v>0</v>
      </c>
      <c r="I22" s="988">
        <f>SUMPRODUCT('Politicas Cobros y Pagos'!$D$40:$D$47,G$7:G$14)</f>
        <v>0</v>
      </c>
      <c r="J22" s="988">
        <f>SUMPRODUCT('Politicas Cobros y Pagos'!$D$40:$D$47,H$7:H$14)</f>
        <v>0</v>
      </c>
      <c r="K22" s="988">
        <f>SUMPRODUCT('Politicas Cobros y Pagos'!$D$40:$D$47,I$7:I$14)</f>
        <v>0</v>
      </c>
      <c r="L22" s="988">
        <f>SUMPRODUCT('Politicas Cobros y Pagos'!$D$40:$D$47,J$7:J$14)</f>
        <v>0</v>
      </c>
      <c r="M22" s="988">
        <f>SUMPRODUCT('Politicas Cobros y Pagos'!$D$40:$D$47,K$7:K$14)</f>
        <v>0</v>
      </c>
      <c r="N22" s="988">
        <f>SUMPRODUCT('Politicas Cobros y Pagos'!$D$40:$D$47,L$7:L$14)</f>
        <v>0</v>
      </c>
      <c r="O22" s="988">
        <f>SUMPRODUCT('Politicas Cobros y Pagos'!$D$40:$D$47,M$7:M$14)</f>
        <v>0</v>
      </c>
      <c r="P22" s="988"/>
      <c r="Q22" s="988"/>
      <c r="R22" s="988"/>
      <c r="S22" s="988"/>
    </row>
    <row r="23" spans="1:19" s="843" customFormat="1" ht="16.149999999999999" customHeight="1" x14ac:dyDescent="0.25">
      <c r="A23" s="856">
        <v>90</v>
      </c>
      <c r="B23" s="991">
        <f>'Cobros y pagos 3'!N23</f>
        <v>0</v>
      </c>
      <c r="C23" s="991">
        <f>'Cobros y pagos 3'!O23</f>
        <v>0</v>
      </c>
      <c r="D23" s="991">
        <f>'Cobros y pagos 3'!P23</f>
        <v>0</v>
      </c>
      <c r="E23" s="988">
        <f>SUMPRODUCT('Politicas Cobros y Pagos'!$E$40:$E$47,B$7:B$14)</f>
        <v>0</v>
      </c>
      <c r="F23" s="988">
        <f>SUMPRODUCT('Politicas Cobros y Pagos'!$E$40:$E$47,C$7:C$14)</f>
        <v>0</v>
      </c>
      <c r="G23" s="988">
        <f>SUMPRODUCT('Politicas Cobros y Pagos'!$E$40:$E$47,D$7:D$14)</f>
        <v>0</v>
      </c>
      <c r="H23" s="988">
        <f>SUMPRODUCT('Politicas Cobros y Pagos'!$E$40:$E$47,E$7:E$14)</f>
        <v>0</v>
      </c>
      <c r="I23" s="988">
        <f>SUMPRODUCT('Politicas Cobros y Pagos'!$E$40:$E$47,F$7:F$14)</f>
        <v>0</v>
      </c>
      <c r="J23" s="988">
        <f>SUMPRODUCT('Politicas Cobros y Pagos'!$E$40:$E$47,G$7:G$14)</f>
        <v>0</v>
      </c>
      <c r="K23" s="988">
        <f>SUMPRODUCT('Politicas Cobros y Pagos'!$E$40:$E$47,H$7:H$14)</f>
        <v>0</v>
      </c>
      <c r="L23" s="988">
        <f>SUMPRODUCT('Politicas Cobros y Pagos'!$E$40:$E$47,I$7:I$14)</f>
        <v>0</v>
      </c>
      <c r="M23" s="988">
        <f>SUMPRODUCT('Politicas Cobros y Pagos'!$E$40:$E$47,J$7:J$14)</f>
        <v>0</v>
      </c>
      <c r="N23" s="988">
        <f>SUMPRODUCT('Politicas Cobros y Pagos'!$E$40:$E$47,K$7:K$14)</f>
        <v>0</v>
      </c>
      <c r="O23" s="988">
        <f>SUMPRODUCT('Politicas Cobros y Pagos'!$E$40:$E$47,L$7:L$14)</f>
        <v>0</v>
      </c>
      <c r="P23" s="988">
        <f>SUMPRODUCT('Politicas Cobros y Pagos'!$E$40:$E$47,M$7:M$14)</f>
        <v>0</v>
      </c>
      <c r="Q23" s="988"/>
      <c r="R23" s="988"/>
      <c r="S23" s="988"/>
    </row>
    <row r="24" spans="1:19" s="843" customFormat="1" ht="16.149999999999999" customHeight="1" x14ac:dyDescent="0.25">
      <c r="A24" s="856">
        <v>120</v>
      </c>
      <c r="B24" s="991">
        <f>'Cobros y pagos 3'!N24</f>
        <v>0</v>
      </c>
      <c r="C24" s="991">
        <f>'Cobros y pagos 3'!O24</f>
        <v>0</v>
      </c>
      <c r="D24" s="991">
        <f>'Cobros y pagos 3'!P24</f>
        <v>0</v>
      </c>
      <c r="E24" s="991">
        <f>'Cobros y pagos 3'!Q24</f>
        <v>0</v>
      </c>
      <c r="F24" s="988">
        <f>SUMPRODUCT('Politicas Cobros y Pagos'!$F$40:$F$47,B$7:B$14)</f>
        <v>0</v>
      </c>
      <c r="G24" s="988">
        <f>SUMPRODUCT('Politicas Cobros y Pagos'!$F$40:$F$47,C$7:C$14)</f>
        <v>0</v>
      </c>
      <c r="H24" s="988">
        <f>SUMPRODUCT('Politicas Cobros y Pagos'!$F$40:$F$47,D$7:D$14)</f>
        <v>0</v>
      </c>
      <c r="I24" s="988">
        <f>SUMPRODUCT('Politicas Cobros y Pagos'!$F$40:$F$47,E$7:E$14)</f>
        <v>0</v>
      </c>
      <c r="J24" s="988">
        <f>SUMPRODUCT('Politicas Cobros y Pagos'!$F$40:$F$47,F$7:F$14)</f>
        <v>0</v>
      </c>
      <c r="K24" s="988">
        <f>SUMPRODUCT('Politicas Cobros y Pagos'!$F$40:$F$47,G$7:G$14)</f>
        <v>0</v>
      </c>
      <c r="L24" s="988">
        <f>SUMPRODUCT('Politicas Cobros y Pagos'!$F$40:$F$47,H$7:H$14)</f>
        <v>0</v>
      </c>
      <c r="M24" s="988">
        <f>SUMPRODUCT('Politicas Cobros y Pagos'!$F$40:$F$47,I$7:I$14)</f>
        <v>0</v>
      </c>
      <c r="N24" s="988">
        <f>SUMPRODUCT('Politicas Cobros y Pagos'!$F$40:$F$47,J$7:J$14)</f>
        <v>0</v>
      </c>
      <c r="O24" s="988">
        <f>SUMPRODUCT('Politicas Cobros y Pagos'!$F$40:$F$47,K$7:K$14)</f>
        <v>0</v>
      </c>
      <c r="P24" s="988">
        <f>SUMPRODUCT('Politicas Cobros y Pagos'!$F$40:$F$47,L$7:L$14)</f>
        <v>0</v>
      </c>
      <c r="Q24" s="988">
        <f>SUMPRODUCT('Politicas Cobros y Pagos'!$F$40:$F$47,M$7:M$14)</f>
        <v>0</v>
      </c>
      <c r="R24" s="988"/>
      <c r="S24" s="988"/>
    </row>
    <row r="25" spans="1:19" s="843" customFormat="1" ht="16.149999999999999" customHeight="1" x14ac:dyDescent="0.25">
      <c r="A25" s="856">
        <v>150</v>
      </c>
      <c r="B25" s="991">
        <f>'Cobros y pagos 3'!N25</f>
        <v>0</v>
      </c>
      <c r="C25" s="991">
        <f>'Cobros y pagos 3'!O25</f>
        <v>0</v>
      </c>
      <c r="D25" s="991">
        <f>'Cobros y pagos 3'!P25</f>
        <v>0</v>
      </c>
      <c r="E25" s="991">
        <f>'Cobros y pagos 3'!Q25</f>
        <v>0</v>
      </c>
      <c r="F25" s="991">
        <f>'Cobros y pagos 3'!R25</f>
        <v>0</v>
      </c>
      <c r="G25" s="988">
        <f>SUMPRODUCT('Politicas Cobros y Pagos'!$G$40:$G$47,B$7:B$14)</f>
        <v>0</v>
      </c>
      <c r="H25" s="988">
        <f>SUMPRODUCT('Politicas Cobros y Pagos'!$G$40:$G$47,C$7:C$14)</f>
        <v>0</v>
      </c>
      <c r="I25" s="988">
        <f>SUMPRODUCT('Politicas Cobros y Pagos'!$G$40:$G$47,D$7:D$14)</f>
        <v>0</v>
      </c>
      <c r="J25" s="988">
        <f>SUMPRODUCT('Politicas Cobros y Pagos'!$G$40:$G$47,E$7:E$14)</f>
        <v>0</v>
      </c>
      <c r="K25" s="988">
        <f>SUMPRODUCT('Politicas Cobros y Pagos'!$G$40:$G$47,F$7:F$14)</f>
        <v>0</v>
      </c>
      <c r="L25" s="988">
        <f>SUMPRODUCT('Politicas Cobros y Pagos'!$G$40:$G$47,G$7:G$14)</f>
        <v>0</v>
      </c>
      <c r="M25" s="988">
        <f>SUMPRODUCT('Politicas Cobros y Pagos'!$G$40:$G$47,H$7:H$14)</f>
        <v>0</v>
      </c>
      <c r="N25" s="988">
        <f>SUMPRODUCT('Politicas Cobros y Pagos'!$G$40:$G$47,I$7:I$14)</f>
        <v>0</v>
      </c>
      <c r="O25" s="988">
        <f>SUMPRODUCT('Politicas Cobros y Pagos'!$G$40:$G$47,J$7:J$14)</f>
        <v>0</v>
      </c>
      <c r="P25" s="988">
        <f>SUMPRODUCT('Politicas Cobros y Pagos'!$G$40:$G$47,K$7:K$14)</f>
        <v>0</v>
      </c>
      <c r="Q25" s="988">
        <f>SUMPRODUCT('Politicas Cobros y Pagos'!$G$40:$G$47,L$7:L$14)</f>
        <v>0</v>
      </c>
      <c r="R25" s="988">
        <f>SUMPRODUCT('Politicas Cobros y Pagos'!$G$40:$G$47,M$7:M$14)</f>
        <v>0</v>
      </c>
      <c r="S25" s="988"/>
    </row>
    <row r="26" spans="1:19" s="843" customFormat="1" ht="16.149999999999999" customHeight="1" x14ac:dyDescent="0.25">
      <c r="A26" s="856">
        <v>180</v>
      </c>
      <c r="B26" s="991">
        <f>'Cobros y pagos 3'!N26</f>
        <v>0</v>
      </c>
      <c r="C26" s="991">
        <f>'Cobros y pagos 3'!O26</f>
        <v>0</v>
      </c>
      <c r="D26" s="991">
        <f>'Cobros y pagos 3'!P26</f>
        <v>0</v>
      </c>
      <c r="E26" s="991">
        <f>'Cobros y pagos 3'!Q26</f>
        <v>0</v>
      </c>
      <c r="F26" s="991">
        <f>'Cobros y pagos 3'!R26</f>
        <v>0</v>
      </c>
      <c r="G26" s="991">
        <f>'Cobros y pagos 3'!S26</f>
        <v>0</v>
      </c>
      <c r="H26" s="988">
        <f>SUMPRODUCT('Politicas Cobros y Pagos'!$H$40:$H$47,B$7:B$14)</f>
        <v>0</v>
      </c>
      <c r="I26" s="988">
        <f>SUMPRODUCT('Politicas Cobros y Pagos'!$H$40:$H$47,C$7:C$14)</f>
        <v>0</v>
      </c>
      <c r="J26" s="988">
        <f>SUMPRODUCT('Politicas Cobros y Pagos'!$H$40:$H$47,D$7:D$14)</f>
        <v>0</v>
      </c>
      <c r="K26" s="988">
        <f>SUMPRODUCT('Politicas Cobros y Pagos'!$H$40:$H$47,E$7:E$14)</f>
        <v>0</v>
      </c>
      <c r="L26" s="988">
        <f>SUMPRODUCT('Politicas Cobros y Pagos'!$H$40:$H$47,F$7:F$14)</f>
        <v>0</v>
      </c>
      <c r="M26" s="988">
        <f>SUMPRODUCT('Politicas Cobros y Pagos'!$H$40:$H$47,G$7:G$14)</f>
        <v>0</v>
      </c>
      <c r="N26" s="988">
        <f>SUMPRODUCT('Politicas Cobros y Pagos'!$H$40:$H$47,H$7:H$14)</f>
        <v>0</v>
      </c>
      <c r="O26" s="988">
        <f>SUMPRODUCT('Politicas Cobros y Pagos'!$H$40:$H$47,I$7:I$14)</f>
        <v>0</v>
      </c>
      <c r="P26" s="988">
        <f>SUMPRODUCT('Politicas Cobros y Pagos'!$H$40:$H$47,J$7:J$14)</f>
        <v>0</v>
      </c>
      <c r="Q26" s="988">
        <f>SUMPRODUCT('Politicas Cobros y Pagos'!$H$40:$H$47,K$7:K$14)</f>
        <v>0</v>
      </c>
      <c r="R26" s="988">
        <f>SUMPRODUCT('Politicas Cobros y Pagos'!$H$40:$H$47,L$7:L$14)</f>
        <v>0</v>
      </c>
      <c r="S26" s="988">
        <f>SUMPRODUCT('Politicas Cobros y Pagos'!$H$40:$H$47,M$7:M$14)</f>
        <v>0</v>
      </c>
    </row>
    <row r="27" spans="1:19" s="845" customFormat="1" ht="16.149999999999999" customHeight="1" thickBot="1" x14ac:dyDescent="0.25">
      <c r="A27" s="857" t="s">
        <v>860</v>
      </c>
      <c r="B27" s="858">
        <f t="shared" ref="B27:S27" si="4">SUM(B20:B26)</f>
        <v>0</v>
      </c>
      <c r="C27" s="858">
        <f t="shared" si="4"/>
        <v>0</v>
      </c>
      <c r="D27" s="858">
        <f t="shared" si="4"/>
        <v>0</v>
      </c>
      <c r="E27" s="858">
        <f t="shared" si="4"/>
        <v>0</v>
      </c>
      <c r="F27" s="858">
        <f t="shared" si="4"/>
        <v>0</v>
      </c>
      <c r="G27" s="858">
        <f t="shared" si="4"/>
        <v>0</v>
      </c>
      <c r="H27" s="858">
        <f t="shared" si="4"/>
        <v>0</v>
      </c>
      <c r="I27" s="858">
        <f t="shared" si="4"/>
        <v>0</v>
      </c>
      <c r="J27" s="858">
        <f t="shared" si="4"/>
        <v>0</v>
      </c>
      <c r="K27" s="858">
        <f t="shared" si="4"/>
        <v>0</v>
      </c>
      <c r="L27" s="858">
        <f t="shared" si="4"/>
        <v>0</v>
      </c>
      <c r="M27" s="858">
        <f t="shared" si="4"/>
        <v>0</v>
      </c>
      <c r="N27" s="858">
        <f t="shared" si="4"/>
        <v>0</v>
      </c>
      <c r="O27" s="858">
        <f t="shared" si="4"/>
        <v>0</v>
      </c>
      <c r="P27" s="858">
        <f t="shared" si="4"/>
        <v>0</v>
      </c>
      <c r="Q27" s="858">
        <f t="shared" si="4"/>
        <v>0</v>
      </c>
      <c r="R27" s="858">
        <f t="shared" si="4"/>
        <v>0</v>
      </c>
      <c r="S27" s="858">
        <f t="shared" si="4"/>
        <v>0</v>
      </c>
    </row>
    <row r="28" spans="1:19" s="845" customFormat="1" ht="13.5" customHeight="1" thickBot="1" x14ac:dyDescent="0.25">
      <c r="B28" s="859"/>
    </row>
    <row r="29" spans="1:19" s="843" customFormat="1" ht="16.149999999999999" customHeight="1" thickBot="1" x14ac:dyDescent="0.3">
      <c r="A29" s="305"/>
      <c r="B29" s="859"/>
      <c r="O29" s="860"/>
      <c r="P29" s="861"/>
      <c r="Q29" s="861"/>
      <c r="R29" s="862" t="str">
        <f>CONCATENATE("Cobros de ventas pendintes para el año ",Q18," (sin IVA)")</f>
        <v>Cobros de ventas pendintes para el año 2031 (sin IVA)</v>
      </c>
      <c r="S29" s="863">
        <f>SUM(N27:S27)</f>
        <v>0</v>
      </c>
    </row>
    <row r="30" spans="1:19" ht="27.75" x14ac:dyDescent="0.45">
      <c r="A30" s="408" t="s">
        <v>261</v>
      </c>
      <c r="G30" s="409"/>
      <c r="H30" s="409"/>
      <c r="P30" s="845"/>
    </row>
    <row r="31" spans="1:19" ht="7.5" customHeight="1" thickBot="1" x14ac:dyDescent="0.3">
      <c r="P31" s="845"/>
    </row>
    <row r="32" spans="1:19" ht="18" thickBot="1" x14ac:dyDescent="0.3">
      <c r="A32" s="454" t="s">
        <v>939</v>
      </c>
      <c r="B32" s="846" t="str">
        <f t="shared" ref="B32:M32" si="5">B$6</f>
        <v>enero</v>
      </c>
      <c r="C32" s="846" t="str">
        <f t="shared" si="5"/>
        <v>febrero</v>
      </c>
      <c r="D32" s="846" t="str">
        <f t="shared" si="5"/>
        <v>marzo</v>
      </c>
      <c r="E32" s="846" t="str">
        <f t="shared" si="5"/>
        <v>abril</v>
      </c>
      <c r="F32" s="846" t="str">
        <f t="shared" si="5"/>
        <v>mayo</v>
      </c>
      <c r="G32" s="846" t="str">
        <f t="shared" si="5"/>
        <v>junio</v>
      </c>
      <c r="H32" s="846" t="str">
        <f t="shared" si="5"/>
        <v>julio</v>
      </c>
      <c r="I32" s="846" t="str">
        <f t="shared" si="5"/>
        <v>agosto</v>
      </c>
      <c r="J32" s="846" t="str">
        <f t="shared" si="5"/>
        <v>septiembre</v>
      </c>
      <c r="K32" s="846" t="str">
        <f t="shared" si="5"/>
        <v>octubre</v>
      </c>
      <c r="L32" s="846" t="str">
        <f t="shared" si="5"/>
        <v>noviembre</v>
      </c>
      <c r="M32" s="846" t="str">
        <f t="shared" si="5"/>
        <v>diciembre</v>
      </c>
      <c r="N32" s="840" t="s">
        <v>860</v>
      </c>
      <c r="O32" s="845"/>
    </row>
    <row r="33" spans="1:19" ht="17.25" x14ac:dyDescent="0.3">
      <c r="A33" s="848" t="str">
        <f t="shared" ref="A33:A40" si="6">A7</f>
        <v/>
      </c>
      <c r="B33" s="988">
        <f>'Prev.Ventas 4'!B31*(1+Parametros!$F24)</f>
        <v>0</v>
      </c>
      <c r="C33" s="988">
        <f>'Prev.Ventas 4'!C31*(1+Parametros!$F24)</f>
        <v>0</v>
      </c>
      <c r="D33" s="988">
        <f>'Prev.Ventas 4'!D31*(1+Parametros!$F24)</f>
        <v>0</v>
      </c>
      <c r="E33" s="988">
        <f>'Prev.Ventas 4'!E31*(1+Parametros!$F24)</f>
        <v>0</v>
      </c>
      <c r="F33" s="988">
        <f>'Prev.Ventas 4'!F31*(1+Parametros!$F24)</f>
        <v>0</v>
      </c>
      <c r="G33" s="988">
        <f>'Prev.Ventas 4'!G31*(1+Parametros!$F24)</f>
        <v>0</v>
      </c>
      <c r="H33" s="988">
        <f>'Prev.Ventas 4'!H31*(1+Parametros!$F24)</f>
        <v>0</v>
      </c>
      <c r="I33" s="988">
        <f>'Prev.Ventas 4'!I31*(1+Parametros!$F24)</f>
        <v>0</v>
      </c>
      <c r="J33" s="988">
        <f>'Prev.Ventas 4'!J31*(1+Parametros!$F24)</f>
        <v>0</v>
      </c>
      <c r="K33" s="988">
        <f>'Prev.Ventas 4'!K31*(1+Parametros!$F24)</f>
        <v>0</v>
      </c>
      <c r="L33" s="988">
        <f>'Prev.Ventas 4'!L31*(1+Parametros!$F24)</f>
        <v>0</v>
      </c>
      <c r="M33" s="988">
        <f>'Prev.Ventas 4'!M31*(1+Parametros!$F24)</f>
        <v>0</v>
      </c>
      <c r="N33" s="992">
        <f t="shared" ref="N33:N40" si="7">SUM(B33:M33)</f>
        <v>0</v>
      </c>
      <c r="O33" s="845"/>
    </row>
    <row r="34" spans="1:19" ht="17.25" x14ac:dyDescent="0.3">
      <c r="A34" s="849" t="str">
        <f t="shared" si="6"/>
        <v/>
      </c>
      <c r="B34" s="988">
        <f>'Prev.Ventas 4'!B32*(1+Parametros!$F25)</f>
        <v>0</v>
      </c>
      <c r="C34" s="988">
        <f>'Prev.Ventas 4'!C32*(1+Parametros!$F25)</f>
        <v>0</v>
      </c>
      <c r="D34" s="988">
        <f>'Prev.Ventas 4'!D32*(1+Parametros!$F25)</f>
        <v>0</v>
      </c>
      <c r="E34" s="988">
        <f>'Prev.Ventas 4'!E32*(1+Parametros!$F25)</f>
        <v>0</v>
      </c>
      <c r="F34" s="988">
        <f>'Prev.Ventas 4'!F32*(1+Parametros!$F25)</f>
        <v>0</v>
      </c>
      <c r="G34" s="988">
        <f>'Prev.Ventas 4'!G32*(1+Parametros!$F25)</f>
        <v>0</v>
      </c>
      <c r="H34" s="988">
        <f>'Prev.Ventas 4'!H32*(1+Parametros!$F25)</f>
        <v>0</v>
      </c>
      <c r="I34" s="988">
        <f>'Prev.Ventas 4'!I32*(1+Parametros!$F25)</f>
        <v>0</v>
      </c>
      <c r="J34" s="988">
        <f>'Prev.Ventas 4'!J32*(1+Parametros!$F25)</f>
        <v>0</v>
      </c>
      <c r="K34" s="988">
        <f>'Prev.Ventas 4'!K32*(1+Parametros!$F25)</f>
        <v>0</v>
      </c>
      <c r="L34" s="988">
        <f>'Prev.Ventas 4'!L32*(1+Parametros!$F25)</f>
        <v>0</v>
      </c>
      <c r="M34" s="988">
        <f>'Prev.Ventas 4'!M32*(1+Parametros!$F25)</f>
        <v>0</v>
      </c>
      <c r="N34" s="992">
        <f t="shared" si="7"/>
        <v>0</v>
      </c>
      <c r="O34" s="845"/>
    </row>
    <row r="35" spans="1:19" ht="17.25" x14ac:dyDescent="0.3">
      <c r="A35" s="849" t="str">
        <f t="shared" si="6"/>
        <v/>
      </c>
      <c r="B35" s="988">
        <f>'Prev.Ventas 4'!B33*(1+Parametros!$F26)</f>
        <v>0</v>
      </c>
      <c r="C35" s="988">
        <f>'Prev.Ventas 4'!C33*(1+Parametros!$F26)</f>
        <v>0</v>
      </c>
      <c r="D35" s="988">
        <f>'Prev.Ventas 4'!D33*(1+Parametros!$F26)</f>
        <v>0</v>
      </c>
      <c r="E35" s="988">
        <f>'Prev.Ventas 4'!E33*(1+Parametros!$F26)</f>
        <v>0</v>
      </c>
      <c r="F35" s="988">
        <f>'Prev.Ventas 4'!F33*(1+Parametros!$F26)</f>
        <v>0</v>
      </c>
      <c r="G35" s="988">
        <f>'Prev.Ventas 4'!G33*(1+Parametros!$F26)</f>
        <v>0</v>
      </c>
      <c r="H35" s="988">
        <f>'Prev.Ventas 4'!H33*(1+Parametros!$F26)</f>
        <v>0</v>
      </c>
      <c r="I35" s="988">
        <f>'Prev.Ventas 4'!I33*(1+Parametros!$F26)</f>
        <v>0</v>
      </c>
      <c r="J35" s="988">
        <f>'Prev.Ventas 4'!J33*(1+Parametros!$F26)</f>
        <v>0</v>
      </c>
      <c r="K35" s="988">
        <f>'Prev.Ventas 4'!K33*(1+Parametros!$F26)</f>
        <v>0</v>
      </c>
      <c r="L35" s="988">
        <f>'Prev.Ventas 4'!L33*(1+Parametros!$F26)</f>
        <v>0</v>
      </c>
      <c r="M35" s="988">
        <f>'Prev.Ventas 4'!M33*(1+Parametros!$F26)</f>
        <v>0</v>
      </c>
      <c r="N35" s="992">
        <f t="shared" si="7"/>
        <v>0</v>
      </c>
      <c r="O35" s="845"/>
    </row>
    <row r="36" spans="1:19" ht="17.25" x14ac:dyDescent="0.3">
      <c r="A36" s="849" t="str">
        <f t="shared" si="6"/>
        <v/>
      </c>
      <c r="B36" s="988">
        <f>'Prev.Ventas 4'!B34*(1+Parametros!$F27)</f>
        <v>0</v>
      </c>
      <c r="C36" s="988">
        <f>'Prev.Ventas 4'!C34*(1+Parametros!$F27)</f>
        <v>0</v>
      </c>
      <c r="D36" s="988">
        <f>'Prev.Ventas 4'!D34*(1+Parametros!$F27)</f>
        <v>0</v>
      </c>
      <c r="E36" s="988">
        <f>'Prev.Ventas 4'!E34*(1+Parametros!$F27)</f>
        <v>0</v>
      </c>
      <c r="F36" s="988">
        <f>'Prev.Ventas 4'!F34*(1+Parametros!$F27)</f>
        <v>0</v>
      </c>
      <c r="G36" s="988">
        <f>'Prev.Ventas 4'!G34*(1+Parametros!$F27)</f>
        <v>0</v>
      </c>
      <c r="H36" s="988">
        <f>'Prev.Ventas 4'!H34*(1+Parametros!$F27)</f>
        <v>0</v>
      </c>
      <c r="I36" s="988">
        <f>'Prev.Ventas 4'!I34*(1+Parametros!$F27)</f>
        <v>0</v>
      </c>
      <c r="J36" s="988">
        <f>'Prev.Ventas 4'!J34*(1+Parametros!$F27)</f>
        <v>0</v>
      </c>
      <c r="K36" s="988">
        <f>'Prev.Ventas 4'!K34*(1+Parametros!$F27)</f>
        <v>0</v>
      </c>
      <c r="L36" s="988">
        <f>'Prev.Ventas 4'!L34*(1+Parametros!$F27)</f>
        <v>0</v>
      </c>
      <c r="M36" s="988">
        <f>'Prev.Ventas 4'!M34*(1+Parametros!$F27)</f>
        <v>0</v>
      </c>
      <c r="N36" s="992">
        <f t="shared" si="7"/>
        <v>0</v>
      </c>
      <c r="O36" s="845"/>
    </row>
    <row r="37" spans="1:19" ht="17.25" x14ac:dyDescent="0.3">
      <c r="A37" s="849" t="str">
        <f t="shared" si="6"/>
        <v/>
      </c>
      <c r="B37" s="988">
        <f>'Prev.Ventas 4'!B35*(1+Parametros!$F28)</f>
        <v>0</v>
      </c>
      <c r="C37" s="988">
        <f>'Prev.Ventas 4'!C35*(1+Parametros!$F28)</f>
        <v>0</v>
      </c>
      <c r="D37" s="988">
        <f>'Prev.Ventas 4'!D35*(1+Parametros!$F28)</f>
        <v>0</v>
      </c>
      <c r="E37" s="988">
        <f>'Prev.Ventas 4'!E35*(1+Parametros!$F28)</f>
        <v>0</v>
      </c>
      <c r="F37" s="988">
        <f>'Prev.Ventas 4'!F35*(1+Parametros!$F28)</f>
        <v>0</v>
      </c>
      <c r="G37" s="988">
        <f>'Prev.Ventas 4'!G35*(1+Parametros!$F28)</f>
        <v>0</v>
      </c>
      <c r="H37" s="988">
        <f>'Prev.Ventas 4'!H35*(1+Parametros!$F28)</f>
        <v>0</v>
      </c>
      <c r="I37" s="988">
        <f>'Prev.Ventas 4'!I35*(1+Parametros!$F28)</f>
        <v>0</v>
      </c>
      <c r="J37" s="988">
        <f>'Prev.Ventas 4'!J35*(1+Parametros!$F28)</f>
        <v>0</v>
      </c>
      <c r="K37" s="988">
        <f>'Prev.Ventas 4'!K35*(1+Parametros!$F28)</f>
        <v>0</v>
      </c>
      <c r="L37" s="988">
        <f>'Prev.Ventas 4'!L35*(1+Parametros!$F28)</f>
        <v>0</v>
      </c>
      <c r="M37" s="988">
        <f>'Prev.Ventas 4'!M35*(1+Parametros!$F28)</f>
        <v>0</v>
      </c>
      <c r="N37" s="992">
        <f t="shared" si="7"/>
        <v>0</v>
      </c>
      <c r="O37" s="845"/>
    </row>
    <row r="38" spans="1:19" ht="17.25" x14ac:dyDescent="0.3">
      <c r="A38" s="849" t="str">
        <f t="shared" si="6"/>
        <v/>
      </c>
      <c r="B38" s="988">
        <f>'Prev.Ventas 4'!B36*(1+Parametros!$F29)</f>
        <v>0</v>
      </c>
      <c r="C38" s="988">
        <f>'Prev.Ventas 4'!C36*(1+Parametros!$F29)</f>
        <v>0</v>
      </c>
      <c r="D38" s="988">
        <f>'Prev.Ventas 4'!D36*(1+Parametros!$F29)</f>
        <v>0</v>
      </c>
      <c r="E38" s="988">
        <f>'Prev.Ventas 4'!E36*(1+Parametros!$F29)</f>
        <v>0</v>
      </c>
      <c r="F38" s="988">
        <f>'Prev.Ventas 4'!F36*(1+Parametros!$F29)</f>
        <v>0</v>
      </c>
      <c r="G38" s="988">
        <f>'Prev.Ventas 4'!G36*(1+Parametros!$F29)</f>
        <v>0</v>
      </c>
      <c r="H38" s="988">
        <f>'Prev.Ventas 4'!H36*(1+Parametros!$F29)</f>
        <v>0</v>
      </c>
      <c r="I38" s="988">
        <f>'Prev.Ventas 4'!I36*(1+Parametros!$F29)</f>
        <v>0</v>
      </c>
      <c r="J38" s="988">
        <f>'Prev.Ventas 4'!J36*(1+Parametros!$F29)</f>
        <v>0</v>
      </c>
      <c r="K38" s="988">
        <f>'Prev.Ventas 4'!K36*(1+Parametros!$F29)</f>
        <v>0</v>
      </c>
      <c r="L38" s="988">
        <f>'Prev.Ventas 4'!L36*(1+Parametros!$F29)</f>
        <v>0</v>
      </c>
      <c r="M38" s="988">
        <f>'Prev.Ventas 4'!M36*(1+Parametros!$F29)</f>
        <v>0</v>
      </c>
      <c r="N38" s="992">
        <f t="shared" si="7"/>
        <v>0</v>
      </c>
      <c r="O38" s="845"/>
    </row>
    <row r="39" spans="1:19" ht="17.25" x14ac:dyDescent="0.3">
      <c r="A39" s="849" t="str">
        <f t="shared" si="6"/>
        <v/>
      </c>
      <c r="B39" s="988">
        <f>'Prev.Ventas 4'!B37*(1+Parametros!$F30)</f>
        <v>0</v>
      </c>
      <c r="C39" s="988">
        <f>'Prev.Ventas 4'!C37*(1+Parametros!$F30)</f>
        <v>0</v>
      </c>
      <c r="D39" s="988">
        <f>'Prev.Ventas 4'!D37*(1+Parametros!$F30)</f>
        <v>0</v>
      </c>
      <c r="E39" s="988">
        <f>'Prev.Ventas 4'!E37*(1+Parametros!$F30)</f>
        <v>0</v>
      </c>
      <c r="F39" s="988">
        <f>'Prev.Ventas 4'!F37*(1+Parametros!$F30)</f>
        <v>0</v>
      </c>
      <c r="G39" s="988">
        <f>'Prev.Ventas 4'!G37*(1+Parametros!$F30)</f>
        <v>0</v>
      </c>
      <c r="H39" s="988">
        <f>'Prev.Ventas 4'!H37*(1+Parametros!$F30)</f>
        <v>0</v>
      </c>
      <c r="I39" s="988">
        <f>'Prev.Ventas 4'!I37*(1+Parametros!$F30)</f>
        <v>0</v>
      </c>
      <c r="J39" s="988">
        <f>'Prev.Ventas 4'!J37*(1+Parametros!$F30)</f>
        <v>0</v>
      </c>
      <c r="K39" s="988">
        <f>'Prev.Ventas 4'!K37*(1+Parametros!$F30)</f>
        <v>0</v>
      </c>
      <c r="L39" s="988">
        <f>'Prev.Ventas 4'!L37*(1+Parametros!$F30)</f>
        <v>0</v>
      </c>
      <c r="M39" s="988">
        <f>'Prev.Ventas 4'!M37*(1+Parametros!$F30)</f>
        <v>0</v>
      </c>
      <c r="N39" s="992">
        <f t="shared" si="7"/>
        <v>0</v>
      </c>
      <c r="O39" s="845"/>
    </row>
    <row r="40" spans="1:19" ht="18" thickBot="1" x14ac:dyDescent="0.35">
      <c r="A40" s="864" t="str">
        <f t="shared" si="6"/>
        <v/>
      </c>
      <c r="B40" s="990">
        <f>'Prev.Ventas 4'!B38*(1+Parametros!$F31)</f>
        <v>0</v>
      </c>
      <c r="C40" s="990">
        <f>'Prev.Ventas 4'!C38*(1+Parametros!$F31)</f>
        <v>0</v>
      </c>
      <c r="D40" s="990">
        <f>'Prev.Ventas 4'!D38*(1+Parametros!$F31)</f>
        <v>0</v>
      </c>
      <c r="E40" s="990">
        <f>'Prev.Ventas 4'!E38*(1+Parametros!$F31)</f>
        <v>0</v>
      </c>
      <c r="F40" s="990">
        <f>'Prev.Ventas 4'!F38*(1+Parametros!$F31)</f>
        <v>0</v>
      </c>
      <c r="G40" s="990">
        <f>'Prev.Ventas 4'!G38*(1+Parametros!$F31)</f>
        <v>0</v>
      </c>
      <c r="H40" s="990">
        <f>'Prev.Ventas 4'!H38*(1+Parametros!$F31)</f>
        <v>0</v>
      </c>
      <c r="I40" s="990">
        <f>'Prev.Ventas 4'!I38*(1+Parametros!$F31)</f>
        <v>0</v>
      </c>
      <c r="J40" s="990">
        <f>'Prev.Ventas 4'!J38*(1+Parametros!$F31)</f>
        <v>0</v>
      </c>
      <c r="K40" s="990">
        <f>'Prev.Ventas 4'!K38*(1+Parametros!$F31)</f>
        <v>0</v>
      </c>
      <c r="L40" s="990">
        <f>'Prev.Ventas 4'!L38*(1+Parametros!$F31)</f>
        <v>0</v>
      </c>
      <c r="M40" s="990">
        <f>'Prev.Ventas 4'!M38*(1+Parametros!$F31)</f>
        <v>0</v>
      </c>
      <c r="N40" s="992">
        <f t="shared" si="7"/>
        <v>0</v>
      </c>
      <c r="O40" s="845"/>
    </row>
    <row r="41" spans="1:19" ht="18" thickBot="1" x14ac:dyDescent="0.35">
      <c r="A41" s="410" t="s">
        <v>860</v>
      </c>
      <c r="B41" s="851">
        <f t="shared" ref="B41:N41" si="8">SUM(B33:B40)</f>
        <v>0</v>
      </c>
      <c r="C41" s="851">
        <f t="shared" si="8"/>
        <v>0</v>
      </c>
      <c r="D41" s="851">
        <f t="shared" si="8"/>
        <v>0</v>
      </c>
      <c r="E41" s="851">
        <f t="shared" si="8"/>
        <v>0</v>
      </c>
      <c r="F41" s="851">
        <f t="shared" si="8"/>
        <v>0</v>
      </c>
      <c r="G41" s="851">
        <f t="shared" si="8"/>
        <v>0</v>
      </c>
      <c r="H41" s="851">
        <f t="shared" si="8"/>
        <v>0</v>
      </c>
      <c r="I41" s="851">
        <f t="shared" si="8"/>
        <v>0</v>
      </c>
      <c r="J41" s="851">
        <f t="shared" si="8"/>
        <v>0</v>
      </c>
      <c r="K41" s="851">
        <f t="shared" si="8"/>
        <v>0</v>
      </c>
      <c r="L41" s="851">
        <f t="shared" si="8"/>
        <v>0</v>
      </c>
      <c r="M41" s="851">
        <f t="shared" si="8"/>
        <v>0</v>
      </c>
      <c r="N41" s="851">
        <f t="shared" si="8"/>
        <v>0</v>
      </c>
      <c r="O41" s="845"/>
    </row>
    <row r="42" spans="1:19" x14ac:dyDescent="0.25">
      <c r="C42" s="845"/>
      <c r="D42" s="845"/>
      <c r="E42" s="845"/>
      <c r="F42" s="845"/>
      <c r="G42" s="845"/>
      <c r="H42" s="845"/>
      <c r="I42" s="845"/>
      <c r="J42" s="845"/>
      <c r="K42" s="845"/>
      <c r="L42" s="845"/>
      <c r="M42" s="845"/>
      <c r="N42" s="845"/>
      <c r="O42" s="845"/>
      <c r="P42" s="845"/>
    </row>
    <row r="43" spans="1:19" ht="27.75" x14ac:dyDescent="0.45">
      <c r="A43" s="408" t="s">
        <v>260</v>
      </c>
      <c r="C43" s="845"/>
      <c r="D43" s="845"/>
      <c r="E43" s="845"/>
      <c r="G43" s="409"/>
      <c r="H43" s="409"/>
      <c r="I43" s="845"/>
      <c r="J43" s="845"/>
      <c r="K43" s="845"/>
      <c r="L43" s="845"/>
      <c r="M43" s="845"/>
      <c r="N43" s="845"/>
      <c r="O43" s="845"/>
      <c r="P43" s="845"/>
    </row>
    <row r="44" spans="1:19" ht="16.5" thickBot="1" x14ac:dyDescent="0.3">
      <c r="A44" s="845"/>
      <c r="B44" s="847"/>
      <c r="C44" s="845"/>
      <c r="D44" s="845"/>
      <c r="E44" s="845"/>
      <c r="F44" s="845"/>
      <c r="G44" s="845"/>
      <c r="H44" s="845"/>
      <c r="I44" s="845"/>
      <c r="J44" s="845"/>
      <c r="K44" s="845"/>
      <c r="L44" s="845"/>
      <c r="M44" s="845"/>
      <c r="N44" s="845"/>
      <c r="O44" s="845"/>
      <c r="P44" s="852" t="str">
        <f>P18</f>
        <v>Pendiente para el año siguiente:</v>
      </c>
      <c r="Q44" s="867">
        <f>Q18</f>
        <v>2031</v>
      </c>
    </row>
    <row r="45" spans="1:19" ht="27.75" customHeight="1" thickBot="1" x14ac:dyDescent="0.3">
      <c r="A45" s="454" t="s">
        <v>940</v>
      </c>
      <c r="B45" s="854" t="str">
        <f t="shared" ref="B45:O45" si="9">B19</f>
        <v>enero 
2030</v>
      </c>
      <c r="C45" s="854" t="str">
        <f t="shared" si="9"/>
        <v>febrero 
2030</v>
      </c>
      <c r="D45" s="854" t="str">
        <f t="shared" si="9"/>
        <v>marzo 
2030</v>
      </c>
      <c r="E45" s="854" t="str">
        <f t="shared" si="9"/>
        <v>abril 
2030</v>
      </c>
      <c r="F45" s="854" t="str">
        <f t="shared" si="9"/>
        <v>mayo 
2030</v>
      </c>
      <c r="G45" s="854" t="str">
        <f t="shared" si="9"/>
        <v>junio 
2030</v>
      </c>
      <c r="H45" s="854" t="str">
        <f t="shared" si="9"/>
        <v>julio 
2030</v>
      </c>
      <c r="I45" s="854" t="str">
        <f t="shared" si="9"/>
        <v>agosto 
2030</v>
      </c>
      <c r="J45" s="854" t="str">
        <f t="shared" si="9"/>
        <v>septiembre 
2030</v>
      </c>
      <c r="K45" s="854" t="str">
        <f t="shared" si="9"/>
        <v>octubre 
2030</v>
      </c>
      <c r="L45" s="854" t="str">
        <f t="shared" si="9"/>
        <v>noviembre 
2030</v>
      </c>
      <c r="M45" s="854" t="str">
        <f t="shared" si="9"/>
        <v>diciembre 
2030</v>
      </c>
      <c r="N45" s="854" t="str">
        <f t="shared" si="9"/>
        <v>enero 
2031</v>
      </c>
      <c r="O45" s="854" t="str">
        <f t="shared" si="9"/>
        <v>febrero 
2031</v>
      </c>
      <c r="P45" s="854" t="str">
        <f>P19</f>
        <v>marzo 
2031</v>
      </c>
      <c r="Q45" s="854" t="str">
        <f>Q19</f>
        <v>abril 
2031</v>
      </c>
      <c r="R45" s="854" t="str">
        <f>R19</f>
        <v>mayo 
2031</v>
      </c>
      <c r="S45" s="854" t="str">
        <f>S19</f>
        <v>junio 
2031</v>
      </c>
    </row>
    <row r="46" spans="1:19" x14ac:dyDescent="0.25">
      <c r="A46" s="855" t="s">
        <v>938</v>
      </c>
      <c r="B46" s="988">
        <f>SUMPRODUCT('Politicas Cobros y Pagos'!$B$88:$B$95,B$33:B$40)</f>
        <v>0</v>
      </c>
      <c r="C46" s="988">
        <f>SUMPRODUCT('Politicas Cobros y Pagos'!$B$88:$B$95,C$33:C$40)</f>
        <v>0</v>
      </c>
      <c r="D46" s="988">
        <f>SUMPRODUCT('Politicas Cobros y Pagos'!$B$88:$B$95,D$33:D$40)</f>
        <v>0</v>
      </c>
      <c r="E46" s="988">
        <f>SUMPRODUCT('Politicas Cobros y Pagos'!$B$88:$B$95,E$33:E$40)</f>
        <v>0</v>
      </c>
      <c r="F46" s="988">
        <f>SUMPRODUCT('Politicas Cobros y Pagos'!$B$88:$B$95,F$33:F$40)</f>
        <v>0</v>
      </c>
      <c r="G46" s="988">
        <f>SUMPRODUCT('Politicas Cobros y Pagos'!$B$88:$B$95,G$33:G$40)</f>
        <v>0</v>
      </c>
      <c r="H46" s="988">
        <f>SUMPRODUCT('Politicas Cobros y Pagos'!$B$88:$B$95,H$33:H$40)</f>
        <v>0</v>
      </c>
      <c r="I46" s="988">
        <f>SUMPRODUCT('Politicas Cobros y Pagos'!$B$88:$B$95,I$33:I$40)</f>
        <v>0</v>
      </c>
      <c r="J46" s="988">
        <f>SUMPRODUCT('Politicas Cobros y Pagos'!$B$88:$B$95,J$33:J$40)</f>
        <v>0</v>
      </c>
      <c r="K46" s="988">
        <f>SUMPRODUCT('Politicas Cobros y Pagos'!$B$88:$B$95,K$33:K$40)</f>
        <v>0</v>
      </c>
      <c r="L46" s="988">
        <f>SUMPRODUCT('Politicas Cobros y Pagos'!$B$88:$B$95,L$33:L$40)</f>
        <v>0</v>
      </c>
      <c r="M46" s="988">
        <f>SUMPRODUCT('Politicas Cobros y Pagos'!$B$88:$B$95,M$33:M$40)</f>
        <v>0</v>
      </c>
      <c r="N46" s="988"/>
      <c r="O46" s="988"/>
      <c r="P46" s="988"/>
      <c r="Q46" s="988"/>
      <c r="R46" s="988"/>
      <c r="S46" s="988"/>
    </row>
    <row r="47" spans="1:19" x14ac:dyDescent="0.25">
      <c r="A47" s="856">
        <v>30</v>
      </c>
      <c r="B47" s="991">
        <f>'Cobros y pagos 3'!N47</f>
        <v>0</v>
      </c>
      <c r="C47" s="988">
        <f>SUMPRODUCT('Politicas Cobros y Pagos'!$C$88:$C$95,B$33:B$40)</f>
        <v>0</v>
      </c>
      <c r="D47" s="988">
        <f>SUMPRODUCT('Politicas Cobros y Pagos'!$C$88:$C$95,C$33:C$40)</f>
        <v>0</v>
      </c>
      <c r="E47" s="988">
        <f>SUMPRODUCT('Politicas Cobros y Pagos'!$C$88:$C$95,D$33:D$40)</f>
        <v>0</v>
      </c>
      <c r="F47" s="988">
        <f>SUMPRODUCT('Politicas Cobros y Pagos'!$C$88:$C$95,E$33:E$40)</f>
        <v>0</v>
      </c>
      <c r="G47" s="988">
        <f>SUMPRODUCT('Politicas Cobros y Pagos'!$C$88:$C$95,F$33:F$40)</f>
        <v>0</v>
      </c>
      <c r="H47" s="988">
        <f>SUMPRODUCT('Politicas Cobros y Pagos'!$C$88:$C$95,G$33:G$40)</f>
        <v>0</v>
      </c>
      <c r="I47" s="988">
        <f>SUMPRODUCT('Politicas Cobros y Pagos'!$C$88:$C$95,H$33:H$40)</f>
        <v>0</v>
      </c>
      <c r="J47" s="988">
        <f>SUMPRODUCT('Politicas Cobros y Pagos'!$C$88:$C$95,I$33:I$40)</f>
        <v>0</v>
      </c>
      <c r="K47" s="988">
        <f>SUMPRODUCT('Politicas Cobros y Pagos'!$C$88:$C$95,J$33:J$40)</f>
        <v>0</v>
      </c>
      <c r="L47" s="988">
        <f>SUMPRODUCT('Politicas Cobros y Pagos'!$C$88:$C$95,K$33:K$40)</f>
        <v>0</v>
      </c>
      <c r="M47" s="988">
        <f>SUMPRODUCT('Politicas Cobros y Pagos'!$C$88:$C$95,L$33:L$40)</f>
        <v>0</v>
      </c>
      <c r="N47" s="988">
        <f>SUMPRODUCT('Politicas Cobros y Pagos'!$C$88:$C$95,M$33:M$40)</f>
        <v>0</v>
      </c>
      <c r="O47" s="988"/>
      <c r="P47" s="988"/>
      <c r="Q47" s="988"/>
      <c r="R47" s="988"/>
      <c r="S47" s="988"/>
    </row>
    <row r="48" spans="1:19" x14ac:dyDescent="0.25">
      <c r="A48" s="856">
        <v>60</v>
      </c>
      <c r="B48" s="991">
        <f>'Cobros y pagos 3'!N48</f>
        <v>0</v>
      </c>
      <c r="C48" s="991">
        <f>'Cobros y pagos 3'!O48</f>
        <v>0</v>
      </c>
      <c r="D48" s="988">
        <f>SUMPRODUCT('Politicas Cobros y Pagos'!$D$88:$D$95,B$33:B$40)</f>
        <v>0</v>
      </c>
      <c r="E48" s="988">
        <f>SUMPRODUCT('Politicas Cobros y Pagos'!$D$88:$D$95,C$33:C$40)</f>
        <v>0</v>
      </c>
      <c r="F48" s="988">
        <f>SUMPRODUCT('Politicas Cobros y Pagos'!$D$88:$D$95,D$33:D$40)</f>
        <v>0</v>
      </c>
      <c r="G48" s="988">
        <f>SUMPRODUCT('Politicas Cobros y Pagos'!$D$88:$D$95,E$33:E$40)</f>
        <v>0</v>
      </c>
      <c r="H48" s="988">
        <f>SUMPRODUCT('Politicas Cobros y Pagos'!$D$88:$D$95,F$33:F$40)</f>
        <v>0</v>
      </c>
      <c r="I48" s="988">
        <f>SUMPRODUCT('Politicas Cobros y Pagos'!$D$88:$D$95,G$33:G$40)</f>
        <v>0</v>
      </c>
      <c r="J48" s="988">
        <f>SUMPRODUCT('Politicas Cobros y Pagos'!$D$88:$D$95,H$33:H$40)</f>
        <v>0</v>
      </c>
      <c r="K48" s="988">
        <f>SUMPRODUCT('Politicas Cobros y Pagos'!$D$88:$D$95,I$33:I$40)</f>
        <v>0</v>
      </c>
      <c r="L48" s="988">
        <f>SUMPRODUCT('Politicas Cobros y Pagos'!$D$88:$D$95,J$33:J$40)</f>
        <v>0</v>
      </c>
      <c r="M48" s="988">
        <f>SUMPRODUCT('Politicas Cobros y Pagos'!$D$88:$D$95,K$33:K$40)</f>
        <v>0</v>
      </c>
      <c r="N48" s="988">
        <f>SUMPRODUCT('Politicas Cobros y Pagos'!$D$88:$D$95,L$33:L$40)</f>
        <v>0</v>
      </c>
      <c r="O48" s="988">
        <f>SUMPRODUCT('Politicas Cobros y Pagos'!$D$88:$D$95,M$33:M$40)</f>
        <v>0</v>
      </c>
      <c r="P48" s="988"/>
      <c r="Q48" s="988"/>
      <c r="R48" s="988"/>
      <c r="S48" s="988"/>
    </row>
    <row r="49" spans="1:19" x14ac:dyDescent="0.25">
      <c r="A49" s="856">
        <v>90</v>
      </c>
      <c r="B49" s="991">
        <f>'Cobros y pagos 3'!N49</f>
        <v>0</v>
      </c>
      <c r="C49" s="991">
        <f>'Cobros y pagos 3'!O49</f>
        <v>0</v>
      </c>
      <c r="D49" s="991">
        <f>'Cobros y pagos 3'!P49</f>
        <v>0</v>
      </c>
      <c r="E49" s="988">
        <f>SUMPRODUCT('Politicas Cobros y Pagos'!$E$88:$E$95,B$33:B$40)</f>
        <v>0</v>
      </c>
      <c r="F49" s="988">
        <f>SUMPRODUCT('Politicas Cobros y Pagos'!$E$88:$E$95,C$33:C$40)</f>
        <v>0</v>
      </c>
      <c r="G49" s="988">
        <f>SUMPRODUCT('Politicas Cobros y Pagos'!$E$88:$E$95,D$33:D$40)</f>
        <v>0</v>
      </c>
      <c r="H49" s="988">
        <f>SUMPRODUCT('Politicas Cobros y Pagos'!$E$88:$E$95,E$33:E$40)</f>
        <v>0</v>
      </c>
      <c r="I49" s="988">
        <f>SUMPRODUCT('Politicas Cobros y Pagos'!$E$88:$E$95,F$33:F$40)</f>
        <v>0</v>
      </c>
      <c r="J49" s="988">
        <f>SUMPRODUCT('Politicas Cobros y Pagos'!$E$88:$E$95,G$33:G$40)</f>
        <v>0</v>
      </c>
      <c r="K49" s="988">
        <f>SUMPRODUCT('Politicas Cobros y Pagos'!$E$88:$E$95,H$33:H$40)</f>
        <v>0</v>
      </c>
      <c r="L49" s="988">
        <f>SUMPRODUCT('Politicas Cobros y Pagos'!$E$88:$E$95,I$33:I$40)</f>
        <v>0</v>
      </c>
      <c r="M49" s="988">
        <f>SUMPRODUCT('Politicas Cobros y Pagos'!$E$88:$E$95,J$33:J$40)</f>
        <v>0</v>
      </c>
      <c r="N49" s="988">
        <f>SUMPRODUCT('Politicas Cobros y Pagos'!$E$88:$E$95,K$33:K$40)</f>
        <v>0</v>
      </c>
      <c r="O49" s="988">
        <f>SUMPRODUCT('Politicas Cobros y Pagos'!$E$88:$E$95,L$33:L$40)</f>
        <v>0</v>
      </c>
      <c r="P49" s="988">
        <f>SUMPRODUCT('Politicas Cobros y Pagos'!$E$88:$E$95,M$33:M$40)</f>
        <v>0</v>
      </c>
      <c r="Q49" s="988"/>
      <c r="R49" s="988"/>
      <c r="S49" s="988"/>
    </row>
    <row r="50" spans="1:19" x14ac:dyDescent="0.25">
      <c r="A50" s="856">
        <v>120</v>
      </c>
      <c r="B50" s="991">
        <f>'Cobros y pagos 3'!N50</f>
        <v>0</v>
      </c>
      <c r="C50" s="991">
        <f>'Cobros y pagos 3'!O50</f>
        <v>0</v>
      </c>
      <c r="D50" s="991">
        <f>'Cobros y pagos 3'!P50</f>
        <v>0</v>
      </c>
      <c r="E50" s="991">
        <f>'Cobros y pagos 3'!Q50</f>
        <v>0</v>
      </c>
      <c r="F50" s="988">
        <f>SUMPRODUCT('Politicas Cobros y Pagos'!$F$88:$F$95,B$33:B$40)</f>
        <v>0</v>
      </c>
      <c r="G50" s="988">
        <f>SUMPRODUCT('Politicas Cobros y Pagos'!$F$88:$F$95,C$33:C$40)</f>
        <v>0</v>
      </c>
      <c r="H50" s="988">
        <f>SUMPRODUCT('Politicas Cobros y Pagos'!$F$88:$F$95,D$33:D$40)</f>
        <v>0</v>
      </c>
      <c r="I50" s="988">
        <f>SUMPRODUCT('Politicas Cobros y Pagos'!$F$88:$F$95,E$33:E$40)</f>
        <v>0</v>
      </c>
      <c r="J50" s="988">
        <f>SUMPRODUCT('Politicas Cobros y Pagos'!$F$88:$F$95,F$33:F$40)</f>
        <v>0</v>
      </c>
      <c r="K50" s="988">
        <f>SUMPRODUCT('Politicas Cobros y Pagos'!$F$88:$F$95,G$33:G$40)</f>
        <v>0</v>
      </c>
      <c r="L50" s="988">
        <f>SUMPRODUCT('Politicas Cobros y Pagos'!$F$88:$F$95,H$33:H$40)</f>
        <v>0</v>
      </c>
      <c r="M50" s="988">
        <f>SUMPRODUCT('Politicas Cobros y Pagos'!$F$88:$F$95,I$33:I$40)</f>
        <v>0</v>
      </c>
      <c r="N50" s="988">
        <f>SUMPRODUCT('Politicas Cobros y Pagos'!$F$88:$F$95,J$33:J$40)</f>
        <v>0</v>
      </c>
      <c r="O50" s="988">
        <f>SUMPRODUCT('Politicas Cobros y Pagos'!$F$88:$F$95,K$33:K$40)</f>
        <v>0</v>
      </c>
      <c r="P50" s="988">
        <f>SUMPRODUCT('Politicas Cobros y Pagos'!$F$88:$F$95,L$33:L$40)</f>
        <v>0</v>
      </c>
      <c r="Q50" s="988">
        <f>SUMPRODUCT('Politicas Cobros y Pagos'!$F$88:$F$95,M$33:M$40)</f>
        <v>0</v>
      </c>
      <c r="R50" s="988"/>
      <c r="S50" s="988"/>
    </row>
    <row r="51" spans="1:19" x14ac:dyDescent="0.25">
      <c r="A51" s="856">
        <v>150</v>
      </c>
      <c r="B51" s="991">
        <f>'Cobros y pagos 3'!N51</f>
        <v>0</v>
      </c>
      <c r="C51" s="991">
        <f>'Cobros y pagos 3'!O51</f>
        <v>0</v>
      </c>
      <c r="D51" s="991">
        <f>'Cobros y pagos 3'!P51</f>
        <v>0</v>
      </c>
      <c r="E51" s="991">
        <f>'Cobros y pagos 3'!Q51</f>
        <v>0</v>
      </c>
      <c r="F51" s="991">
        <f>'Cobros y pagos 3'!R51</f>
        <v>0</v>
      </c>
      <c r="G51" s="988">
        <f>SUMPRODUCT('Politicas Cobros y Pagos'!$G$88:$G$95,B$33:B$40)</f>
        <v>0</v>
      </c>
      <c r="H51" s="988">
        <f>SUMPRODUCT('Politicas Cobros y Pagos'!$G$88:$G$95,C$33:C$40)</f>
        <v>0</v>
      </c>
      <c r="I51" s="988">
        <f>SUMPRODUCT('Politicas Cobros y Pagos'!$G$88:$G$95,D$33:D$40)</f>
        <v>0</v>
      </c>
      <c r="J51" s="988">
        <f>SUMPRODUCT('Politicas Cobros y Pagos'!$G$88:$G$95,E$33:E$40)</f>
        <v>0</v>
      </c>
      <c r="K51" s="988">
        <f>SUMPRODUCT('Politicas Cobros y Pagos'!$G$88:$G$95,F$33:F$40)</f>
        <v>0</v>
      </c>
      <c r="L51" s="988">
        <f>SUMPRODUCT('Politicas Cobros y Pagos'!$G$88:$G$95,G$33:G$40)</f>
        <v>0</v>
      </c>
      <c r="M51" s="988">
        <f>SUMPRODUCT('Politicas Cobros y Pagos'!$G$88:$G$95,H$33:H$40)</f>
        <v>0</v>
      </c>
      <c r="N51" s="988">
        <f>SUMPRODUCT('Politicas Cobros y Pagos'!$G$88:$G$95,I$33:I$40)</f>
        <v>0</v>
      </c>
      <c r="O51" s="988">
        <f>SUMPRODUCT('Politicas Cobros y Pagos'!$G$88:$G$95,J$33:J$40)</f>
        <v>0</v>
      </c>
      <c r="P51" s="988">
        <f>SUMPRODUCT('Politicas Cobros y Pagos'!$G$88:$G$95,K$33:K$40)</f>
        <v>0</v>
      </c>
      <c r="Q51" s="988">
        <f>SUMPRODUCT('Politicas Cobros y Pagos'!$G$88:$G$95,L$33:L$40)</f>
        <v>0</v>
      </c>
      <c r="R51" s="988">
        <f>SUMPRODUCT('Politicas Cobros y Pagos'!$G$88:$G$95,M$33:M$40)</f>
        <v>0</v>
      </c>
      <c r="S51" s="988"/>
    </row>
    <row r="52" spans="1:19" x14ac:dyDescent="0.25">
      <c r="A52" s="856">
        <v>180</v>
      </c>
      <c r="B52" s="991">
        <f>'Cobros y pagos 3'!N52</f>
        <v>0</v>
      </c>
      <c r="C52" s="991">
        <f>'Cobros y pagos 3'!O52</f>
        <v>0</v>
      </c>
      <c r="D52" s="991">
        <f>'Cobros y pagos 3'!P52</f>
        <v>0</v>
      </c>
      <c r="E52" s="991">
        <f>'Cobros y pagos 3'!Q52</f>
        <v>0</v>
      </c>
      <c r="F52" s="991">
        <f>'Cobros y pagos 3'!R52</f>
        <v>0</v>
      </c>
      <c r="G52" s="991">
        <f>'Cobros y pagos 3'!S52</f>
        <v>0</v>
      </c>
      <c r="H52" s="988">
        <f>SUMPRODUCT('Politicas Cobros y Pagos'!$H$88:$H$95,B$33:B$40)</f>
        <v>0</v>
      </c>
      <c r="I52" s="988">
        <f>SUMPRODUCT('Politicas Cobros y Pagos'!$H$88:$H$95,C$33:C$40)</f>
        <v>0</v>
      </c>
      <c r="J52" s="988">
        <f>SUMPRODUCT('Politicas Cobros y Pagos'!$H$88:$H$95,D$33:D$40)</f>
        <v>0</v>
      </c>
      <c r="K52" s="988">
        <f>SUMPRODUCT('Politicas Cobros y Pagos'!$H$88:$H$95,E$33:E$40)</f>
        <v>0</v>
      </c>
      <c r="L52" s="988">
        <f>SUMPRODUCT('Politicas Cobros y Pagos'!$H$88:$H$95,F$33:F$40)</f>
        <v>0</v>
      </c>
      <c r="M52" s="988">
        <f>SUMPRODUCT('Politicas Cobros y Pagos'!$H$88:$H$95,G$33:G$40)</f>
        <v>0</v>
      </c>
      <c r="N52" s="988">
        <f>SUMPRODUCT('Politicas Cobros y Pagos'!$H$88:$H$95,H$33:H$40)</f>
        <v>0</v>
      </c>
      <c r="O52" s="988">
        <f>SUMPRODUCT('Politicas Cobros y Pagos'!$H$88:$H$95,I$33:I$40)</f>
        <v>0</v>
      </c>
      <c r="P52" s="988">
        <f>SUMPRODUCT('Politicas Cobros y Pagos'!$H$88:$H$95,J$33:J$40)</f>
        <v>0</v>
      </c>
      <c r="Q52" s="988">
        <f>SUMPRODUCT('Politicas Cobros y Pagos'!$H$88:$H$95,K$33:K$40)</f>
        <v>0</v>
      </c>
      <c r="R52" s="988">
        <f>SUMPRODUCT('Politicas Cobros y Pagos'!$H$88:$H$95,L$33:L$40)</f>
        <v>0</v>
      </c>
      <c r="S52" s="988">
        <f>SUMPRODUCT('Politicas Cobros y Pagos'!$H$88:$H$95,M$33:M$40)</f>
        <v>0</v>
      </c>
    </row>
    <row r="53" spans="1:19" ht="15.75" thickBot="1" x14ac:dyDescent="0.3">
      <c r="A53" s="865" t="s">
        <v>860</v>
      </c>
      <c r="B53" s="993">
        <f t="shared" ref="B53:S53" si="10">SUM(B46:B52)</f>
        <v>0</v>
      </c>
      <c r="C53" s="993">
        <f t="shared" si="10"/>
        <v>0</v>
      </c>
      <c r="D53" s="993">
        <f t="shared" si="10"/>
        <v>0</v>
      </c>
      <c r="E53" s="993">
        <f t="shared" si="10"/>
        <v>0</v>
      </c>
      <c r="F53" s="993">
        <f t="shared" si="10"/>
        <v>0</v>
      </c>
      <c r="G53" s="993">
        <f t="shared" si="10"/>
        <v>0</v>
      </c>
      <c r="H53" s="993">
        <f t="shared" si="10"/>
        <v>0</v>
      </c>
      <c r="I53" s="993">
        <f t="shared" si="10"/>
        <v>0</v>
      </c>
      <c r="J53" s="993">
        <f t="shared" si="10"/>
        <v>0</v>
      </c>
      <c r="K53" s="993">
        <f t="shared" si="10"/>
        <v>0</v>
      </c>
      <c r="L53" s="993">
        <f t="shared" si="10"/>
        <v>0</v>
      </c>
      <c r="M53" s="993">
        <f t="shared" si="10"/>
        <v>0</v>
      </c>
      <c r="N53" s="993">
        <f t="shared" si="10"/>
        <v>0</v>
      </c>
      <c r="O53" s="993">
        <f t="shared" si="10"/>
        <v>0</v>
      </c>
      <c r="P53" s="993">
        <f t="shared" si="10"/>
        <v>0</v>
      </c>
      <c r="Q53" s="993">
        <f t="shared" si="10"/>
        <v>0</v>
      </c>
      <c r="R53" s="993">
        <f t="shared" si="10"/>
        <v>0</v>
      </c>
      <c r="S53" s="993">
        <f t="shared" si="10"/>
        <v>0</v>
      </c>
    </row>
    <row r="54" spans="1:19" ht="15.75" thickBot="1" x14ac:dyDescent="0.3">
      <c r="A54" s="845"/>
      <c r="B54" s="847"/>
      <c r="C54" s="843"/>
      <c r="D54" s="843"/>
      <c r="E54" s="843"/>
      <c r="F54" s="843"/>
      <c r="G54" s="843"/>
      <c r="H54" s="843"/>
      <c r="I54" s="843"/>
      <c r="J54" s="843"/>
      <c r="K54" s="843"/>
      <c r="L54" s="843"/>
      <c r="M54" s="843"/>
      <c r="N54" s="843"/>
      <c r="O54" s="845"/>
      <c r="P54" s="843"/>
    </row>
    <row r="55" spans="1:19" ht="15.75" thickBot="1" x14ac:dyDescent="0.3">
      <c r="N55" s="827"/>
      <c r="O55" s="860"/>
      <c r="P55" s="861"/>
      <c r="Q55" s="861"/>
      <c r="R55" s="862" t="str">
        <f>CONCATENATE("Pagos de compras y CV pendintes para el año ",Q44," (sin IVA)")</f>
        <v>Pagos de compras y CV pendintes para el año 2031 (sin IVA)</v>
      </c>
      <c r="S55" s="638">
        <f>SUM(N53:S53)</f>
        <v>0</v>
      </c>
    </row>
  </sheetData>
  <sheetProtection sheet="1" objects="1" scenarios="1" formatCells="0" formatColumns="0"/>
  <phoneticPr fontId="13" type="noConversion"/>
  <printOptions horizontalCentered="1" verticalCentered="1"/>
  <pageMargins left="0.39370078740157483" right="0.39370078740157483" top="0.31" bottom="0.3" header="0.31496062992125984" footer="0.31496062992125984"/>
  <pageSetup paperSize="9" scale="61" orientation="landscape" horizontalDpi="300" verticalDpi="300" r:id="rId1"/>
  <headerFooter alignWithMargins="0">
    <oddFooter>&amp;A</oddFooter>
  </headerFooter>
  <rowBreaks count="1" manualBreakCount="1">
    <brk id="16" max="14" man="1"/>
  </rowBreak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Hoja23">
    <tabColor rgb="FF7CC9D0"/>
    <pageSetUpPr fitToPage="1"/>
  </sheetPr>
  <dimension ref="A1:P51"/>
  <sheetViews>
    <sheetView showGridLines="0" workbookViewId="0">
      <selection activeCell="B19" sqref="B19"/>
    </sheetView>
  </sheetViews>
  <sheetFormatPr baseColWidth="10" defaultRowHeight="17.25" x14ac:dyDescent="0.3"/>
  <cols>
    <col min="1" max="1" width="26.75" style="307" bestFit="1" customWidth="1"/>
    <col min="2" max="2" width="9.25" style="307" customWidth="1"/>
    <col min="3" max="3" width="11.125" style="307" bestFit="1" customWidth="1"/>
    <col min="4" max="4" width="11.625" style="307" customWidth="1"/>
    <col min="5" max="5" width="11.125" style="307" bestFit="1" customWidth="1"/>
    <col min="6" max="6" width="12.75" style="307" customWidth="1"/>
    <col min="7" max="7" width="12.875" style="307" customWidth="1"/>
    <col min="8" max="10" width="11.125" style="307" bestFit="1" customWidth="1"/>
    <col min="11" max="11" width="11.75" style="307" bestFit="1" customWidth="1"/>
    <col min="12" max="14" width="11.125" style="307" bestFit="1" customWidth="1"/>
    <col min="15" max="15" width="12" style="307" bestFit="1" customWidth="1"/>
    <col min="16" max="16" width="8.625" style="307" customWidth="1"/>
    <col min="17" max="16384" width="11" style="307"/>
  </cols>
  <sheetData>
    <row r="1" spans="1:16" ht="27.75" x14ac:dyDescent="0.45">
      <c r="A1" s="408" t="s">
        <v>456</v>
      </c>
      <c r="B1" s="445"/>
      <c r="C1" s="446"/>
      <c r="D1" s="446"/>
      <c r="E1" s="446"/>
      <c r="G1" s="948">
        <f>'Datos Básicos'!C16-1</f>
        <v>0</v>
      </c>
      <c r="H1" s="470">
        <f>'Datos Básicos'!B17</f>
        <v>2026</v>
      </c>
    </row>
    <row r="2" spans="1:16" ht="27.75" x14ac:dyDescent="0.45">
      <c r="A2" s="408">
        <f>'Datos Básicos'!B8</f>
        <v>0</v>
      </c>
      <c r="B2" s="445"/>
      <c r="C2" s="446"/>
      <c r="D2" s="446"/>
      <c r="E2" s="446"/>
      <c r="F2" s="446"/>
      <c r="G2" s="446"/>
      <c r="H2" s="446"/>
    </row>
    <row r="3" spans="1:16" x14ac:dyDescent="0.3">
      <c r="D3" s="446"/>
      <c r="E3" s="446"/>
      <c r="F3" s="446"/>
      <c r="G3" s="446"/>
      <c r="H3" s="446"/>
    </row>
    <row r="4" spans="1:16" x14ac:dyDescent="0.3">
      <c r="A4" s="794"/>
      <c r="B4" s="398"/>
      <c r="C4" s="398"/>
      <c r="D4" s="398"/>
      <c r="E4" s="398"/>
      <c r="F4" s="398"/>
      <c r="G4" s="398"/>
      <c r="H4" s="398"/>
    </row>
    <row r="5" spans="1:16" x14ac:dyDescent="0.3">
      <c r="B5" s="398"/>
      <c r="C5" s="398"/>
      <c r="D5" s="398"/>
      <c r="E5" s="398"/>
      <c r="F5" s="398"/>
      <c r="G5" s="398"/>
      <c r="H5" s="398"/>
    </row>
    <row r="6" spans="1:16" ht="18" thickBot="1" x14ac:dyDescent="0.35">
      <c r="C6" s="446"/>
      <c r="D6" s="446"/>
      <c r="E6" s="446"/>
      <c r="F6" s="446"/>
      <c r="G6" s="446"/>
      <c r="H6" s="446"/>
    </row>
    <row r="7" spans="1:16" ht="18.75" thickTop="1" thickBot="1" x14ac:dyDescent="0.35">
      <c r="B7" s="795" t="s">
        <v>958</v>
      </c>
      <c r="C7" s="447" t="str">
        <f>'Datos Gastos Fijos'!D7</f>
        <v>enero</v>
      </c>
      <c r="D7" s="447" t="str">
        <f>'Datos Gastos Fijos'!E7</f>
        <v>febrero</v>
      </c>
      <c r="E7" s="447" t="str">
        <f>'Datos Gastos Fijos'!F7</f>
        <v>marzo</v>
      </c>
      <c r="F7" s="447" t="str">
        <f>'Datos Gastos Fijos'!G7</f>
        <v>abril</v>
      </c>
      <c r="G7" s="447" t="str">
        <f>'Datos Gastos Fijos'!H7</f>
        <v>mayo</v>
      </c>
      <c r="H7" s="447" t="str">
        <f>'Datos Gastos Fijos'!I7</f>
        <v>junio</v>
      </c>
      <c r="I7" s="447" t="str">
        <f>'Datos Gastos Fijos'!J7</f>
        <v>julio</v>
      </c>
      <c r="J7" s="447" t="str">
        <f>'Datos Gastos Fijos'!K7</f>
        <v>agosto</v>
      </c>
      <c r="K7" s="447" t="str">
        <f>'Datos Gastos Fijos'!L7</f>
        <v>septiembre</v>
      </c>
      <c r="L7" s="447" t="str">
        <f>'Datos Gastos Fijos'!M7</f>
        <v>octubre</v>
      </c>
      <c r="M7" s="447" t="str">
        <f>'Datos Gastos Fijos'!N7</f>
        <v>noviembre</v>
      </c>
      <c r="N7" s="447" t="str">
        <f>'Datos Gastos Fijos'!O7</f>
        <v>diciembre</v>
      </c>
      <c r="O7" s="447" t="s">
        <v>865</v>
      </c>
      <c r="P7" s="448" t="s">
        <v>886</v>
      </c>
    </row>
    <row r="8" spans="1:16" ht="18.75" thickTop="1" thickBot="1" x14ac:dyDescent="0.35">
      <c r="A8" s="796" t="s">
        <v>22</v>
      </c>
      <c r="B8" s="797"/>
      <c r="C8" s="797"/>
      <c r="D8" s="797"/>
      <c r="E8" s="797"/>
      <c r="F8" s="797"/>
      <c r="G8" s="797"/>
      <c r="H8" s="797"/>
      <c r="I8" s="797"/>
      <c r="J8" s="797"/>
      <c r="K8" s="797"/>
      <c r="L8" s="797"/>
      <c r="M8" s="797"/>
      <c r="N8" s="797"/>
      <c r="O8" s="637"/>
      <c r="P8" s="798"/>
    </row>
    <row r="9" spans="1:16" ht="18" thickBot="1" x14ac:dyDescent="0.35">
      <c r="A9" s="799" t="s">
        <v>722</v>
      </c>
      <c r="B9" s="410" t="s">
        <v>184</v>
      </c>
      <c r="C9" s="800">
        <f>Plantilla!C16</f>
        <v>1</v>
      </c>
      <c r="D9" s="800">
        <f>Plantilla!D16</f>
        <v>1</v>
      </c>
      <c r="E9" s="800">
        <f>Plantilla!E16</f>
        <v>1</v>
      </c>
      <c r="F9" s="800">
        <f>Plantilla!F16</f>
        <v>1</v>
      </c>
      <c r="G9" s="800">
        <f>Plantilla!G16</f>
        <v>1</v>
      </c>
      <c r="H9" s="800">
        <f>Plantilla!H16</f>
        <v>1</v>
      </c>
      <c r="I9" s="800">
        <f>Plantilla!I16</f>
        <v>1</v>
      </c>
      <c r="J9" s="800">
        <f>Plantilla!J16</f>
        <v>1</v>
      </c>
      <c r="K9" s="800">
        <f>Plantilla!K16</f>
        <v>1</v>
      </c>
      <c r="L9" s="800">
        <f>Plantilla!L16</f>
        <v>1</v>
      </c>
      <c r="M9" s="800">
        <f>Plantilla!M16</f>
        <v>1</v>
      </c>
      <c r="N9" s="800">
        <f>Plantilla!N16</f>
        <v>1</v>
      </c>
      <c r="O9" s="801">
        <f>AVERAGE(C9:N9)</f>
        <v>1</v>
      </c>
      <c r="P9" s="798"/>
    </row>
    <row r="10" spans="1:16" ht="18" thickBot="1" x14ac:dyDescent="0.35">
      <c r="A10" s="799" t="s">
        <v>182</v>
      </c>
      <c r="B10" s="802"/>
      <c r="C10" s="803"/>
      <c r="D10" s="803"/>
      <c r="E10" s="803"/>
      <c r="F10" s="803"/>
      <c r="G10" s="803"/>
      <c r="H10" s="803"/>
      <c r="I10" s="803"/>
      <c r="J10" s="803"/>
      <c r="K10" s="803"/>
      <c r="L10" s="803"/>
      <c r="M10" s="803"/>
      <c r="N10" s="803"/>
      <c r="O10" s="804"/>
      <c r="P10" s="805"/>
    </row>
    <row r="11" spans="1:16" ht="18" thickBot="1" x14ac:dyDescent="0.35">
      <c r="A11" s="799" t="s">
        <v>723</v>
      </c>
      <c r="B11" s="806">
        <f>'RR HH'!$B$15</f>
        <v>1221</v>
      </c>
      <c r="C11" s="642">
        <f>IF(C9="","",$B11*C9)</f>
        <v>1221</v>
      </c>
      <c r="D11" s="642">
        <f>IF(D9="","",$B11*D9)</f>
        <v>1221</v>
      </c>
      <c r="E11" s="642">
        <f>IF(E9="","",$B11*E9)</f>
        <v>1221</v>
      </c>
      <c r="F11" s="642">
        <f>IF(F9="","",$B11*F9)</f>
        <v>1221</v>
      </c>
      <c r="G11" s="642">
        <f t="shared" ref="G11:N11" si="0">IF(G9="","",$B11*G9)</f>
        <v>1221</v>
      </c>
      <c r="H11" s="642">
        <f t="shared" si="0"/>
        <v>1221</v>
      </c>
      <c r="I11" s="642">
        <f t="shared" si="0"/>
        <v>1221</v>
      </c>
      <c r="J11" s="642">
        <f t="shared" si="0"/>
        <v>1221</v>
      </c>
      <c r="K11" s="642">
        <f t="shared" si="0"/>
        <v>1221</v>
      </c>
      <c r="L11" s="642">
        <f t="shared" si="0"/>
        <v>1221</v>
      </c>
      <c r="M11" s="642">
        <f t="shared" si="0"/>
        <v>1221</v>
      </c>
      <c r="N11" s="642">
        <f t="shared" si="0"/>
        <v>1221</v>
      </c>
      <c r="O11" s="642">
        <f>SUM(C11:N11)</f>
        <v>14652</v>
      </c>
      <c r="P11" s="805">
        <f>O11/$O$48</f>
        <v>0.9322603304523106</v>
      </c>
    </row>
    <row r="12" spans="1:16" ht="18" thickBot="1" x14ac:dyDescent="0.35">
      <c r="A12" s="799" t="s">
        <v>724</v>
      </c>
      <c r="B12" s="807">
        <f>'RR HH'!$B$22</f>
        <v>0.8</v>
      </c>
      <c r="C12" s="642">
        <f>IF(C9="","",0)</f>
        <v>0</v>
      </c>
      <c r="D12" s="642">
        <f>IF(D9="","",IF('RR HH'!$B$20=6,$B11*D9*$B12,0))</f>
        <v>0</v>
      </c>
      <c r="E12" s="642">
        <f>IF(E9="","",IF('RR HH'!$B$20=4,$B11*E9*$B12,0))</f>
        <v>0</v>
      </c>
      <c r="F12" s="642">
        <f>IF(F9="","",IF(OR('RR HH'!$B$20=3,'RR HH'!$B$20=6),$B11*F9*$B12,0))</f>
        <v>0</v>
      </c>
      <c r="G12" s="642">
        <f>IF(G9="","",0)</f>
        <v>0</v>
      </c>
      <c r="H12" s="642">
        <f>IF(H9="","",IF(OR('RR HH'!$B$20=2,'RR HH'!$B$20=4,'RR HH'!$B$20=6),$B11*H9*$B12,0))</f>
        <v>0</v>
      </c>
      <c r="I12" s="642">
        <f>IF(I9="","",0)</f>
        <v>0</v>
      </c>
      <c r="J12" s="642">
        <f>IF(J9="","",IF(OR('RR HH'!$B$20=3,'RR HH'!$B$20=6),$B11*J9*$B12,0))</f>
        <v>0</v>
      </c>
      <c r="K12" s="642">
        <f>IF(K9="","",IF('RR HH'!$B$20=4,$B11*K9*$B12,0))</f>
        <v>0</v>
      </c>
      <c r="L12" s="642">
        <f>IF(L9="","",IF('RR HH'!$B$20=6,$B11*L9*$B12,0))</f>
        <v>0</v>
      </c>
      <c r="M12" s="642">
        <f>IF(M9="","",0)</f>
        <v>0</v>
      </c>
      <c r="N12" s="642">
        <f>IF(N9="","",IF(OR('RR HH'!$B$20=1,'RR HH'!$B$20=2,'RR HH'!$B$20=3,'RR HH'!$B$20=4,'RR HH'!$B$20=6),$B11*N9*$B12,0))</f>
        <v>0</v>
      </c>
      <c r="O12" s="642">
        <f>SUM(C12:N12)</f>
        <v>0</v>
      </c>
      <c r="P12" s="805">
        <f>O12/$O$48</f>
        <v>0</v>
      </c>
    </row>
    <row r="13" spans="1:16" ht="18" thickBot="1" x14ac:dyDescent="0.35">
      <c r="A13" s="808"/>
      <c r="B13" s="637"/>
      <c r="C13" s="797"/>
      <c r="D13" s="797"/>
      <c r="E13" s="797"/>
      <c r="F13" s="797"/>
      <c r="G13" s="797"/>
      <c r="H13" s="797"/>
      <c r="I13" s="797"/>
      <c r="J13" s="797"/>
      <c r="K13" s="797"/>
      <c r="L13" s="797"/>
      <c r="M13" s="797"/>
      <c r="N13" s="797"/>
      <c r="O13" s="637"/>
      <c r="P13" s="805"/>
    </row>
    <row r="14" spans="1:16" ht="18" thickBot="1" x14ac:dyDescent="0.35">
      <c r="A14" s="799" t="s">
        <v>23</v>
      </c>
      <c r="B14" s="809"/>
      <c r="C14" s="800">
        <f>Plantilla!C17</f>
        <v>0</v>
      </c>
      <c r="D14" s="800">
        <f>Plantilla!D17</f>
        <v>0</v>
      </c>
      <c r="E14" s="800">
        <f>Plantilla!E17</f>
        <v>0</v>
      </c>
      <c r="F14" s="800">
        <f>Plantilla!F17</f>
        <v>0</v>
      </c>
      <c r="G14" s="800">
        <f>Plantilla!G17</f>
        <v>0</v>
      </c>
      <c r="H14" s="800">
        <f>Plantilla!H17</f>
        <v>0</v>
      </c>
      <c r="I14" s="800">
        <f>Plantilla!I17</f>
        <v>0</v>
      </c>
      <c r="J14" s="800">
        <f>Plantilla!J17</f>
        <v>0</v>
      </c>
      <c r="K14" s="800">
        <f>Plantilla!K17</f>
        <v>0</v>
      </c>
      <c r="L14" s="800">
        <f>Plantilla!L17</f>
        <v>0</v>
      </c>
      <c r="M14" s="800">
        <f>Plantilla!M17</f>
        <v>0</v>
      </c>
      <c r="N14" s="800">
        <f>Plantilla!N17</f>
        <v>0</v>
      </c>
      <c r="O14" s="801">
        <f>AVERAGE(C14:N14)</f>
        <v>0</v>
      </c>
      <c r="P14" s="805"/>
    </row>
    <row r="15" spans="1:16" ht="18" thickBot="1" x14ac:dyDescent="0.35">
      <c r="A15" s="799" t="s">
        <v>725</v>
      </c>
      <c r="B15" s="810">
        <f>'RR HH'!$B$16</f>
        <v>0</v>
      </c>
      <c r="C15" s="636">
        <f>IF(C14="","",$B$15*C14)</f>
        <v>0</v>
      </c>
      <c r="D15" s="636">
        <f t="shared" ref="D15:N15" si="1">IF(D14="","",$B$15*D14)</f>
        <v>0</v>
      </c>
      <c r="E15" s="636">
        <f t="shared" si="1"/>
        <v>0</v>
      </c>
      <c r="F15" s="636">
        <f t="shared" si="1"/>
        <v>0</v>
      </c>
      <c r="G15" s="642">
        <f t="shared" si="1"/>
        <v>0</v>
      </c>
      <c r="H15" s="642">
        <f t="shared" si="1"/>
        <v>0</v>
      </c>
      <c r="I15" s="642">
        <f t="shared" si="1"/>
        <v>0</v>
      </c>
      <c r="J15" s="642">
        <f t="shared" si="1"/>
        <v>0</v>
      </c>
      <c r="K15" s="642">
        <f t="shared" si="1"/>
        <v>0</v>
      </c>
      <c r="L15" s="642">
        <f t="shared" si="1"/>
        <v>0</v>
      </c>
      <c r="M15" s="642">
        <f t="shared" si="1"/>
        <v>0</v>
      </c>
      <c r="N15" s="642">
        <f t="shared" si="1"/>
        <v>0</v>
      </c>
      <c r="O15" s="642">
        <f t="shared" ref="O15:O45" si="2">SUM(C15:N15)</f>
        <v>0</v>
      </c>
      <c r="P15" s="805">
        <f>O15/$O$48</f>
        <v>0</v>
      </c>
    </row>
    <row r="16" spans="1:16" ht="18" thickBot="1" x14ac:dyDescent="0.35">
      <c r="A16" s="799" t="s">
        <v>726</v>
      </c>
      <c r="B16" s="807">
        <f>'RR HH'!$B$23</f>
        <v>0.8</v>
      </c>
      <c r="C16" s="636">
        <f>IF(C14="","",0)</f>
        <v>0</v>
      </c>
      <c r="D16" s="636">
        <f>IF(D14="","",IF('RR HH'!$B$21=6,$B15*D14*$B16,0))</f>
        <v>0</v>
      </c>
      <c r="E16" s="636">
        <f>IF(E14="","",IF('RR HH'!$B$21=4,$B15*E14*$B16,0))</f>
        <v>0</v>
      </c>
      <c r="F16" s="636">
        <f>IF(F14="","",IF(OR('RR HH'!$B$21=3,'RR HH'!$B$21=6),$B15*F14*$B16,0))</f>
        <v>0</v>
      </c>
      <c r="G16" s="642">
        <f>IF(G14="","",0)</f>
        <v>0</v>
      </c>
      <c r="H16" s="642">
        <f>IF(H14="","",IF(OR('RR HH'!$B$21=2,'RR HH'!$B$21=4,'RR HH'!$B$21=6),$B15*H14*$B16,0))</f>
        <v>0</v>
      </c>
      <c r="I16" s="642">
        <f>IF(I14="","",0)</f>
        <v>0</v>
      </c>
      <c r="J16" s="642">
        <f>IF(J14="","",IF(OR('RR HH'!$B$21=3,'RR HH'!$B$21=6),$B15*J14*$B16,0))</f>
        <v>0</v>
      </c>
      <c r="K16" s="642">
        <f>IF(K14="","",IF('RR HH'!$B$21=4,$B15*K14*$B16,0))</f>
        <v>0</v>
      </c>
      <c r="L16" s="642">
        <f>IF(L14="","",IF('RR HH'!$B$21=6,$B15*L14*$B16,0))</f>
        <v>0</v>
      </c>
      <c r="M16" s="642">
        <f>IF(M14="","",0)</f>
        <v>0</v>
      </c>
      <c r="N16" s="642">
        <f>IF(N14="","",IF(OR('RR HH'!$B$21=1,'RR HH'!$B$21=2,'RR HH'!$B$21=3,'RR HH'!$B$21=4,'RR HH'!$B$21=6),$B15*N14*$B16,0))</f>
        <v>0</v>
      </c>
      <c r="O16" s="642">
        <f t="shared" si="2"/>
        <v>0</v>
      </c>
      <c r="P16" s="805">
        <f>O16/$O$48</f>
        <v>0</v>
      </c>
    </row>
    <row r="17" spans="1:16" ht="18" thickBot="1" x14ac:dyDescent="0.35">
      <c r="A17" s="808"/>
      <c r="B17" s="637"/>
      <c r="C17" s="811"/>
      <c r="D17" s="811"/>
      <c r="E17" s="811"/>
      <c r="F17" s="811"/>
      <c r="G17" s="811"/>
      <c r="H17" s="811"/>
      <c r="I17" s="811"/>
      <c r="J17" s="811"/>
      <c r="K17" s="811"/>
      <c r="L17" s="811"/>
      <c r="M17" s="811"/>
      <c r="N17" s="811"/>
      <c r="O17" s="637"/>
      <c r="P17" s="805"/>
    </row>
    <row r="18" spans="1:16" ht="18" thickBot="1" x14ac:dyDescent="0.35">
      <c r="A18" s="812" t="s">
        <v>727</v>
      </c>
      <c r="B18" s="807">
        <f>'RR HH'!$B$27</f>
        <v>0.32</v>
      </c>
      <c r="C18" s="642">
        <f>IF(C14="","",$B18*C15)</f>
        <v>0</v>
      </c>
      <c r="D18" s="642">
        <f t="shared" ref="D18:N18" si="3">IF(D14="","",$B18*D15)</f>
        <v>0</v>
      </c>
      <c r="E18" s="642">
        <f t="shared" si="3"/>
        <v>0</v>
      </c>
      <c r="F18" s="642">
        <f t="shared" si="3"/>
        <v>0</v>
      </c>
      <c r="G18" s="642">
        <f t="shared" si="3"/>
        <v>0</v>
      </c>
      <c r="H18" s="642">
        <f t="shared" si="3"/>
        <v>0</v>
      </c>
      <c r="I18" s="642">
        <f t="shared" si="3"/>
        <v>0</v>
      </c>
      <c r="J18" s="642">
        <f t="shared" si="3"/>
        <v>0</v>
      </c>
      <c r="K18" s="642">
        <f t="shared" si="3"/>
        <v>0</v>
      </c>
      <c r="L18" s="642">
        <f t="shared" si="3"/>
        <v>0</v>
      </c>
      <c r="M18" s="642">
        <f t="shared" si="3"/>
        <v>0</v>
      </c>
      <c r="N18" s="642">
        <f t="shared" si="3"/>
        <v>0</v>
      </c>
      <c r="O18" s="642">
        <f>SUM(C18:N18)</f>
        <v>0</v>
      </c>
      <c r="P18" s="805">
        <f>O18/$O$48</f>
        <v>0</v>
      </c>
    </row>
    <row r="19" spans="1:16" ht="18" thickBot="1" x14ac:dyDescent="0.35">
      <c r="A19" s="812" t="s">
        <v>728</v>
      </c>
      <c r="B19" s="810">
        <f>'RR HH'!$B$28</f>
        <v>88.72</v>
      </c>
      <c r="C19" s="642">
        <f>IF(C9="","",$B19*C9)</f>
        <v>88.72</v>
      </c>
      <c r="D19" s="642">
        <f t="shared" ref="D19:N19" si="4">IF(D9="","",$B19*D9)</f>
        <v>88.72</v>
      </c>
      <c r="E19" s="642">
        <f t="shared" si="4"/>
        <v>88.72</v>
      </c>
      <c r="F19" s="642">
        <f t="shared" si="4"/>
        <v>88.72</v>
      </c>
      <c r="G19" s="642">
        <f t="shared" si="4"/>
        <v>88.72</v>
      </c>
      <c r="H19" s="642">
        <f t="shared" si="4"/>
        <v>88.72</v>
      </c>
      <c r="I19" s="642">
        <f t="shared" si="4"/>
        <v>88.72</v>
      </c>
      <c r="J19" s="642">
        <f t="shared" si="4"/>
        <v>88.72</v>
      </c>
      <c r="K19" s="642">
        <f t="shared" si="4"/>
        <v>88.72</v>
      </c>
      <c r="L19" s="642">
        <f t="shared" si="4"/>
        <v>88.72</v>
      </c>
      <c r="M19" s="642">
        <f t="shared" si="4"/>
        <v>88.72</v>
      </c>
      <c r="N19" s="642">
        <f t="shared" si="4"/>
        <v>88.72</v>
      </c>
      <c r="O19" s="642">
        <f>SUM(C19:N19)</f>
        <v>1064.6400000000001</v>
      </c>
      <c r="P19" s="805">
        <f>O19/$O$48</f>
        <v>6.7739669547689604E-2</v>
      </c>
    </row>
    <row r="20" spans="1:16" ht="18" thickBot="1" x14ac:dyDescent="0.35">
      <c r="A20" s="694"/>
      <c r="B20" s="637"/>
      <c r="C20" s="797"/>
      <c r="D20" s="797"/>
      <c r="E20" s="797"/>
      <c r="F20" s="797"/>
      <c r="G20" s="797"/>
      <c r="H20" s="797"/>
      <c r="I20" s="797"/>
      <c r="J20" s="797"/>
      <c r="K20" s="797"/>
      <c r="L20" s="797"/>
      <c r="M20" s="797"/>
      <c r="N20" s="797"/>
      <c r="O20" s="637"/>
      <c r="P20" s="805"/>
    </row>
    <row r="21" spans="1:16" ht="18" thickBot="1" x14ac:dyDescent="0.35">
      <c r="A21" s="812" t="s">
        <v>729</v>
      </c>
      <c r="B21" s="813">
        <f>'RR HH'!$B$32</f>
        <v>6</v>
      </c>
      <c r="C21" s="642">
        <f>IF(C9="","",$B21*Plantilla!C11)</f>
        <v>0</v>
      </c>
      <c r="D21" s="642">
        <f>IF(D9="","",$B21*Plantilla!D11)</f>
        <v>0</v>
      </c>
      <c r="E21" s="642">
        <f>IF(E9="","",$B21*Plantilla!E11)</f>
        <v>0</v>
      </c>
      <c r="F21" s="642">
        <f>IF(F9="","",$B21*Plantilla!F11)</f>
        <v>0</v>
      </c>
      <c r="G21" s="642">
        <f>IF(G9="","",$B21*Plantilla!G11)</f>
        <v>0</v>
      </c>
      <c r="H21" s="642">
        <f>IF(H9="","",$B21*Plantilla!H11)</f>
        <v>0</v>
      </c>
      <c r="I21" s="642">
        <f>IF(I9="","",$B21*Plantilla!I11)</f>
        <v>0</v>
      </c>
      <c r="J21" s="642">
        <f>IF(J9="","",$B21*Plantilla!J11)</f>
        <v>0</v>
      </c>
      <c r="K21" s="642">
        <f>IF(K9="","",$B21*Plantilla!K11)</f>
        <v>0</v>
      </c>
      <c r="L21" s="642">
        <f>IF(L9="","",$B21*Plantilla!L11)</f>
        <v>0</v>
      </c>
      <c r="M21" s="642">
        <f>IF(M9="","",$B21*Plantilla!M11)</f>
        <v>0</v>
      </c>
      <c r="N21" s="642">
        <f>IF(N9="","",$B21*Plantilla!N11)</f>
        <v>0</v>
      </c>
      <c r="O21" s="642">
        <f>SUM(C21:N21)</f>
        <v>0</v>
      </c>
      <c r="P21" s="805">
        <f>O21/$O$48</f>
        <v>0</v>
      </c>
    </row>
    <row r="22" spans="1:16" ht="18" thickBot="1" x14ac:dyDescent="0.35">
      <c r="A22" s="812" t="s">
        <v>730</v>
      </c>
      <c r="B22" s="813">
        <f>'RR HH'!$B$33</f>
        <v>18</v>
      </c>
      <c r="C22" s="642">
        <f>IF(C14="","",ABS($B22*Plantilla!C13))</f>
        <v>0</v>
      </c>
      <c r="D22" s="642">
        <f>IF(D14="","",ABS($B22*Plantilla!D13))</f>
        <v>0</v>
      </c>
      <c r="E22" s="642">
        <f>IF(E14="","",ABS($B22*Plantilla!E13))</f>
        <v>0</v>
      </c>
      <c r="F22" s="642">
        <f>IF(F14="","",ABS($B22*Plantilla!F13))</f>
        <v>0</v>
      </c>
      <c r="G22" s="642">
        <f>IF(G14="","",ABS($B22*Plantilla!G13))</f>
        <v>0</v>
      </c>
      <c r="H22" s="642">
        <f>IF(H14="","",ABS($B22*Plantilla!H13))</f>
        <v>0</v>
      </c>
      <c r="I22" s="642">
        <f>IF(I14="","",ABS($B22*Plantilla!I13))</f>
        <v>0</v>
      </c>
      <c r="J22" s="642">
        <f>IF(J14="","",ABS($B22*Plantilla!J13))</f>
        <v>0</v>
      </c>
      <c r="K22" s="642">
        <f>IF(K14="","",ABS($B22*Plantilla!K13))</f>
        <v>0</v>
      </c>
      <c r="L22" s="642">
        <f>IF(L14="","",ABS($B22*Plantilla!L13))</f>
        <v>0</v>
      </c>
      <c r="M22" s="642">
        <f>IF(M14="","",ABS($B22*Plantilla!M13))</f>
        <v>0</v>
      </c>
      <c r="N22" s="642">
        <f>IF(N14="","",ABS($B22*Plantilla!N13))</f>
        <v>0</v>
      </c>
      <c r="O22" s="642">
        <f>SUM(C22:N22)</f>
        <v>0</v>
      </c>
      <c r="P22" s="805">
        <f>O22/$O$48</f>
        <v>0</v>
      </c>
    </row>
    <row r="23" spans="1:16" ht="18" thickBot="1" x14ac:dyDescent="0.35">
      <c r="A23" s="694"/>
      <c r="B23" s="814"/>
      <c r="C23" s="637"/>
      <c r="D23" s="797"/>
      <c r="E23" s="797"/>
      <c r="F23" s="797"/>
      <c r="G23" s="797"/>
      <c r="H23" s="797"/>
      <c r="I23" s="797"/>
      <c r="J23" s="797"/>
      <c r="K23" s="797"/>
      <c r="L23" s="797"/>
      <c r="M23" s="797"/>
      <c r="N23" s="797"/>
      <c r="O23" s="637"/>
      <c r="P23" s="805"/>
    </row>
    <row r="24" spans="1:16" ht="18" thickBot="1" x14ac:dyDescent="0.35">
      <c r="A24" s="815" t="s">
        <v>24</v>
      </c>
      <c r="B24" s="816"/>
      <c r="C24" s="817">
        <f>SUM(C11:C12,C15:C19,C21:C22)</f>
        <v>1309.72</v>
      </c>
      <c r="D24" s="818">
        <f t="shared" ref="D24:N24" si="5">SUM(D11:D12,D15:D19,D21:D22)</f>
        <v>1309.72</v>
      </c>
      <c r="E24" s="818">
        <f t="shared" si="5"/>
        <v>1309.72</v>
      </c>
      <c r="F24" s="818">
        <f t="shared" si="5"/>
        <v>1309.72</v>
      </c>
      <c r="G24" s="819">
        <f t="shared" si="5"/>
        <v>1309.72</v>
      </c>
      <c r="H24" s="819">
        <f t="shared" si="5"/>
        <v>1309.72</v>
      </c>
      <c r="I24" s="819">
        <f t="shared" si="5"/>
        <v>1309.72</v>
      </c>
      <c r="J24" s="819">
        <f t="shared" si="5"/>
        <v>1309.72</v>
      </c>
      <c r="K24" s="819">
        <f t="shared" si="5"/>
        <v>1309.72</v>
      </c>
      <c r="L24" s="819">
        <f t="shared" si="5"/>
        <v>1309.72</v>
      </c>
      <c r="M24" s="819">
        <f t="shared" si="5"/>
        <v>1309.72</v>
      </c>
      <c r="N24" s="819">
        <f t="shared" si="5"/>
        <v>1309.72</v>
      </c>
      <c r="O24" s="468">
        <f t="shared" si="2"/>
        <v>15716.639999999998</v>
      </c>
      <c r="P24" s="820">
        <f>O24/$O$48</f>
        <v>1</v>
      </c>
    </row>
    <row r="25" spans="1:16" ht="18" thickBot="1" x14ac:dyDescent="0.35">
      <c r="A25" s="694"/>
      <c r="B25" s="639"/>
      <c r="C25" s="1012">
        <v>1</v>
      </c>
      <c r="D25" s="1012">
        <v>2</v>
      </c>
      <c r="E25" s="1012">
        <v>3</v>
      </c>
      <c r="F25" s="1012">
        <v>4</v>
      </c>
      <c r="G25" s="1012">
        <v>5</v>
      </c>
      <c r="H25" s="1012">
        <v>6</v>
      </c>
      <c r="I25" s="1012">
        <v>7</v>
      </c>
      <c r="J25" s="1012">
        <v>8</v>
      </c>
      <c r="K25" s="1012">
        <v>9</v>
      </c>
      <c r="L25" s="1012">
        <v>10</v>
      </c>
      <c r="M25" s="1012">
        <v>11</v>
      </c>
      <c r="N25" s="1012">
        <v>12</v>
      </c>
      <c r="O25" s="1012">
        <v>13</v>
      </c>
      <c r="P25" s="821"/>
    </row>
    <row r="26" spans="1:16" ht="18.75" thickTop="1" thickBot="1" x14ac:dyDescent="0.35">
      <c r="A26" s="822" t="s">
        <v>985</v>
      </c>
      <c r="B26" s="795" t="s">
        <v>958</v>
      </c>
      <c r="C26" s="447" t="str">
        <f t="shared" ref="C26:N26" si="6">C7</f>
        <v>enero</v>
      </c>
      <c r="D26" s="447" t="str">
        <f t="shared" si="6"/>
        <v>febrero</v>
      </c>
      <c r="E26" s="447" t="str">
        <f t="shared" si="6"/>
        <v>marzo</v>
      </c>
      <c r="F26" s="447" t="str">
        <f t="shared" si="6"/>
        <v>abril</v>
      </c>
      <c r="G26" s="447" t="str">
        <f t="shared" si="6"/>
        <v>mayo</v>
      </c>
      <c r="H26" s="447" t="str">
        <f t="shared" si="6"/>
        <v>junio</v>
      </c>
      <c r="I26" s="447" t="str">
        <f t="shared" si="6"/>
        <v>julio</v>
      </c>
      <c r="J26" s="447" t="str">
        <f t="shared" si="6"/>
        <v>agosto</v>
      </c>
      <c r="K26" s="447" t="str">
        <f t="shared" si="6"/>
        <v>septiembre</v>
      </c>
      <c r="L26" s="447" t="str">
        <f t="shared" si="6"/>
        <v>octubre</v>
      </c>
      <c r="M26" s="447" t="str">
        <f t="shared" si="6"/>
        <v>noviembre</v>
      </c>
      <c r="N26" s="447" t="str">
        <f t="shared" si="6"/>
        <v>diciembre</v>
      </c>
      <c r="O26" s="447" t="s">
        <v>865</v>
      </c>
      <c r="P26" s="823" t="s">
        <v>886</v>
      </c>
    </row>
    <row r="27" spans="1:16" ht="18" thickBot="1" x14ac:dyDescent="0.35">
      <c r="A27" s="824" t="str">
        <f>'Datos Gastos Fijos'!A8</f>
        <v>Tributos: IAE, IBI, ...</v>
      </c>
      <c r="B27" s="810">
        <f>'Datos Gastos Fijos'!B8</f>
        <v>0</v>
      </c>
      <c r="C27" s="987">
        <f>IF(COLUMN(C$26)-2&lt;mes0,0,'Datos Gastos Fijos'!D8)</f>
        <v>0</v>
      </c>
      <c r="D27" s="987">
        <f>IF(COLUMN(D$26)-2&lt;mes0,0,'Datos Gastos Fijos'!E8)</f>
        <v>0</v>
      </c>
      <c r="E27" s="987">
        <f>IF(COLUMN(E$26)-2&lt;mes0,0,'Datos Gastos Fijos'!F8)</f>
        <v>0</v>
      </c>
      <c r="F27" s="987">
        <f>IF(COLUMN(F$26)-2&lt;mes0,0,'Datos Gastos Fijos'!G8)</f>
        <v>0</v>
      </c>
      <c r="G27" s="987">
        <f>IF(COLUMN(G$26)-2&lt;mes0,0,'Datos Gastos Fijos'!H8)</f>
        <v>0</v>
      </c>
      <c r="H27" s="987">
        <f>IF(COLUMN(H$26)-2&lt;mes0,0,'Datos Gastos Fijos'!I8)</f>
        <v>0</v>
      </c>
      <c r="I27" s="987">
        <f>IF(COLUMN(I$26)-2&lt;mes0,0,'Datos Gastos Fijos'!J8)</f>
        <v>0</v>
      </c>
      <c r="J27" s="987">
        <f>IF(COLUMN(J$26)-2&lt;mes0,0,'Datos Gastos Fijos'!K8)</f>
        <v>0</v>
      </c>
      <c r="K27" s="987">
        <f>IF(COLUMN(K$26)-2&lt;mes0,0,'Datos Gastos Fijos'!L8)</f>
        <v>0</v>
      </c>
      <c r="L27" s="987">
        <f>IF(COLUMN(L$26)-2&lt;mes0,0,'Datos Gastos Fijos'!M8)</f>
        <v>0</v>
      </c>
      <c r="M27" s="987">
        <f>IF(COLUMN(M$26)-2&lt;mes0,0,'Datos Gastos Fijos'!N8)</f>
        <v>0</v>
      </c>
      <c r="N27" s="987">
        <f>IF(COLUMN(N$26)-2&lt;mes0,0,'Datos Gastos Fijos'!O8)</f>
        <v>0</v>
      </c>
      <c r="O27" s="987">
        <f t="shared" si="2"/>
        <v>0</v>
      </c>
      <c r="P27" s="805">
        <f t="shared" ref="P27:P46" si="7">O27/$O$48</f>
        <v>0</v>
      </c>
    </row>
    <row r="28" spans="1:16" ht="18" thickBot="1" x14ac:dyDescent="0.35">
      <c r="A28" s="824" t="str">
        <f>'Datos Gastos Fijos'!A9</f>
        <v>Otras gastos fijos (SIN IVA)</v>
      </c>
      <c r="B28" s="810">
        <f>'Datos Gastos Fijos'!B9</f>
        <v>0</v>
      </c>
      <c r="C28" s="987">
        <f>IF(COLUMN(C$26)-2&lt;mes0,0,'Datos Gastos Fijos'!D9)+IF(COLUMN(C$26)-2=mes0,'Inv. Iniciales ANC'!$B$76,0)</f>
        <v>0</v>
      </c>
      <c r="D28" s="987">
        <f>IF(COLUMN(D$26)-2&lt;mes0,0,'Datos Gastos Fijos'!E9)+IF(COLUMN(D$26)-2=mes0,'Inv. Iniciales ANC'!$B$76,0)</f>
        <v>0</v>
      </c>
      <c r="E28" s="987">
        <f>IF(COLUMN(E$26)-2&lt;mes0,0,'Datos Gastos Fijos'!F9)+IF(COLUMN(E$26)-2=mes0,'Inv. Iniciales ANC'!$B$76,0)</f>
        <v>0</v>
      </c>
      <c r="F28" s="987">
        <f>IF(COLUMN(F$26)-2&lt;mes0,0,'Datos Gastos Fijos'!G9)+IF(COLUMN(F$26)-2=mes0,'Inv. Iniciales ANC'!$B$76,0)</f>
        <v>0</v>
      </c>
      <c r="G28" s="987">
        <f>IF(COLUMN(G$26)-2&lt;mes0,0,'Datos Gastos Fijos'!H9)+IF(COLUMN(G$26)-2=mes0,'Inv. Iniciales ANC'!$B$76,0)</f>
        <v>0</v>
      </c>
      <c r="H28" s="987">
        <f>IF(COLUMN(H$26)-2&lt;mes0,0,'Datos Gastos Fijos'!I9)+IF(COLUMN(H$26)-2=mes0,'Inv. Iniciales ANC'!$B$76,0)</f>
        <v>0</v>
      </c>
      <c r="I28" s="987">
        <f>IF(COLUMN(I$26)-2&lt;mes0,0,'Datos Gastos Fijos'!J9)+IF(COLUMN(I$26)-2=mes0,'Inv. Iniciales ANC'!$B$76,0)</f>
        <v>0</v>
      </c>
      <c r="J28" s="987">
        <f>IF(COLUMN(J$26)-2&lt;mes0,0,'Datos Gastos Fijos'!K9)+IF(COLUMN(J$26)-2=mes0,'Inv. Iniciales ANC'!$B$76,0)</f>
        <v>0</v>
      </c>
      <c r="K28" s="987">
        <f>IF(COLUMN(K$26)-2&lt;mes0,0,'Datos Gastos Fijos'!L9)+IF(COLUMN(K$26)-2=mes0,'Inv. Iniciales ANC'!$B$76,0)</f>
        <v>0</v>
      </c>
      <c r="L28" s="987">
        <f>IF(COLUMN(L$26)-2&lt;mes0,0,'Datos Gastos Fijos'!M9)+IF(COLUMN(L$26)-2=mes0,'Inv. Iniciales ANC'!$B$76,0)</f>
        <v>0</v>
      </c>
      <c r="M28" s="987">
        <f>IF(COLUMN(M$26)-2&lt;mes0,0,'Datos Gastos Fijos'!N9)+IF(COLUMN(M$26)-2=mes0,'Inv. Iniciales ANC'!$B$76,0)</f>
        <v>0</v>
      </c>
      <c r="N28" s="987">
        <f>IF(COLUMN(N$26)-2&lt;mes0,0,'Datos Gastos Fijos'!O9)+IF(COLUMN(N$26)-2=mes0,'Inv. Iniciales ANC'!$B$76,0)</f>
        <v>0</v>
      </c>
      <c r="O28" s="987">
        <f>SUM(C28:N28)</f>
        <v>0</v>
      </c>
      <c r="P28" s="805">
        <f t="shared" si="7"/>
        <v>0</v>
      </c>
    </row>
    <row r="29" spans="1:16" ht="18" thickBot="1" x14ac:dyDescent="0.35">
      <c r="A29" s="824" t="str">
        <f>'Datos Gastos Fijos'!A10</f>
        <v>Primas de Seguros</v>
      </c>
      <c r="B29" s="810">
        <f>'Datos Gastos Fijos'!B10</f>
        <v>0</v>
      </c>
      <c r="C29" s="987">
        <f>IF(COLUMN(C$26)-2&lt;mes0,0,'Datos Gastos Fijos'!D10)</f>
        <v>0</v>
      </c>
      <c r="D29" s="987">
        <f>IF(COLUMN(D$26)-2&lt;mes0,0,'Datos Gastos Fijos'!E10)</f>
        <v>0</v>
      </c>
      <c r="E29" s="987">
        <f>IF(COLUMN(E$26)-2&lt;mes0,0,'Datos Gastos Fijos'!F10)</f>
        <v>0</v>
      </c>
      <c r="F29" s="987">
        <f>IF(COLUMN(F$26)-2&lt;mes0,0,'Datos Gastos Fijos'!G10)</f>
        <v>0</v>
      </c>
      <c r="G29" s="987">
        <f>IF(COLUMN(G$26)-2&lt;mes0,0,'Datos Gastos Fijos'!H10)</f>
        <v>0</v>
      </c>
      <c r="H29" s="987">
        <f>IF(COLUMN(H$26)-2&lt;mes0,0,'Datos Gastos Fijos'!I10)</f>
        <v>0</v>
      </c>
      <c r="I29" s="987">
        <f>IF(COLUMN(I$26)-2&lt;mes0,0,'Datos Gastos Fijos'!J10)</f>
        <v>0</v>
      </c>
      <c r="J29" s="987">
        <f>IF(COLUMN(J$26)-2&lt;mes0,0,'Datos Gastos Fijos'!K10)</f>
        <v>0</v>
      </c>
      <c r="K29" s="987">
        <f>IF(COLUMN(K$26)-2&lt;mes0,0,'Datos Gastos Fijos'!L10)</f>
        <v>0</v>
      </c>
      <c r="L29" s="987">
        <f>IF(COLUMN(L$26)-2&lt;mes0,0,'Datos Gastos Fijos'!M10)</f>
        <v>0</v>
      </c>
      <c r="M29" s="987">
        <f>IF(COLUMN(M$26)-2&lt;mes0,0,'Datos Gastos Fijos'!N10)</f>
        <v>0</v>
      </c>
      <c r="N29" s="987">
        <f>IF(COLUMN(N$26)-2&lt;mes0,0,'Datos Gastos Fijos'!O10)</f>
        <v>0</v>
      </c>
      <c r="O29" s="987">
        <f>SUM(C29:N29)</f>
        <v>0</v>
      </c>
      <c r="P29" s="805">
        <f t="shared" si="7"/>
        <v>0</v>
      </c>
    </row>
    <row r="30" spans="1:16" ht="18" thickBot="1" x14ac:dyDescent="0.35">
      <c r="A30" s="824" t="str">
        <f>'Datos Gastos Fijos'!A11</f>
        <v>Colegio/ Asociación profesional</v>
      </c>
      <c r="B30" s="810">
        <f>'Datos Gastos Fijos'!B11</f>
        <v>0</v>
      </c>
      <c r="C30" s="987">
        <f>IF(COLUMN(C$26)-2&lt;mes0,0,'Datos Gastos Fijos'!D11)</f>
        <v>0</v>
      </c>
      <c r="D30" s="987">
        <f>IF(COLUMN(D$26)-2&lt;mes0,0,'Datos Gastos Fijos'!E11)</f>
        <v>0</v>
      </c>
      <c r="E30" s="987">
        <f>IF(COLUMN(E$26)-2&lt;mes0,0,'Datos Gastos Fijos'!F11)</f>
        <v>0</v>
      </c>
      <c r="F30" s="987">
        <f>IF(COLUMN(F$26)-2&lt;mes0,0,'Datos Gastos Fijos'!G11)</f>
        <v>0</v>
      </c>
      <c r="G30" s="987">
        <f>IF(COLUMN(G$26)-2&lt;mes0,0,'Datos Gastos Fijos'!H11)</f>
        <v>0</v>
      </c>
      <c r="H30" s="987">
        <f>IF(COLUMN(H$26)-2&lt;mes0,0,'Datos Gastos Fijos'!I11)</f>
        <v>0</v>
      </c>
      <c r="I30" s="987">
        <f>IF(COLUMN(I$26)-2&lt;mes0,0,'Datos Gastos Fijos'!J11)</f>
        <v>0</v>
      </c>
      <c r="J30" s="987">
        <f>IF(COLUMN(J$26)-2&lt;mes0,0,'Datos Gastos Fijos'!K11)</f>
        <v>0</v>
      </c>
      <c r="K30" s="987">
        <f>IF(COLUMN(K$26)-2&lt;mes0,0,'Datos Gastos Fijos'!L11)</f>
        <v>0</v>
      </c>
      <c r="L30" s="987">
        <f>IF(COLUMN(L$26)-2&lt;mes0,0,'Datos Gastos Fijos'!M11)</f>
        <v>0</v>
      </c>
      <c r="M30" s="987">
        <f>IF(COLUMN(M$26)-2&lt;mes0,0,'Datos Gastos Fijos'!N11)</f>
        <v>0</v>
      </c>
      <c r="N30" s="987">
        <f>IF(COLUMN(N$26)-2&lt;mes0,0,'Datos Gastos Fijos'!O11)</f>
        <v>0</v>
      </c>
      <c r="O30" s="987">
        <f>SUM(C30:N30)</f>
        <v>0</v>
      </c>
      <c r="P30" s="805">
        <f t="shared" si="7"/>
        <v>0</v>
      </c>
    </row>
    <row r="31" spans="1:16" ht="18" thickBot="1" x14ac:dyDescent="0.35">
      <c r="A31" s="824" t="str">
        <f>'Datos Gastos Fijos'!A12</f>
        <v>Electricidad</v>
      </c>
      <c r="B31" s="810">
        <f>'Datos Gastos Fijos'!B12</f>
        <v>0</v>
      </c>
      <c r="C31" s="987">
        <f>IF(COLUMN(C$26)-2&lt;mes0,0,'Datos Gastos Fijos'!D12)</f>
        <v>0</v>
      </c>
      <c r="D31" s="987">
        <f>IF(COLUMN(D$26)-2&lt;mes0,0,'Datos Gastos Fijos'!E12)</f>
        <v>0</v>
      </c>
      <c r="E31" s="987">
        <f>IF(COLUMN(E$26)-2&lt;mes0,0,'Datos Gastos Fijos'!F12)</f>
        <v>0</v>
      </c>
      <c r="F31" s="987">
        <f>IF(COLUMN(F$26)-2&lt;mes0,0,'Datos Gastos Fijos'!G12)</f>
        <v>0</v>
      </c>
      <c r="G31" s="987">
        <f>IF(COLUMN(G$26)-2&lt;mes0,0,'Datos Gastos Fijos'!H12)</f>
        <v>0</v>
      </c>
      <c r="H31" s="987">
        <f>IF(COLUMN(H$26)-2&lt;mes0,0,'Datos Gastos Fijos'!I12)</f>
        <v>0</v>
      </c>
      <c r="I31" s="987">
        <f>IF(COLUMN(I$26)-2&lt;mes0,0,'Datos Gastos Fijos'!J12)</f>
        <v>0</v>
      </c>
      <c r="J31" s="987">
        <f>IF(COLUMN(J$26)-2&lt;mes0,0,'Datos Gastos Fijos'!K12)</f>
        <v>0</v>
      </c>
      <c r="K31" s="987">
        <f>IF(COLUMN(K$26)-2&lt;mes0,0,'Datos Gastos Fijos'!L12)</f>
        <v>0</v>
      </c>
      <c r="L31" s="987">
        <f>IF(COLUMN(L$26)-2&lt;mes0,0,'Datos Gastos Fijos'!M12)</f>
        <v>0</v>
      </c>
      <c r="M31" s="987">
        <f>IF(COLUMN(M$26)-2&lt;mes0,0,'Datos Gastos Fijos'!N12)</f>
        <v>0</v>
      </c>
      <c r="N31" s="987">
        <f>IF(COLUMN(N$26)-2&lt;mes0,0,'Datos Gastos Fijos'!O12)</f>
        <v>0</v>
      </c>
      <c r="O31" s="987">
        <f t="shared" si="2"/>
        <v>0</v>
      </c>
      <c r="P31" s="805">
        <f t="shared" si="7"/>
        <v>0</v>
      </c>
    </row>
    <row r="32" spans="1:16" ht="18" thickBot="1" x14ac:dyDescent="0.35">
      <c r="A32" s="824" t="str">
        <f>'Datos Gastos Fijos'!A13</f>
        <v>Otros suministros (agua, gas, etc.)</v>
      </c>
      <c r="B32" s="810">
        <f>'Datos Gastos Fijos'!B13</f>
        <v>0</v>
      </c>
      <c r="C32" s="987">
        <f>IF(COLUMN(C$26)-2&lt;mes0,0,'Datos Gastos Fijos'!D13)</f>
        <v>0</v>
      </c>
      <c r="D32" s="987">
        <f>IF(COLUMN(D$26)-2&lt;mes0,0,'Datos Gastos Fijos'!E13)</f>
        <v>0</v>
      </c>
      <c r="E32" s="987">
        <f>IF(COLUMN(E$26)-2&lt;mes0,0,'Datos Gastos Fijos'!F13)</f>
        <v>0</v>
      </c>
      <c r="F32" s="987">
        <f>IF(COLUMN(F$26)-2&lt;mes0,0,'Datos Gastos Fijos'!G13)</f>
        <v>0</v>
      </c>
      <c r="G32" s="987">
        <f>IF(COLUMN(G$26)-2&lt;mes0,0,'Datos Gastos Fijos'!H13)</f>
        <v>0</v>
      </c>
      <c r="H32" s="987">
        <f>IF(COLUMN(H$26)-2&lt;mes0,0,'Datos Gastos Fijos'!I13)</f>
        <v>0</v>
      </c>
      <c r="I32" s="987">
        <f>IF(COLUMN(I$26)-2&lt;mes0,0,'Datos Gastos Fijos'!J13)</f>
        <v>0</v>
      </c>
      <c r="J32" s="987">
        <f>IF(COLUMN(J$26)-2&lt;mes0,0,'Datos Gastos Fijos'!K13)</f>
        <v>0</v>
      </c>
      <c r="K32" s="987">
        <f>IF(COLUMN(K$26)-2&lt;mes0,0,'Datos Gastos Fijos'!L13)</f>
        <v>0</v>
      </c>
      <c r="L32" s="987">
        <f>IF(COLUMN(L$26)-2&lt;mes0,0,'Datos Gastos Fijos'!M13)</f>
        <v>0</v>
      </c>
      <c r="M32" s="987">
        <f>IF(COLUMN(M$26)-2&lt;mes0,0,'Datos Gastos Fijos'!N13)</f>
        <v>0</v>
      </c>
      <c r="N32" s="987">
        <f>IF(COLUMN(N$26)-2&lt;mes0,0,'Datos Gastos Fijos'!O13)</f>
        <v>0</v>
      </c>
      <c r="O32" s="987">
        <f t="shared" si="2"/>
        <v>0</v>
      </c>
      <c r="P32" s="805">
        <f t="shared" si="7"/>
        <v>0</v>
      </c>
    </row>
    <row r="33" spans="1:16" ht="18" thickBot="1" x14ac:dyDescent="0.35">
      <c r="A33" s="824" t="str">
        <f>'Datos Gastos Fijos'!A14</f>
        <v>Teléfono</v>
      </c>
      <c r="B33" s="810">
        <f>'Datos Gastos Fijos'!B14</f>
        <v>0</v>
      </c>
      <c r="C33" s="987">
        <f>IF(COLUMN(C$26)-2&lt;mes0,0,'Datos Gastos Fijos'!D14)</f>
        <v>0</v>
      </c>
      <c r="D33" s="987">
        <f>IF(COLUMN(D$26)-2&lt;mes0,0,'Datos Gastos Fijos'!E14)</f>
        <v>0</v>
      </c>
      <c r="E33" s="987">
        <f>IF(COLUMN(E$26)-2&lt;mes0,0,'Datos Gastos Fijos'!F14)</f>
        <v>0</v>
      </c>
      <c r="F33" s="987">
        <f>IF(COLUMN(F$26)-2&lt;mes0,0,'Datos Gastos Fijos'!G14)</f>
        <v>0</v>
      </c>
      <c r="G33" s="987">
        <f>IF(COLUMN(G$26)-2&lt;mes0,0,'Datos Gastos Fijos'!H14)</f>
        <v>0</v>
      </c>
      <c r="H33" s="987">
        <f>IF(COLUMN(H$26)-2&lt;mes0,0,'Datos Gastos Fijos'!I14)</f>
        <v>0</v>
      </c>
      <c r="I33" s="987">
        <f>IF(COLUMN(I$26)-2&lt;mes0,0,'Datos Gastos Fijos'!J14)</f>
        <v>0</v>
      </c>
      <c r="J33" s="987">
        <f>IF(COLUMN(J$26)-2&lt;mes0,0,'Datos Gastos Fijos'!K14)</f>
        <v>0</v>
      </c>
      <c r="K33" s="987">
        <f>IF(COLUMN(K$26)-2&lt;mes0,0,'Datos Gastos Fijos'!L14)</f>
        <v>0</v>
      </c>
      <c r="L33" s="987">
        <f>IF(COLUMN(L$26)-2&lt;mes0,0,'Datos Gastos Fijos'!M14)</f>
        <v>0</v>
      </c>
      <c r="M33" s="987">
        <f>IF(COLUMN(M$26)-2&lt;mes0,0,'Datos Gastos Fijos'!N14)</f>
        <v>0</v>
      </c>
      <c r="N33" s="987">
        <f>IF(COLUMN(N$26)-2&lt;mes0,0,'Datos Gastos Fijos'!O14)</f>
        <v>0</v>
      </c>
      <c r="O33" s="987">
        <f t="shared" si="2"/>
        <v>0</v>
      </c>
      <c r="P33" s="805">
        <f t="shared" si="7"/>
        <v>0</v>
      </c>
    </row>
    <row r="34" spans="1:16" ht="18" thickBot="1" x14ac:dyDescent="0.35">
      <c r="A34" s="824" t="str">
        <f>'Datos Gastos Fijos'!A15</f>
        <v>Teléfono móviles</v>
      </c>
      <c r="B34" s="810">
        <f>'Datos Gastos Fijos'!B15</f>
        <v>0</v>
      </c>
      <c r="C34" s="987">
        <f>IF(COLUMN(C$26)-2&lt;mes0,0,'Datos Gastos Fijos'!D15)</f>
        <v>0</v>
      </c>
      <c r="D34" s="987">
        <f>IF(COLUMN(D$26)-2&lt;mes0,0,'Datos Gastos Fijos'!E15)</f>
        <v>0</v>
      </c>
      <c r="E34" s="987">
        <f>IF(COLUMN(E$26)-2&lt;mes0,0,'Datos Gastos Fijos'!F15)</f>
        <v>0</v>
      </c>
      <c r="F34" s="987">
        <f>IF(COLUMN(F$26)-2&lt;mes0,0,'Datos Gastos Fijos'!G15)</f>
        <v>0</v>
      </c>
      <c r="G34" s="987">
        <f>IF(COLUMN(G$26)-2&lt;mes0,0,'Datos Gastos Fijos'!H15)</f>
        <v>0</v>
      </c>
      <c r="H34" s="987">
        <f>IF(COLUMN(H$26)-2&lt;mes0,0,'Datos Gastos Fijos'!I15)</f>
        <v>0</v>
      </c>
      <c r="I34" s="987">
        <f>IF(COLUMN(I$26)-2&lt;mes0,0,'Datos Gastos Fijos'!J15)</f>
        <v>0</v>
      </c>
      <c r="J34" s="987">
        <f>IF(COLUMN(J$26)-2&lt;mes0,0,'Datos Gastos Fijos'!K15)</f>
        <v>0</v>
      </c>
      <c r="K34" s="987">
        <f>IF(COLUMN(K$26)-2&lt;mes0,0,'Datos Gastos Fijos'!L15)</f>
        <v>0</v>
      </c>
      <c r="L34" s="987">
        <f>IF(COLUMN(L$26)-2&lt;mes0,0,'Datos Gastos Fijos'!M15)</f>
        <v>0</v>
      </c>
      <c r="M34" s="987">
        <f>IF(COLUMN(M$26)-2&lt;mes0,0,'Datos Gastos Fijos'!N15)</f>
        <v>0</v>
      </c>
      <c r="N34" s="987">
        <f>IF(COLUMN(N$26)-2&lt;mes0,0,'Datos Gastos Fijos'!O15)</f>
        <v>0</v>
      </c>
      <c r="O34" s="987">
        <f t="shared" si="2"/>
        <v>0</v>
      </c>
      <c r="P34" s="805">
        <f t="shared" si="7"/>
        <v>0</v>
      </c>
    </row>
    <row r="35" spans="1:16" ht="18" thickBot="1" x14ac:dyDescent="0.35">
      <c r="A35" s="824" t="str">
        <f>'Datos Gastos Fijos'!A16</f>
        <v>Conexión a Internet (tarifa plana)</v>
      </c>
      <c r="B35" s="810">
        <f>'Datos Gastos Fijos'!B16</f>
        <v>0</v>
      </c>
      <c r="C35" s="987">
        <f>IF(COLUMN(C$26)-2&lt;mes0,0,'Datos Gastos Fijos'!D16)</f>
        <v>0</v>
      </c>
      <c r="D35" s="987">
        <f>IF(COLUMN(D$26)-2&lt;mes0,0,'Datos Gastos Fijos'!E16)</f>
        <v>0</v>
      </c>
      <c r="E35" s="987">
        <f>IF(COLUMN(E$26)-2&lt;mes0,0,'Datos Gastos Fijos'!F16)</f>
        <v>0</v>
      </c>
      <c r="F35" s="987">
        <f>IF(COLUMN(F$26)-2&lt;mes0,0,'Datos Gastos Fijos'!G16)</f>
        <v>0</v>
      </c>
      <c r="G35" s="987">
        <f>IF(COLUMN(G$26)-2&lt;mes0,0,'Datos Gastos Fijos'!H16)</f>
        <v>0</v>
      </c>
      <c r="H35" s="987">
        <f>IF(COLUMN(H$26)-2&lt;mes0,0,'Datos Gastos Fijos'!I16)</f>
        <v>0</v>
      </c>
      <c r="I35" s="987">
        <f>IF(COLUMN(I$26)-2&lt;mes0,0,'Datos Gastos Fijos'!J16)</f>
        <v>0</v>
      </c>
      <c r="J35" s="987">
        <f>IF(COLUMN(J$26)-2&lt;mes0,0,'Datos Gastos Fijos'!K16)</f>
        <v>0</v>
      </c>
      <c r="K35" s="987">
        <f>IF(COLUMN(K$26)-2&lt;mes0,0,'Datos Gastos Fijos'!L16)</f>
        <v>0</v>
      </c>
      <c r="L35" s="987">
        <f>IF(COLUMN(L$26)-2&lt;mes0,0,'Datos Gastos Fijos'!M16)</f>
        <v>0</v>
      </c>
      <c r="M35" s="987">
        <f>IF(COLUMN(M$26)-2&lt;mes0,0,'Datos Gastos Fijos'!N16)</f>
        <v>0</v>
      </c>
      <c r="N35" s="987">
        <f>IF(COLUMN(N$26)-2&lt;mes0,0,'Datos Gastos Fijos'!O16)</f>
        <v>0</v>
      </c>
      <c r="O35" s="987">
        <f>SUM(C35:N35)</f>
        <v>0</v>
      </c>
      <c r="P35" s="805">
        <f>O35/$O$48</f>
        <v>0</v>
      </c>
    </row>
    <row r="36" spans="1:16" ht="18" thickBot="1" x14ac:dyDescent="0.35">
      <c r="A36" s="824" t="str">
        <f>'Datos Gastos Fijos'!A17</f>
        <v>Página Web (Host, mantenimiento, etc)</v>
      </c>
      <c r="B36" s="810">
        <f>'Datos Gastos Fijos'!B17</f>
        <v>0</v>
      </c>
      <c r="C36" s="987">
        <f>IF(COLUMN(C$26)-2&lt;mes0,0,'Datos Gastos Fijos'!D17)</f>
        <v>0</v>
      </c>
      <c r="D36" s="987">
        <f>IF(COLUMN(D$26)-2&lt;mes0,0,'Datos Gastos Fijos'!E17)</f>
        <v>0</v>
      </c>
      <c r="E36" s="987">
        <f>IF(COLUMN(E$26)-2&lt;mes0,0,'Datos Gastos Fijos'!F17)</f>
        <v>0</v>
      </c>
      <c r="F36" s="987">
        <f>IF(COLUMN(F$26)-2&lt;mes0,0,'Datos Gastos Fijos'!G17)</f>
        <v>0</v>
      </c>
      <c r="G36" s="987">
        <f>IF(COLUMN(G$26)-2&lt;mes0,0,'Datos Gastos Fijos'!H17)</f>
        <v>0</v>
      </c>
      <c r="H36" s="987">
        <f>IF(COLUMN(H$26)-2&lt;mes0,0,'Datos Gastos Fijos'!I17)</f>
        <v>0</v>
      </c>
      <c r="I36" s="987">
        <f>IF(COLUMN(I$26)-2&lt;mes0,0,'Datos Gastos Fijos'!J17)</f>
        <v>0</v>
      </c>
      <c r="J36" s="987">
        <f>IF(COLUMN(J$26)-2&lt;mes0,0,'Datos Gastos Fijos'!K17)</f>
        <v>0</v>
      </c>
      <c r="K36" s="987">
        <f>IF(COLUMN(K$26)-2&lt;mes0,0,'Datos Gastos Fijos'!L17)</f>
        <v>0</v>
      </c>
      <c r="L36" s="987">
        <f>IF(COLUMN(L$26)-2&lt;mes0,0,'Datos Gastos Fijos'!M17)</f>
        <v>0</v>
      </c>
      <c r="M36" s="987">
        <f>IF(COLUMN(M$26)-2&lt;mes0,0,'Datos Gastos Fijos'!N17)</f>
        <v>0</v>
      </c>
      <c r="N36" s="987">
        <f>IF(COLUMN(N$26)-2&lt;mes0,0,'Datos Gastos Fijos'!O17)</f>
        <v>0</v>
      </c>
      <c r="O36" s="987">
        <f>SUM(C36:N36)</f>
        <v>0</v>
      </c>
      <c r="P36" s="805">
        <f>O36/$O$48</f>
        <v>0</v>
      </c>
    </row>
    <row r="37" spans="1:16" ht="18" thickBot="1" x14ac:dyDescent="0.35">
      <c r="A37" s="824" t="str">
        <f>'Datos Gastos Fijos'!A18</f>
        <v>Compañía de seguridad / Alarma</v>
      </c>
      <c r="B37" s="810">
        <f>'Datos Gastos Fijos'!B18</f>
        <v>0</v>
      </c>
      <c r="C37" s="987">
        <f>IF(COLUMN(C$26)-2&lt;mes0,0,'Datos Gastos Fijos'!D18)</f>
        <v>0</v>
      </c>
      <c r="D37" s="987">
        <f>IF(COLUMN(D$26)-2&lt;mes0,0,'Datos Gastos Fijos'!E18)</f>
        <v>0</v>
      </c>
      <c r="E37" s="987">
        <f>IF(COLUMN(E$26)-2&lt;mes0,0,'Datos Gastos Fijos'!F18)</f>
        <v>0</v>
      </c>
      <c r="F37" s="987">
        <f>IF(COLUMN(F$26)-2&lt;mes0,0,'Datos Gastos Fijos'!G18)</f>
        <v>0</v>
      </c>
      <c r="G37" s="987">
        <f>IF(COLUMN(G$26)-2&lt;mes0,0,'Datos Gastos Fijos'!H18)</f>
        <v>0</v>
      </c>
      <c r="H37" s="987">
        <f>IF(COLUMN(H$26)-2&lt;mes0,0,'Datos Gastos Fijos'!I18)</f>
        <v>0</v>
      </c>
      <c r="I37" s="987">
        <f>IF(COLUMN(I$26)-2&lt;mes0,0,'Datos Gastos Fijos'!J18)</f>
        <v>0</v>
      </c>
      <c r="J37" s="987">
        <f>IF(COLUMN(J$26)-2&lt;mes0,0,'Datos Gastos Fijos'!K18)</f>
        <v>0</v>
      </c>
      <c r="K37" s="987">
        <f>IF(COLUMN(K$26)-2&lt;mes0,0,'Datos Gastos Fijos'!L18)</f>
        <v>0</v>
      </c>
      <c r="L37" s="987">
        <f>IF(COLUMN(L$26)-2&lt;mes0,0,'Datos Gastos Fijos'!M18)</f>
        <v>0</v>
      </c>
      <c r="M37" s="987">
        <f>IF(COLUMN(M$26)-2&lt;mes0,0,'Datos Gastos Fijos'!N18)</f>
        <v>0</v>
      </c>
      <c r="N37" s="987">
        <f>IF(COLUMN(N$26)-2&lt;mes0,0,'Datos Gastos Fijos'!O18)</f>
        <v>0</v>
      </c>
      <c r="O37" s="987">
        <f>SUM(C37:N37)</f>
        <v>0</v>
      </c>
      <c r="P37" s="805">
        <f>O37/$O$48</f>
        <v>0</v>
      </c>
    </row>
    <row r="38" spans="1:16" ht="18" thickBot="1" x14ac:dyDescent="0.35">
      <c r="A38" s="824" t="str">
        <f>'Datos Gastos Fijos'!A19</f>
        <v>Material de oficina</v>
      </c>
      <c r="B38" s="810">
        <f>'Datos Gastos Fijos'!B19</f>
        <v>0</v>
      </c>
      <c r="C38" s="987">
        <f>IF(COLUMN(C$26)-2&lt;mes0,0,'Datos Gastos Fijos'!D19)</f>
        <v>0</v>
      </c>
      <c r="D38" s="987">
        <f>IF(COLUMN(D$26)-2&lt;mes0,0,'Datos Gastos Fijos'!E19)</f>
        <v>0</v>
      </c>
      <c r="E38" s="987">
        <f>IF(COLUMN(E$26)-2&lt;mes0,0,'Datos Gastos Fijos'!F19)</f>
        <v>0</v>
      </c>
      <c r="F38" s="987">
        <f>IF(COLUMN(F$26)-2&lt;mes0,0,'Datos Gastos Fijos'!G19)</f>
        <v>0</v>
      </c>
      <c r="G38" s="987">
        <f>IF(COLUMN(G$26)-2&lt;mes0,0,'Datos Gastos Fijos'!H19)</f>
        <v>0</v>
      </c>
      <c r="H38" s="987">
        <f>IF(COLUMN(H$26)-2&lt;mes0,0,'Datos Gastos Fijos'!I19)</f>
        <v>0</v>
      </c>
      <c r="I38" s="987">
        <f>IF(COLUMN(I$26)-2&lt;mes0,0,'Datos Gastos Fijos'!J19)</f>
        <v>0</v>
      </c>
      <c r="J38" s="987">
        <f>IF(COLUMN(J$26)-2&lt;mes0,0,'Datos Gastos Fijos'!K19)</f>
        <v>0</v>
      </c>
      <c r="K38" s="987">
        <f>IF(COLUMN(K$26)-2&lt;mes0,0,'Datos Gastos Fijos'!L19)</f>
        <v>0</v>
      </c>
      <c r="L38" s="987">
        <f>IF(COLUMN(L$26)-2&lt;mes0,0,'Datos Gastos Fijos'!M19)</f>
        <v>0</v>
      </c>
      <c r="M38" s="987">
        <f>IF(COLUMN(M$26)-2&lt;mes0,0,'Datos Gastos Fijos'!N19)</f>
        <v>0</v>
      </c>
      <c r="N38" s="987">
        <f>IF(COLUMN(N$26)-2&lt;mes0,0,'Datos Gastos Fijos'!O19)</f>
        <v>0</v>
      </c>
      <c r="O38" s="987">
        <f t="shared" si="2"/>
        <v>0</v>
      </c>
      <c r="P38" s="805">
        <f t="shared" si="7"/>
        <v>0</v>
      </c>
    </row>
    <row r="39" spans="1:16" ht="18" thickBot="1" x14ac:dyDescent="0.35">
      <c r="A39" s="824" t="str">
        <f>'Datos Gastos Fijos'!A20</f>
        <v>Publicidad y propaganda</v>
      </c>
      <c r="B39" s="810">
        <f>'Datos Gastos Fijos'!B20</f>
        <v>0</v>
      </c>
      <c r="C39" s="987">
        <f>IF(COLUMN(C$26)-2&lt;mes0,0,'Datos Gastos Fijos'!D20)</f>
        <v>0</v>
      </c>
      <c r="D39" s="987">
        <f>IF(COLUMN(D$26)-2&lt;mes0,0,'Datos Gastos Fijos'!E20)</f>
        <v>0</v>
      </c>
      <c r="E39" s="987">
        <f>IF(COLUMN(E$26)-2&lt;mes0,0,'Datos Gastos Fijos'!F20)</f>
        <v>0</v>
      </c>
      <c r="F39" s="987">
        <f>IF(COLUMN(F$26)-2&lt;mes0,0,'Datos Gastos Fijos'!G20)</f>
        <v>0</v>
      </c>
      <c r="G39" s="987">
        <f>IF(COLUMN(G$26)-2&lt;mes0,0,'Datos Gastos Fijos'!H20)</f>
        <v>0</v>
      </c>
      <c r="H39" s="987">
        <f>IF(COLUMN(H$26)-2&lt;mes0,0,'Datos Gastos Fijos'!I20)</f>
        <v>0</v>
      </c>
      <c r="I39" s="987">
        <f>IF(COLUMN(I$26)-2&lt;mes0,0,'Datos Gastos Fijos'!J20)</f>
        <v>0</v>
      </c>
      <c r="J39" s="987">
        <f>IF(COLUMN(J$26)-2&lt;mes0,0,'Datos Gastos Fijos'!K20)</f>
        <v>0</v>
      </c>
      <c r="K39" s="987">
        <f>IF(COLUMN(K$26)-2&lt;mes0,0,'Datos Gastos Fijos'!L20)</f>
        <v>0</v>
      </c>
      <c r="L39" s="987">
        <f>IF(COLUMN(L$26)-2&lt;mes0,0,'Datos Gastos Fijos'!M20)</f>
        <v>0</v>
      </c>
      <c r="M39" s="987">
        <f>IF(COLUMN(M$26)-2&lt;mes0,0,'Datos Gastos Fijos'!N20)</f>
        <v>0</v>
      </c>
      <c r="N39" s="987">
        <f>IF(COLUMN(N$26)-2&lt;mes0,0,'Datos Gastos Fijos'!O20)</f>
        <v>0</v>
      </c>
      <c r="O39" s="987">
        <f t="shared" si="2"/>
        <v>0</v>
      </c>
      <c r="P39" s="805">
        <f t="shared" si="7"/>
        <v>0</v>
      </c>
    </row>
    <row r="40" spans="1:16" ht="18" thickBot="1" x14ac:dyDescent="0.35">
      <c r="A40" s="824" t="str">
        <f>'Datos Gastos Fijos'!A21</f>
        <v>Documentacion y suscripciones</v>
      </c>
      <c r="B40" s="810">
        <f>'Datos Gastos Fijos'!B21</f>
        <v>0</v>
      </c>
      <c r="C40" s="987">
        <f>IF(COLUMN(C$26)-2&lt;mes0,0,'Datos Gastos Fijos'!D21)</f>
        <v>0</v>
      </c>
      <c r="D40" s="987">
        <f>IF(COLUMN(D$26)-2&lt;mes0,0,'Datos Gastos Fijos'!E21)</f>
        <v>0</v>
      </c>
      <c r="E40" s="987">
        <f>IF(COLUMN(E$26)-2&lt;mes0,0,'Datos Gastos Fijos'!F21)</f>
        <v>0</v>
      </c>
      <c r="F40" s="987">
        <f>IF(COLUMN(F$26)-2&lt;mes0,0,'Datos Gastos Fijos'!G21)</f>
        <v>0</v>
      </c>
      <c r="G40" s="987">
        <f>IF(COLUMN(G$26)-2&lt;mes0,0,'Datos Gastos Fijos'!H21)</f>
        <v>0</v>
      </c>
      <c r="H40" s="987">
        <f>IF(COLUMN(H$26)-2&lt;mes0,0,'Datos Gastos Fijos'!I21)</f>
        <v>0</v>
      </c>
      <c r="I40" s="987">
        <f>IF(COLUMN(I$26)-2&lt;mes0,0,'Datos Gastos Fijos'!J21)</f>
        <v>0</v>
      </c>
      <c r="J40" s="987">
        <f>IF(COLUMN(J$26)-2&lt;mes0,0,'Datos Gastos Fijos'!K21)</f>
        <v>0</v>
      </c>
      <c r="K40" s="987">
        <f>IF(COLUMN(K$26)-2&lt;mes0,0,'Datos Gastos Fijos'!L21)</f>
        <v>0</v>
      </c>
      <c r="L40" s="987">
        <f>IF(COLUMN(L$26)-2&lt;mes0,0,'Datos Gastos Fijos'!M21)</f>
        <v>0</v>
      </c>
      <c r="M40" s="987">
        <f>IF(COLUMN(M$26)-2&lt;mes0,0,'Datos Gastos Fijos'!N21)</f>
        <v>0</v>
      </c>
      <c r="N40" s="987">
        <f>IF(COLUMN(N$26)-2&lt;mes0,0,'Datos Gastos Fijos'!O21)</f>
        <v>0</v>
      </c>
      <c r="O40" s="987">
        <f t="shared" si="2"/>
        <v>0</v>
      </c>
      <c r="P40" s="805">
        <f t="shared" si="7"/>
        <v>0</v>
      </c>
    </row>
    <row r="41" spans="1:16" ht="18" thickBot="1" x14ac:dyDescent="0.35">
      <c r="A41" s="824" t="str">
        <f>'Datos Gastos Fijos'!A22</f>
        <v>Asesoría</v>
      </c>
      <c r="B41" s="810">
        <f>'Datos Gastos Fijos'!B22</f>
        <v>0</v>
      </c>
      <c r="C41" s="987">
        <f>IF(COLUMN(C$26)-2&lt;mes0,0,'Datos Gastos Fijos'!D22)</f>
        <v>0</v>
      </c>
      <c r="D41" s="987">
        <f>IF(COLUMN(D$26)-2&lt;mes0,0,'Datos Gastos Fijos'!E22)</f>
        <v>0</v>
      </c>
      <c r="E41" s="987">
        <f>IF(COLUMN(E$26)-2&lt;mes0,0,'Datos Gastos Fijos'!F22)</f>
        <v>0</v>
      </c>
      <c r="F41" s="987">
        <f>IF(COLUMN(F$26)-2&lt;mes0,0,'Datos Gastos Fijos'!G22)</f>
        <v>0</v>
      </c>
      <c r="G41" s="987">
        <f>IF(COLUMN(G$26)-2&lt;mes0,0,'Datos Gastos Fijos'!H22)</f>
        <v>0</v>
      </c>
      <c r="H41" s="987">
        <f>IF(COLUMN(H$26)-2&lt;mes0,0,'Datos Gastos Fijos'!I22)</f>
        <v>0</v>
      </c>
      <c r="I41" s="987">
        <f>IF(COLUMN(I$26)-2&lt;mes0,0,'Datos Gastos Fijos'!J22)</f>
        <v>0</v>
      </c>
      <c r="J41" s="987">
        <f>IF(COLUMN(J$26)-2&lt;mes0,0,'Datos Gastos Fijos'!K22)</f>
        <v>0</v>
      </c>
      <c r="K41" s="987">
        <f>IF(COLUMN(K$26)-2&lt;mes0,0,'Datos Gastos Fijos'!L22)</f>
        <v>0</v>
      </c>
      <c r="L41" s="987">
        <f>IF(COLUMN(L$26)-2&lt;mes0,0,'Datos Gastos Fijos'!M22)</f>
        <v>0</v>
      </c>
      <c r="M41" s="987">
        <f>IF(COLUMN(M$26)-2&lt;mes0,0,'Datos Gastos Fijos'!N22)</f>
        <v>0</v>
      </c>
      <c r="N41" s="987">
        <f>IF(COLUMN(N$26)-2&lt;mes0,0,'Datos Gastos Fijos'!O22)</f>
        <v>0</v>
      </c>
      <c r="O41" s="987">
        <f t="shared" si="2"/>
        <v>0</v>
      </c>
      <c r="P41" s="805">
        <f t="shared" si="7"/>
        <v>0</v>
      </c>
    </row>
    <row r="42" spans="1:16" ht="18" thickBot="1" x14ac:dyDescent="0.35">
      <c r="A42" s="824" t="str">
        <f>'Datos Gastos Fijos'!A23</f>
        <v>Arrendamientos</v>
      </c>
      <c r="B42" s="810">
        <f>'Datos Gastos Fijos'!B23</f>
        <v>0</v>
      </c>
      <c r="C42" s="987">
        <f>IF(COLUMN(C$26)-2&lt;mes0,0,'Datos Gastos Fijos'!D23)</f>
        <v>0</v>
      </c>
      <c r="D42" s="987">
        <f>IF(COLUMN(D$26)-2&lt;mes0,0,'Datos Gastos Fijos'!E23)</f>
        <v>0</v>
      </c>
      <c r="E42" s="987">
        <f>IF(COLUMN(E$26)-2&lt;mes0,0,'Datos Gastos Fijos'!F23)</f>
        <v>0</v>
      </c>
      <c r="F42" s="987">
        <f>IF(COLUMN(F$26)-2&lt;mes0,0,'Datos Gastos Fijos'!G23)</f>
        <v>0</v>
      </c>
      <c r="G42" s="987">
        <f>IF(COLUMN(G$26)-2&lt;mes0,0,'Datos Gastos Fijos'!H23)</f>
        <v>0</v>
      </c>
      <c r="H42" s="987">
        <f>IF(COLUMN(H$26)-2&lt;mes0,0,'Datos Gastos Fijos'!I23)</f>
        <v>0</v>
      </c>
      <c r="I42" s="987">
        <f>IF(COLUMN(I$26)-2&lt;mes0,0,'Datos Gastos Fijos'!J23)</f>
        <v>0</v>
      </c>
      <c r="J42" s="987">
        <f>IF(COLUMN(J$26)-2&lt;mes0,0,'Datos Gastos Fijos'!K23)</f>
        <v>0</v>
      </c>
      <c r="K42" s="987">
        <f>IF(COLUMN(K$26)-2&lt;mes0,0,'Datos Gastos Fijos'!L23)</f>
        <v>0</v>
      </c>
      <c r="L42" s="987">
        <f>IF(COLUMN(L$26)-2&lt;mes0,0,'Datos Gastos Fijos'!M23)</f>
        <v>0</v>
      </c>
      <c r="M42" s="987">
        <f>IF(COLUMN(M$26)-2&lt;mes0,0,'Datos Gastos Fijos'!N23)</f>
        <v>0</v>
      </c>
      <c r="N42" s="987">
        <f>IF(COLUMN(N$26)-2&lt;mes0,0,'Datos Gastos Fijos'!O23)</f>
        <v>0</v>
      </c>
      <c r="O42" s="987">
        <f t="shared" si="2"/>
        <v>0</v>
      </c>
      <c r="P42" s="805">
        <f t="shared" si="7"/>
        <v>0</v>
      </c>
    </row>
    <row r="43" spans="1:16" ht="18" thickBot="1" x14ac:dyDescent="0.35">
      <c r="A43" s="824" t="str">
        <f>'Datos Gastos Fijos'!A24</f>
        <v>Transporte</v>
      </c>
      <c r="B43" s="810">
        <f>'Datos Gastos Fijos'!B24</f>
        <v>0</v>
      </c>
      <c r="C43" s="987">
        <f>IF(COLUMN(C$26)-2&lt;mes0,0,'Datos Gastos Fijos'!D24)</f>
        <v>0</v>
      </c>
      <c r="D43" s="987">
        <f>IF(COLUMN(D$26)-2&lt;mes0,0,'Datos Gastos Fijos'!E24)</f>
        <v>0</v>
      </c>
      <c r="E43" s="987">
        <f>IF(COLUMN(E$26)-2&lt;mes0,0,'Datos Gastos Fijos'!F24)</f>
        <v>0</v>
      </c>
      <c r="F43" s="987">
        <f>IF(COLUMN(F$26)-2&lt;mes0,0,'Datos Gastos Fijos'!G24)</f>
        <v>0</v>
      </c>
      <c r="G43" s="987">
        <f>IF(COLUMN(G$26)-2&lt;mes0,0,'Datos Gastos Fijos'!H24)</f>
        <v>0</v>
      </c>
      <c r="H43" s="987">
        <f>IF(COLUMN(H$26)-2&lt;mes0,0,'Datos Gastos Fijos'!I24)</f>
        <v>0</v>
      </c>
      <c r="I43" s="987">
        <f>IF(COLUMN(I$26)-2&lt;mes0,0,'Datos Gastos Fijos'!J24)</f>
        <v>0</v>
      </c>
      <c r="J43" s="987">
        <f>IF(COLUMN(J$26)-2&lt;mes0,0,'Datos Gastos Fijos'!K24)</f>
        <v>0</v>
      </c>
      <c r="K43" s="987">
        <f>IF(COLUMN(K$26)-2&lt;mes0,0,'Datos Gastos Fijos'!L24)</f>
        <v>0</v>
      </c>
      <c r="L43" s="987">
        <f>IF(COLUMN(L$26)-2&lt;mes0,0,'Datos Gastos Fijos'!M24)</f>
        <v>0</v>
      </c>
      <c r="M43" s="987">
        <f>IF(COLUMN(M$26)-2&lt;mes0,0,'Datos Gastos Fijos'!N24)</f>
        <v>0</v>
      </c>
      <c r="N43" s="987">
        <f>IF(COLUMN(N$26)-2&lt;mes0,0,'Datos Gastos Fijos'!O24)</f>
        <v>0</v>
      </c>
      <c r="O43" s="987">
        <f>SUM(C43:N43)</f>
        <v>0</v>
      </c>
      <c r="P43" s="805">
        <f t="shared" si="7"/>
        <v>0</v>
      </c>
    </row>
    <row r="44" spans="1:16" ht="18" thickBot="1" x14ac:dyDescent="0.35">
      <c r="A44" s="824" t="str">
        <f>'Datos Gastos Fijos'!A25</f>
        <v>Mantenimiento y reparación</v>
      </c>
      <c r="B44" s="810">
        <f>'Datos Gastos Fijos'!B25</f>
        <v>0</v>
      </c>
      <c r="C44" s="987">
        <f>IF(COLUMN(C$26)-2&lt;mes0,0,'Datos Gastos Fijos'!D25)</f>
        <v>0</v>
      </c>
      <c r="D44" s="987">
        <f>IF(COLUMN(D$26)-2&lt;mes0,0,'Datos Gastos Fijos'!E25)</f>
        <v>0</v>
      </c>
      <c r="E44" s="987">
        <f>IF(COLUMN(E$26)-2&lt;mes0,0,'Datos Gastos Fijos'!F25)</f>
        <v>0</v>
      </c>
      <c r="F44" s="987">
        <f>IF(COLUMN(F$26)-2&lt;mes0,0,'Datos Gastos Fijos'!G25)</f>
        <v>0</v>
      </c>
      <c r="G44" s="987">
        <f>IF(COLUMN(G$26)-2&lt;mes0,0,'Datos Gastos Fijos'!H25)</f>
        <v>0</v>
      </c>
      <c r="H44" s="987">
        <f>IF(COLUMN(H$26)-2&lt;mes0,0,'Datos Gastos Fijos'!I25)</f>
        <v>0</v>
      </c>
      <c r="I44" s="987">
        <f>IF(COLUMN(I$26)-2&lt;mes0,0,'Datos Gastos Fijos'!J25)</f>
        <v>0</v>
      </c>
      <c r="J44" s="987">
        <f>IF(COLUMN(J$26)-2&lt;mes0,0,'Datos Gastos Fijos'!K25)</f>
        <v>0</v>
      </c>
      <c r="K44" s="987">
        <f>IF(COLUMN(K$26)-2&lt;mes0,0,'Datos Gastos Fijos'!L25)</f>
        <v>0</v>
      </c>
      <c r="L44" s="987">
        <f>IF(COLUMN(L$26)-2&lt;mes0,0,'Datos Gastos Fijos'!M25)</f>
        <v>0</v>
      </c>
      <c r="M44" s="987">
        <f>IF(COLUMN(M$26)-2&lt;mes0,0,'Datos Gastos Fijos'!N25)</f>
        <v>0</v>
      </c>
      <c r="N44" s="987">
        <f>IF(COLUMN(N$26)-2&lt;mes0,0,'Datos Gastos Fijos'!O25)</f>
        <v>0</v>
      </c>
      <c r="O44" s="987">
        <f t="shared" si="2"/>
        <v>0</v>
      </c>
      <c r="P44" s="805">
        <f t="shared" si="7"/>
        <v>0</v>
      </c>
    </row>
    <row r="45" spans="1:16" ht="18" thickBot="1" x14ac:dyDescent="0.35">
      <c r="A45" s="824" t="str">
        <f>'Datos Gastos Fijos'!A26</f>
        <v>Otros gastos imprevistos</v>
      </c>
      <c r="B45" s="810">
        <f>'Datos Gastos Fijos'!B26</f>
        <v>0</v>
      </c>
      <c r="C45" s="987">
        <f>IF(COLUMN(C$26)-2&lt;mes0,0,'Datos Gastos Fijos'!D26)</f>
        <v>0</v>
      </c>
      <c r="D45" s="987">
        <f>IF(COLUMN(D$26)-2&lt;mes0,0,'Datos Gastos Fijos'!E26)</f>
        <v>0</v>
      </c>
      <c r="E45" s="987">
        <f>IF(COLUMN(E$26)-2&lt;mes0,0,'Datos Gastos Fijos'!F26)</f>
        <v>0</v>
      </c>
      <c r="F45" s="987">
        <f>IF(COLUMN(F$26)-2&lt;mes0,0,'Datos Gastos Fijos'!G26)</f>
        <v>0</v>
      </c>
      <c r="G45" s="987">
        <f>IF(COLUMN(G$26)-2&lt;mes0,0,'Datos Gastos Fijos'!H26)</f>
        <v>0</v>
      </c>
      <c r="H45" s="987">
        <f>IF(COLUMN(H$26)-2&lt;mes0,0,'Datos Gastos Fijos'!I26)</f>
        <v>0</v>
      </c>
      <c r="I45" s="987">
        <f>IF(COLUMN(I$26)-2&lt;mes0,0,'Datos Gastos Fijos'!J26)</f>
        <v>0</v>
      </c>
      <c r="J45" s="987">
        <f>IF(COLUMN(J$26)-2&lt;mes0,0,'Datos Gastos Fijos'!K26)</f>
        <v>0</v>
      </c>
      <c r="K45" s="987">
        <f>IF(COLUMN(K$26)-2&lt;mes0,0,'Datos Gastos Fijos'!L26)</f>
        <v>0</v>
      </c>
      <c r="L45" s="987">
        <f>IF(COLUMN(L$26)-2&lt;mes0,0,'Datos Gastos Fijos'!M26)</f>
        <v>0</v>
      </c>
      <c r="M45" s="987">
        <f>IF(COLUMN(M$26)-2&lt;mes0,0,'Datos Gastos Fijos'!N26)</f>
        <v>0</v>
      </c>
      <c r="N45" s="987">
        <f>IF(COLUMN(N$26)-2&lt;mes0,0,'Datos Gastos Fijos'!O26)</f>
        <v>0</v>
      </c>
      <c r="O45" s="987">
        <f t="shared" si="2"/>
        <v>0</v>
      </c>
      <c r="P45" s="805">
        <f t="shared" si="7"/>
        <v>0</v>
      </c>
    </row>
    <row r="46" spans="1:16" ht="18" thickBot="1" x14ac:dyDescent="0.35">
      <c r="A46" s="825" t="s">
        <v>25</v>
      </c>
      <c r="B46" s="638"/>
      <c r="C46" s="468">
        <f>SUM(C27:C45)</f>
        <v>0</v>
      </c>
      <c r="D46" s="638">
        <f t="shared" ref="D46:O46" si="8">SUM(D27:D45)</f>
        <v>0</v>
      </c>
      <c r="E46" s="638">
        <f t="shared" si="8"/>
        <v>0</v>
      </c>
      <c r="F46" s="638">
        <f t="shared" si="8"/>
        <v>0</v>
      </c>
      <c r="G46" s="638">
        <f t="shared" si="8"/>
        <v>0</v>
      </c>
      <c r="H46" s="638">
        <f t="shared" si="8"/>
        <v>0</v>
      </c>
      <c r="I46" s="638">
        <f t="shared" si="8"/>
        <v>0</v>
      </c>
      <c r="J46" s="638">
        <f t="shared" si="8"/>
        <v>0</v>
      </c>
      <c r="K46" s="638">
        <f t="shared" si="8"/>
        <v>0</v>
      </c>
      <c r="L46" s="638">
        <f t="shared" si="8"/>
        <v>0</v>
      </c>
      <c r="M46" s="638">
        <f t="shared" si="8"/>
        <v>0</v>
      </c>
      <c r="N46" s="638">
        <f t="shared" si="8"/>
        <v>0</v>
      </c>
      <c r="O46" s="638">
        <f t="shared" si="8"/>
        <v>0</v>
      </c>
      <c r="P46" s="820">
        <f t="shared" si="7"/>
        <v>0</v>
      </c>
    </row>
    <row r="47" spans="1:16" ht="18.75" thickTop="1" thickBot="1" x14ac:dyDescent="0.35">
      <c r="A47" s="446"/>
      <c r="B47" s="826"/>
      <c r="C47" s="827"/>
      <c r="D47" s="827"/>
      <c r="E47" s="827"/>
      <c r="F47" s="827"/>
      <c r="G47" s="827"/>
      <c r="H47" s="827"/>
      <c r="I47" s="827"/>
      <c r="J47" s="827"/>
      <c r="K47" s="827"/>
      <c r="L47" s="827"/>
      <c r="M47" s="827"/>
      <c r="N47" s="827"/>
      <c r="O47" s="828"/>
      <c r="P47" s="829"/>
    </row>
    <row r="48" spans="1:16" ht="18" thickBot="1" x14ac:dyDescent="0.35">
      <c r="B48" s="830" t="s">
        <v>865</v>
      </c>
      <c r="C48" s="831">
        <f>C24+C46</f>
        <v>1309.72</v>
      </c>
      <c r="D48" s="831">
        <f t="shared" ref="D48:O48" si="9">D24+D46</f>
        <v>1309.72</v>
      </c>
      <c r="E48" s="831">
        <f t="shared" si="9"/>
        <v>1309.72</v>
      </c>
      <c r="F48" s="832">
        <f t="shared" si="9"/>
        <v>1309.72</v>
      </c>
      <c r="G48" s="832">
        <f t="shared" si="9"/>
        <v>1309.72</v>
      </c>
      <c r="H48" s="832">
        <f t="shared" si="9"/>
        <v>1309.72</v>
      </c>
      <c r="I48" s="832">
        <f t="shared" si="9"/>
        <v>1309.72</v>
      </c>
      <c r="J48" s="832">
        <f t="shared" si="9"/>
        <v>1309.72</v>
      </c>
      <c r="K48" s="832">
        <f t="shared" si="9"/>
        <v>1309.72</v>
      </c>
      <c r="L48" s="832">
        <f t="shared" si="9"/>
        <v>1309.72</v>
      </c>
      <c r="M48" s="832">
        <f t="shared" si="9"/>
        <v>1309.72</v>
      </c>
      <c r="N48" s="832">
        <f t="shared" si="9"/>
        <v>1309.72</v>
      </c>
      <c r="O48" s="832">
        <f t="shared" si="9"/>
        <v>15716.639999999998</v>
      </c>
      <c r="P48" s="833">
        <f>O48/$O$48</f>
        <v>1</v>
      </c>
    </row>
    <row r="49" spans="1:15" ht="16.5" customHeight="1" thickTop="1" thickBot="1" x14ac:dyDescent="0.35">
      <c r="F49" s="834"/>
      <c r="G49" s="834"/>
      <c r="H49" s="834"/>
      <c r="I49" s="834"/>
      <c r="J49" s="834"/>
      <c r="K49" s="834"/>
      <c r="L49" s="834"/>
      <c r="M49" s="834"/>
      <c r="N49" s="834"/>
      <c r="O49" s="834"/>
    </row>
    <row r="50" spans="1:15" ht="18.75" thickTop="1" thickBot="1" x14ac:dyDescent="0.35">
      <c r="A50" s="835" t="s">
        <v>957</v>
      </c>
      <c r="B50" s="836">
        <f>Parametros!$F$33</f>
        <v>0.21</v>
      </c>
      <c r="C50" s="837">
        <f t="shared" ref="C50:N50" si="10">$B50*SUM(C31:C45)</f>
        <v>0</v>
      </c>
      <c r="D50" s="837">
        <f t="shared" si="10"/>
        <v>0</v>
      </c>
      <c r="E50" s="837">
        <f t="shared" si="10"/>
        <v>0</v>
      </c>
      <c r="F50" s="838">
        <f t="shared" si="10"/>
        <v>0</v>
      </c>
      <c r="G50" s="838">
        <f t="shared" si="10"/>
        <v>0</v>
      </c>
      <c r="H50" s="838">
        <f t="shared" si="10"/>
        <v>0</v>
      </c>
      <c r="I50" s="838">
        <f t="shared" si="10"/>
        <v>0</v>
      </c>
      <c r="J50" s="838">
        <f t="shared" si="10"/>
        <v>0</v>
      </c>
      <c r="K50" s="838">
        <f t="shared" si="10"/>
        <v>0</v>
      </c>
      <c r="L50" s="838">
        <f t="shared" si="10"/>
        <v>0</v>
      </c>
      <c r="M50" s="838">
        <f t="shared" si="10"/>
        <v>0</v>
      </c>
      <c r="N50" s="838">
        <f t="shared" si="10"/>
        <v>0</v>
      </c>
      <c r="O50" s="839">
        <f>SUM(C50:N50)</f>
        <v>0</v>
      </c>
    </row>
    <row r="51" spans="1:15" ht="18" thickTop="1" x14ac:dyDescent="0.3"/>
  </sheetData>
  <sheetProtection sheet="1" objects="1" scenarios="1" formatCells="0" formatColumns="0"/>
  <phoneticPr fontId="13" type="noConversion"/>
  <conditionalFormatting sqref="C9:G9 C11:G12 C14:G16 C18:G19 C21:G22 C27:G46 C48:G48">
    <cfRule type="expression" dxfId="28" priority="3" stopIfTrue="1">
      <formula>$C$25&lt;mes0</formula>
    </cfRule>
  </conditionalFormatting>
  <conditionalFormatting sqref="H9:N9 H11:N12 H14:N16 H18:N19 H21:N22">
    <cfRule type="expression" dxfId="27" priority="2" stopIfTrue="1">
      <formula>H9=""</formula>
    </cfRule>
  </conditionalFormatting>
  <conditionalFormatting sqref="H27:N45">
    <cfRule type="expression" dxfId="26" priority="1" stopIfTrue="1">
      <formula>H$9=""</formula>
    </cfRule>
  </conditionalFormatting>
  <dataValidations xWindow="31846" yWindow="125" count="1">
    <dataValidation allowBlank="1" showInputMessage="1" showErrorMessage="1" prompt="En esta hoja de gastos fijos para el año 0 se pueden modificar las etiquetas de las distintas partidas de gastos fijos y automáticamente se transladarán a las hojas de gastos fijos de los otros dos años." sqref="A27:A45 A1" xr:uid="{00000000-0002-0000-3400-000000000000}"/>
  </dataValidations>
  <printOptions horizontalCentered="1"/>
  <pageMargins left="0.75" right="0.75" top="0.38" bottom="0.52" header="0" footer="0"/>
  <pageSetup paperSize="9" scale="62" orientation="landscape" horizontalDpi="300" r:id="rId1"/>
  <headerFooter alignWithMargins="0"/>
  <legacy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Hoja24">
    <tabColor rgb="FF7CC9D0"/>
    <pageSetUpPr fitToPage="1"/>
  </sheetPr>
  <dimension ref="A1:P51"/>
  <sheetViews>
    <sheetView showGridLines="0" workbookViewId="0">
      <selection activeCell="B15" sqref="B15"/>
    </sheetView>
  </sheetViews>
  <sheetFormatPr baseColWidth="10" defaultRowHeight="17.25" x14ac:dyDescent="0.3"/>
  <cols>
    <col min="1" max="1" width="26.75" style="307" bestFit="1" customWidth="1"/>
    <col min="2" max="2" width="9.25" style="307" customWidth="1"/>
    <col min="3" max="3" width="11.125" style="307" bestFit="1" customWidth="1"/>
    <col min="4" max="4" width="11.625" style="307" customWidth="1"/>
    <col min="5" max="5" width="11.125" style="307" bestFit="1" customWidth="1"/>
    <col min="6" max="6" width="12.75" style="307" customWidth="1"/>
    <col min="7" max="7" width="12.875" style="307" customWidth="1"/>
    <col min="8" max="10" width="11.125" style="307" bestFit="1" customWidth="1"/>
    <col min="11" max="11" width="11.75" style="307" bestFit="1" customWidth="1"/>
    <col min="12" max="14" width="11.125" style="307" bestFit="1" customWidth="1"/>
    <col min="15" max="15" width="12" style="307" bestFit="1" customWidth="1"/>
    <col min="16" max="16" width="8.625" style="307" customWidth="1"/>
    <col min="17" max="16384" width="11" style="307"/>
  </cols>
  <sheetData>
    <row r="1" spans="1:16" ht="27.75" x14ac:dyDescent="0.45">
      <c r="A1" s="408" t="s">
        <v>456</v>
      </c>
      <c r="B1" s="445"/>
      <c r="C1" s="446"/>
      <c r="D1" s="446"/>
      <c r="E1" s="446"/>
      <c r="G1" s="948">
        <f>'Datos Básicos'!C16</f>
        <v>1</v>
      </c>
      <c r="H1" s="470">
        <f>'Datos Básicos'!C17</f>
        <v>2027</v>
      </c>
    </row>
    <row r="2" spans="1:16" ht="27.75" x14ac:dyDescent="0.45">
      <c r="A2" s="408">
        <f>'Datos Básicos'!B8</f>
        <v>0</v>
      </c>
      <c r="B2" s="445"/>
      <c r="C2" s="446"/>
      <c r="D2" s="446"/>
      <c r="E2" s="446"/>
      <c r="F2" s="446"/>
      <c r="G2" s="446"/>
      <c r="H2" s="446"/>
    </row>
    <row r="3" spans="1:16" x14ac:dyDescent="0.3">
      <c r="D3" s="446"/>
      <c r="E3" s="446"/>
      <c r="F3" s="446"/>
      <c r="G3" s="446"/>
      <c r="H3" s="446"/>
    </row>
    <row r="4" spans="1:16" x14ac:dyDescent="0.3">
      <c r="A4" s="794" t="s">
        <v>478</v>
      </c>
      <c r="B4" s="986">
        <f>Parametros!C14</f>
        <v>0.02</v>
      </c>
      <c r="C4" s="398"/>
      <c r="D4" s="398"/>
      <c r="E4" s="398"/>
      <c r="F4" s="398"/>
      <c r="G4" s="398"/>
      <c r="H4" s="398"/>
    </row>
    <row r="5" spans="1:16" x14ac:dyDescent="0.3">
      <c r="B5" s="398"/>
      <c r="C5" s="398"/>
      <c r="D5" s="398"/>
      <c r="E5" s="398"/>
      <c r="F5" s="398"/>
      <c r="G5" s="398"/>
      <c r="H5" s="398"/>
    </row>
    <row r="6" spans="1:16" ht="18" thickBot="1" x14ac:dyDescent="0.35">
      <c r="C6" s="446"/>
      <c r="D6" s="446"/>
      <c r="E6" s="446"/>
      <c r="F6" s="446"/>
      <c r="G6" s="446"/>
      <c r="H6" s="446"/>
    </row>
    <row r="7" spans="1:16" ht="18.75" thickTop="1" thickBot="1" x14ac:dyDescent="0.35">
      <c r="B7" s="795" t="s">
        <v>958</v>
      </c>
      <c r="C7" s="447" t="str">
        <f>'Datos Gastos Fijos'!D7</f>
        <v>enero</v>
      </c>
      <c r="D7" s="447" t="str">
        <f>'Datos Gastos Fijos'!E7</f>
        <v>febrero</v>
      </c>
      <c r="E7" s="447" t="str">
        <f>'Datos Gastos Fijos'!F7</f>
        <v>marzo</v>
      </c>
      <c r="F7" s="447" t="str">
        <f>'Datos Gastos Fijos'!G7</f>
        <v>abril</v>
      </c>
      <c r="G7" s="447" t="str">
        <f>'Datos Gastos Fijos'!H7</f>
        <v>mayo</v>
      </c>
      <c r="H7" s="447" t="str">
        <f>'Datos Gastos Fijos'!I7</f>
        <v>junio</v>
      </c>
      <c r="I7" s="447" t="str">
        <f>'Datos Gastos Fijos'!J7</f>
        <v>julio</v>
      </c>
      <c r="J7" s="447" t="str">
        <f>'Datos Gastos Fijos'!K7</f>
        <v>agosto</v>
      </c>
      <c r="K7" s="447" t="str">
        <f>'Datos Gastos Fijos'!L7</f>
        <v>septiembre</v>
      </c>
      <c r="L7" s="447" t="str">
        <f>'Datos Gastos Fijos'!M7</f>
        <v>octubre</v>
      </c>
      <c r="M7" s="447" t="str">
        <f>'Datos Gastos Fijos'!N7</f>
        <v>noviembre</v>
      </c>
      <c r="N7" s="447" t="str">
        <f>'Datos Gastos Fijos'!O7</f>
        <v>diciembre</v>
      </c>
      <c r="O7" s="447" t="s">
        <v>865</v>
      </c>
      <c r="P7" s="448" t="s">
        <v>886</v>
      </c>
    </row>
    <row r="8" spans="1:16" ht="18.75" thickTop="1" thickBot="1" x14ac:dyDescent="0.35">
      <c r="A8" s="796" t="s">
        <v>22</v>
      </c>
      <c r="B8" s="797"/>
      <c r="C8" s="797"/>
      <c r="D8" s="797"/>
      <c r="E8" s="797"/>
      <c r="F8" s="797"/>
      <c r="G8" s="797"/>
      <c r="H8" s="797"/>
      <c r="I8" s="797"/>
      <c r="J8" s="797"/>
      <c r="K8" s="797"/>
      <c r="L8" s="797"/>
      <c r="M8" s="797"/>
      <c r="N8" s="797"/>
      <c r="O8" s="637"/>
      <c r="P8" s="798"/>
    </row>
    <row r="9" spans="1:16" ht="18" thickBot="1" x14ac:dyDescent="0.35">
      <c r="A9" s="799" t="s">
        <v>722</v>
      </c>
      <c r="B9" s="410" t="s">
        <v>184</v>
      </c>
      <c r="C9" s="800">
        <f>Plantilla!C27</f>
        <v>1</v>
      </c>
      <c r="D9" s="800">
        <f>Plantilla!D27</f>
        <v>1</v>
      </c>
      <c r="E9" s="800">
        <f>Plantilla!E27</f>
        <v>1</v>
      </c>
      <c r="F9" s="800">
        <f>Plantilla!F27</f>
        <v>1</v>
      </c>
      <c r="G9" s="800">
        <f>Plantilla!G27</f>
        <v>1</v>
      </c>
      <c r="H9" s="800">
        <f>Plantilla!H27</f>
        <v>1</v>
      </c>
      <c r="I9" s="800">
        <f>Plantilla!I27</f>
        <v>1</v>
      </c>
      <c r="J9" s="800">
        <f>Plantilla!J27</f>
        <v>1</v>
      </c>
      <c r="K9" s="800">
        <f>Plantilla!K27</f>
        <v>1</v>
      </c>
      <c r="L9" s="800">
        <f>Plantilla!L27</f>
        <v>1</v>
      </c>
      <c r="M9" s="800">
        <f>Plantilla!M27</f>
        <v>1</v>
      </c>
      <c r="N9" s="800">
        <f>Plantilla!N27</f>
        <v>1</v>
      </c>
      <c r="O9" s="801">
        <f>AVERAGE(C9:N9)</f>
        <v>1</v>
      </c>
      <c r="P9" s="798"/>
    </row>
    <row r="10" spans="1:16" ht="18" thickBot="1" x14ac:dyDescent="0.35">
      <c r="A10" s="799" t="s">
        <v>182</v>
      </c>
      <c r="B10" s="802"/>
      <c r="C10" s="803"/>
      <c r="D10" s="803"/>
      <c r="E10" s="803"/>
      <c r="F10" s="803"/>
      <c r="G10" s="803"/>
      <c r="H10" s="803"/>
      <c r="I10" s="803"/>
      <c r="J10" s="803"/>
      <c r="K10" s="803"/>
      <c r="L10" s="803"/>
      <c r="M10" s="803"/>
      <c r="N10" s="803"/>
      <c r="O10" s="804"/>
      <c r="P10" s="805"/>
    </row>
    <row r="11" spans="1:16" ht="18" thickBot="1" x14ac:dyDescent="0.35">
      <c r="A11" s="799" t="s">
        <v>723</v>
      </c>
      <c r="B11" s="806">
        <f>'RR HH'!C15</f>
        <v>1269.8400000000001</v>
      </c>
      <c r="C11" s="642">
        <f t="shared" ref="C11:N11" si="0">$B11*C9</f>
        <v>1269.8400000000001</v>
      </c>
      <c r="D11" s="642">
        <f t="shared" si="0"/>
        <v>1269.8400000000001</v>
      </c>
      <c r="E11" s="642">
        <f t="shared" si="0"/>
        <v>1269.8400000000001</v>
      </c>
      <c r="F11" s="642">
        <f t="shared" si="0"/>
        <v>1269.8400000000001</v>
      </c>
      <c r="G11" s="642">
        <f t="shared" si="0"/>
        <v>1269.8400000000001</v>
      </c>
      <c r="H11" s="642">
        <f t="shared" si="0"/>
        <v>1269.8400000000001</v>
      </c>
      <c r="I11" s="642">
        <f t="shared" si="0"/>
        <v>1269.8400000000001</v>
      </c>
      <c r="J11" s="642">
        <f t="shared" si="0"/>
        <v>1269.8400000000001</v>
      </c>
      <c r="K11" s="642">
        <f t="shared" si="0"/>
        <v>1269.8400000000001</v>
      </c>
      <c r="L11" s="642">
        <f t="shared" si="0"/>
        <v>1269.8400000000001</v>
      </c>
      <c r="M11" s="642">
        <f t="shared" si="0"/>
        <v>1269.8400000000001</v>
      </c>
      <c r="N11" s="642">
        <f t="shared" si="0"/>
        <v>1269.8400000000001</v>
      </c>
      <c r="O11" s="642">
        <f>SUM(C11:N11)</f>
        <v>15238.080000000002</v>
      </c>
      <c r="P11" s="805">
        <f t="shared" ref="P11:P45" si="1">O11/$O$48</f>
        <v>0.93469556000471099</v>
      </c>
    </row>
    <row r="12" spans="1:16" ht="18" thickBot="1" x14ac:dyDescent="0.35">
      <c r="A12" s="799" t="s">
        <v>724</v>
      </c>
      <c r="B12" s="807">
        <f>'RR HH'!C22</f>
        <v>0.8</v>
      </c>
      <c r="C12" s="642">
        <v>0</v>
      </c>
      <c r="D12" s="642">
        <f>IF(E9="","",IF('RR HH'!$B$20=6,$B11*E9*$B12,0))</f>
        <v>0</v>
      </c>
      <c r="E12" s="642">
        <f>IF(F9="","",IF('RR HH'!$B$20=4,$B11*F9*$B12,0))</f>
        <v>0</v>
      </c>
      <c r="F12" s="642">
        <f>IF(G9="","",IF(OR('RR HH'!$B$20=3,'RR HH'!$B$20=6),$B11*G9*$B12,0))</f>
        <v>0</v>
      </c>
      <c r="G12" s="642">
        <v>0</v>
      </c>
      <c r="H12" s="642">
        <f>IF(I9="","",IF(OR('RR HH'!$B$20=2,'RR HH'!$B$20=4,'RR HH'!$B$20=6),$B11*I9*$B12,0))</f>
        <v>0</v>
      </c>
      <c r="I12" s="642">
        <v>0</v>
      </c>
      <c r="J12" s="642">
        <f>IF(K9="","",IF(OR('RR HH'!$B$20=3,'RR HH'!$B$20=6),$B11*K9*$B12,0))</f>
        <v>0</v>
      </c>
      <c r="K12" s="642">
        <f>IF(L9="","",IF('RR HH'!$B$20=4,$B11*L9*$B12,0))</f>
        <v>0</v>
      </c>
      <c r="L12" s="642">
        <f>IF(M9="","",IF('RR HH'!$B$20=6,$B11*M9*$B12,0))</f>
        <v>0</v>
      </c>
      <c r="M12" s="642">
        <v>0</v>
      </c>
      <c r="N12" s="642">
        <f>IF(O9="","",IF(OR('RR HH'!$B$20=1,'RR HH'!$B$20=2,'RR HH'!$B$20=3,'RR HH'!$B$20=4,'RR HH'!$B$20=6),$B11*O9*$B12,0))</f>
        <v>0</v>
      </c>
      <c r="O12" s="642">
        <f>SUM(C12:N12)</f>
        <v>0</v>
      </c>
      <c r="P12" s="805">
        <f t="shared" si="1"/>
        <v>0</v>
      </c>
    </row>
    <row r="13" spans="1:16" ht="18" thickBot="1" x14ac:dyDescent="0.35">
      <c r="A13" s="808"/>
      <c r="B13" s="637"/>
      <c r="C13" s="797"/>
      <c r="D13" s="797"/>
      <c r="E13" s="797"/>
      <c r="F13" s="797"/>
      <c r="G13" s="797"/>
      <c r="H13" s="797"/>
      <c r="I13" s="797"/>
      <c r="J13" s="797"/>
      <c r="K13" s="797"/>
      <c r="L13" s="797"/>
      <c r="M13" s="797"/>
      <c r="N13" s="797"/>
      <c r="O13" s="637"/>
      <c r="P13" s="805"/>
    </row>
    <row r="14" spans="1:16" ht="18" thickBot="1" x14ac:dyDescent="0.35">
      <c r="A14" s="799" t="s">
        <v>23</v>
      </c>
      <c r="B14" s="809"/>
      <c r="C14" s="800">
        <f>Plantilla!C28</f>
        <v>0</v>
      </c>
      <c r="D14" s="800">
        <f>Plantilla!D28</f>
        <v>0</v>
      </c>
      <c r="E14" s="800">
        <f>Plantilla!E28</f>
        <v>0</v>
      </c>
      <c r="F14" s="800">
        <f>Plantilla!F28</f>
        <v>0</v>
      </c>
      <c r="G14" s="800">
        <f>Plantilla!G28</f>
        <v>0</v>
      </c>
      <c r="H14" s="800">
        <f>Plantilla!H28</f>
        <v>0</v>
      </c>
      <c r="I14" s="800">
        <f>Plantilla!I28</f>
        <v>0</v>
      </c>
      <c r="J14" s="800">
        <f>Plantilla!J28</f>
        <v>0</v>
      </c>
      <c r="K14" s="800">
        <f>Plantilla!K28</f>
        <v>0</v>
      </c>
      <c r="L14" s="800">
        <f>Plantilla!L28</f>
        <v>0</v>
      </c>
      <c r="M14" s="800">
        <f>Plantilla!M28</f>
        <v>0</v>
      </c>
      <c r="N14" s="800">
        <f>Plantilla!N28</f>
        <v>0</v>
      </c>
      <c r="O14" s="801">
        <f>AVERAGE(C14:N14)</f>
        <v>0</v>
      </c>
      <c r="P14" s="805"/>
    </row>
    <row r="15" spans="1:16" ht="18" thickBot="1" x14ac:dyDescent="0.35">
      <c r="A15" s="799" t="s">
        <v>725</v>
      </c>
      <c r="B15" s="810">
        <f>'RR HH'!C16</f>
        <v>0</v>
      </c>
      <c r="C15" s="636">
        <f>$B15*C14</f>
        <v>0</v>
      </c>
      <c r="D15" s="636">
        <f t="shared" ref="D15:N15" si="2">$B15*D14</f>
        <v>0</v>
      </c>
      <c r="E15" s="636">
        <f t="shared" si="2"/>
        <v>0</v>
      </c>
      <c r="F15" s="636">
        <f t="shared" si="2"/>
        <v>0</v>
      </c>
      <c r="G15" s="642">
        <f t="shared" si="2"/>
        <v>0</v>
      </c>
      <c r="H15" s="642">
        <f t="shared" si="2"/>
        <v>0</v>
      </c>
      <c r="I15" s="642">
        <f t="shared" si="2"/>
        <v>0</v>
      </c>
      <c r="J15" s="642">
        <f t="shared" si="2"/>
        <v>0</v>
      </c>
      <c r="K15" s="642">
        <f t="shared" si="2"/>
        <v>0</v>
      </c>
      <c r="L15" s="642">
        <f t="shared" si="2"/>
        <v>0</v>
      </c>
      <c r="M15" s="642">
        <f t="shared" si="2"/>
        <v>0</v>
      </c>
      <c r="N15" s="642">
        <f t="shared" si="2"/>
        <v>0</v>
      </c>
      <c r="O15" s="642">
        <f>SUM(C15:N15)</f>
        <v>0</v>
      </c>
      <c r="P15" s="805">
        <f t="shared" si="1"/>
        <v>0</v>
      </c>
    </row>
    <row r="16" spans="1:16" ht="18" thickBot="1" x14ac:dyDescent="0.35">
      <c r="A16" s="799" t="s">
        <v>726</v>
      </c>
      <c r="B16" s="807">
        <f>'RR HH'!C23</f>
        <v>0.8</v>
      </c>
      <c r="C16" s="636">
        <v>0</v>
      </c>
      <c r="D16" s="636">
        <f>IF(E14="","",IF('RR HH'!$C$21=6,$B15*E14*$B16,0))</f>
        <v>0</v>
      </c>
      <c r="E16" s="636">
        <f>IF(F14="","",IF('RR HH'!$C$21=4,$B15*F14*$B16,0))</f>
        <v>0</v>
      </c>
      <c r="F16" s="636">
        <f>IF(G14="","",IF(OR('RR HH'!$C$21=3,'RR HH'!$C$21=6),$B15*G14*$B16,0))</f>
        <v>0</v>
      </c>
      <c r="G16" s="642">
        <v>0</v>
      </c>
      <c r="H16" s="642">
        <f>IF(I14="","",IF(OR('RR HH'!$C$21=2,'RR HH'!$C$21=4,'RR HH'!$C$21=6),$B15*I14*$B16,0))</f>
        <v>0</v>
      </c>
      <c r="I16" s="642">
        <v>0</v>
      </c>
      <c r="J16" s="642">
        <f>IF(K14="","",IF(OR('RR HH'!$C$21=3,'RR HH'!$C$21=6),$B15*K14*$B16,0))</f>
        <v>0</v>
      </c>
      <c r="K16" s="642">
        <f>IF(L14="","",IF('RR HH'!$C$21=4,$B15*L14*$B16,0))</f>
        <v>0</v>
      </c>
      <c r="L16" s="642">
        <f>IF(M14="","",IF('RR HH'!$C$21=6,$B15*M14*$B16,0))</f>
        <v>0</v>
      </c>
      <c r="M16" s="642">
        <v>0</v>
      </c>
      <c r="N16" s="642">
        <f>IF(O14="","",IF(OR('RR HH'!$C$21=1,'RR HH'!$C$21=2,'RR HH'!$C$21=3,'RR HH'!$C$21=4,'RR HH'!$C$21=6),$B15*O14*$B16,0))</f>
        <v>0</v>
      </c>
      <c r="O16" s="642">
        <f>SUM(C16:N16)</f>
        <v>0</v>
      </c>
      <c r="P16" s="805">
        <f t="shared" si="1"/>
        <v>0</v>
      </c>
    </row>
    <row r="17" spans="1:16" ht="18" thickBot="1" x14ac:dyDescent="0.35">
      <c r="A17" s="808"/>
      <c r="B17" s="637"/>
      <c r="C17" s="811"/>
      <c r="D17" s="811"/>
      <c r="E17" s="811"/>
      <c r="F17" s="811"/>
      <c r="G17" s="811"/>
      <c r="H17" s="811"/>
      <c r="I17" s="811"/>
      <c r="J17" s="811"/>
      <c r="K17" s="811"/>
      <c r="L17" s="811"/>
      <c r="M17" s="811"/>
      <c r="N17" s="811"/>
      <c r="O17" s="637"/>
      <c r="P17" s="805"/>
    </row>
    <row r="18" spans="1:16" ht="18" thickBot="1" x14ac:dyDescent="0.35">
      <c r="A18" s="812" t="s">
        <v>727</v>
      </c>
      <c r="B18" s="807">
        <f>'RR HH'!$C$27</f>
        <v>0.32</v>
      </c>
      <c r="C18" s="642">
        <f>$B18*C15</f>
        <v>0</v>
      </c>
      <c r="D18" s="642">
        <f t="shared" ref="D18:N18" si="3">$B18*D15</f>
        <v>0</v>
      </c>
      <c r="E18" s="642">
        <f t="shared" si="3"/>
        <v>0</v>
      </c>
      <c r="F18" s="642">
        <f t="shared" si="3"/>
        <v>0</v>
      </c>
      <c r="G18" s="642">
        <f t="shared" si="3"/>
        <v>0</v>
      </c>
      <c r="H18" s="642">
        <f t="shared" si="3"/>
        <v>0</v>
      </c>
      <c r="I18" s="642">
        <f t="shared" si="3"/>
        <v>0</v>
      </c>
      <c r="J18" s="642">
        <f t="shared" si="3"/>
        <v>0</v>
      </c>
      <c r="K18" s="642">
        <f t="shared" si="3"/>
        <v>0</v>
      </c>
      <c r="L18" s="642">
        <f t="shared" si="3"/>
        <v>0</v>
      </c>
      <c r="M18" s="642">
        <f t="shared" si="3"/>
        <v>0</v>
      </c>
      <c r="N18" s="642">
        <f t="shared" si="3"/>
        <v>0</v>
      </c>
      <c r="O18" s="642">
        <f>SUM(C18:N18)</f>
        <v>0</v>
      </c>
      <c r="P18" s="805">
        <f t="shared" si="1"/>
        <v>0</v>
      </c>
    </row>
    <row r="19" spans="1:16" ht="18" thickBot="1" x14ac:dyDescent="0.35">
      <c r="A19" s="812" t="s">
        <v>728</v>
      </c>
      <c r="B19" s="810">
        <f>'RR HH'!$C$28</f>
        <v>88.72</v>
      </c>
      <c r="C19" s="642">
        <f>$B19*C9</f>
        <v>88.72</v>
      </c>
      <c r="D19" s="642">
        <f t="shared" ref="D19:N19" si="4">$B19*D9</f>
        <v>88.72</v>
      </c>
      <c r="E19" s="642">
        <f t="shared" si="4"/>
        <v>88.72</v>
      </c>
      <c r="F19" s="642">
        <f t="shared" si="4"/>
        <v>88.72</v>
      </c>
      <c r="G19" s="642">
        <f t="shared" si="4"/>
        <v>88.72</v>
      </c>
      <c r="H19" s="642">
        <f t="shared" si="4"/>
        <v>88.72</v>
      </c>
      <c r="I19" s="642">
        <f t="shared" si="4"/>
        <v>88.72</v>
      </c>
      <c r="J19" s="642">
        <f t="shared" si="4"/>
        <v>88.72</v>
      </c>
      <c r="K19" s="642">
        <f t="shared" si="4"/>
        <v>88.72</v>
      </c>
      <c r="L19" s="642">
        <f t="shared" si="4"/>
        <v>88.72</v>
      </c>
      <c r="M19" s="642">
        <f t="shared" si="4"/>
        <v>88.72</v>
      </c>
      <c r="N19" s="642">
        <f t="shared" si="4"/>
        <v>88.72</v>
      </c>
      <c r="O19" s="642">
        <f>SUM(C19:N19)</f>
        <v>1064.6400000000001</v>
      </c>
      <c r="P19" s="805">
        <f t="shared" si="1"/>
        <v>6.5304439995289135E-2</v>
      </c>
    </row>
    <row r="20" spans="1:16" ht="18" thickBot="1" x14ac:dyDescent="0.35">
      <c r="A20" s="694"/>
      <c r="B20" s="637"/>
      <c r="C20" s="797"/>
      <c r="D20" s="797"/>
      <c r="E20" s="797"/>
      <c r="F20" s="797"/>
      <c r="G20" s="797"/>
      <c r="H20" s="797"/>
      <c r="I20" s="797"/>
      <c r="J20" s="797"/>
      <c r="K20" s="797"/>
      <c r="L20" s="797"/>
      <c r="M20" s="797"/>
      <c r="N20" s="797"/>
      <c r="O20" s="637"/>
      <c r="P20" s="805"/>
    </row>
    <row r="21" spans="1:16" ht="18" thickBot="1" x14ac:dyDescent="0.35">
      <c r="A21" s="812" t="s">
        <v>729</v>
      </c>
      <c r="B21" s="813">
        <f>'G.F. 0'!B21*(1+$B$4)</f>
        <v>6.12</v>
      </c>
      <c r="C21" s="642">
        <f>$B21*ABS(Plantilla!C22)</f>
        <v>0</v>
      </c>
      <c r="D21" s="642">
        <f>$B21*ABS(Plantilla!D22)</f>
        <v>0</v>
      </c>
      <c r="E21" s="642">
        <f>$B21*ABS(Plantilla!E22)</f>
        <v>0</v>
      </c>
      <c r="F21" s="642">
        <f>$B21*ABS(Plantilla!F22)</f>
        <v>0</v>
      </c>
      <c r="G21" s="642">
        <f>$B21*ABS(Plantilla!G22)</f>
        <v>0</v>
      </c>
      <c r="H21" s="642">
        <f>$B21*ABS(Plantilla!H22)</f>
        <v>0</v>
      </c>
      <c r="I21" s="642">
        <f>$B21*ABS(Plantilla!I22)</f>
        <v>0</v>
      </c>
      <c r="J21" s="642">
        <f>$B21*ABS(Plantilla!J22)</f>
        <v>0</v>
      </c>
      <c r="K21" s="642">
        <f>$B21*ABS(Plantilla!K22)</f>
        <v>0</v>
      </c>
      <c r="L21" s="642">
        <f>$B21*ABS(Plantilla!L22)</f>
        <v>0</v>
      </c>
      <c r="M21" s="642">
        <f>$B21*ABS(Plantilla!M22)</f>
        <v>0</v>
      </c>
      <c r="N21" s="642">
        <f>$B21*ABS(Plantilla!N22)</f>
        <v>0</v>
      </c>
      <c r="O21" s="642">
        <f>SUM(C21:N21)</f>
        <v>0</v>
      </c>
      <c r="P21" s="805">
        <f t="shared" si="1"/>
        <v>0</v>
      </c>
    </row>
    <row r="22" spans="1:16" ht="18" thickBot="1" x14ac:dyDescent="0.35">
      <c r="A22" s="812" t="s">
        <v>730</v>
      </c>
      <c r="B22" s="813">
        <f>'G.F. 0'!B22*(1+$B$4)</f>
        <v>18.36</v>
      </c>
      <c r="C22" s="642">
        <f>$B22*ABS(Plantilla!C13)</f>
        <v>0</v>
      </c>
      <c r="D22" s="642">
        <f>$B22*ABS(Plantilla!D13)</f>
        <v>0</v>
      </c>
      <c r="E22" s="642">
        <f>$B22*ABS(Plantilla!E13)</f>
        <v>0</v>
      </c>
      <c r="F22" s="642">
        <f>$B22*ABS(Plantilla!F13)</f>
        <v>0</v>
      </c>
      <c r="G22" s="642">
        <f>$B22*ABS(Plantilla!G13)</f>
        <v>0</v>
      </c>
      <c r="H22" s="642">
        <f>$B22*ABS(Plantilla!H13)</f>
        <v>0</v>
      </c>
      <c r="I22" s="642">
        <f>$B22*ABS(Plantilla!I13)</f>
        <v>0</v>
      </c>
      <c r="J22" s="642">
        <f>$B22*ABS(Plantilla!J13)</f>
        <v>0</v>
      </c>
      <c r="K22" s="642">
        <f>$B22*ABS(Plantilla!K13)</f>
        <v>0</v>
      </c>
      <c r="L22" s="642">
        <f>$B22*ABS(Plantilla!L13)</f>
        <v>0</v>
      </c>
      <c r="M22" s="642">
        <f>$B22*ABS(Plantilla!M13)</f>
        <v>0</v>
      </c>
      <c r="N22" s="642">
        <f>$B22*ABS(Plantilla!N13)</f>
        <v>0</v>
      </c>
      <c r="O22" s="642">
        <f>SUM(C22:N22)</f>
        <v>0</v>
      </c>
      <c r="P22" s="805">
        <f t="shared" si="1"/>
        <v>0</v>
      </c>
    </row>
    <row r="23" spans="1:16" ht="18" thickBot="1" x14ac:dyDescent="0.35">
      <c r="A23" s="694"/>
      <c r="B23" s="814"/>
      <c r="C23" s="637"/>
      <c r="D23" s="797"/>
      <c r="E23" s="797"/>
      <c r="F23" s="797"/>
      <c r="G23" s="797"/>
      <c r="H23" s="797"/>
      <c r="I23" s="797"/>
      <c r="J23" s="797"/>
      <c r="K23" s="797"/>
      <c r="L23" s="797"/>
      <c r="M23" s="797"/>
      <c r="N23" s="797"/>
      <c r="O23" s="637"/>
      <c r="P23" s="805"/>
    </row>
    <row r="24" spans="1:16" ht="18" thickBot="1" x14ac:dyDescent="0.35">
      <c r="A24" s="815" t="s">
        <v>24</v>
      </c>
      <c r="B24" s="816"/>
      <c r="C24" s="817">
        <f>SUM(C11:C12,C15:C19,C21:C22)</f>
        <v>1358.5600000000002</v>
      </c>
      <c r="D24" s="818">
        <f t="shared" ref="D24:N24" si="5">SUM(D11:D12,D15:D19,D21:D22)</f>
        <v>1358.5600000000002</v>
      </c>
      <c r="E24" s="818">
        <f t="shared" si="5"/>
        <v>1358.5600000000002</v>
      </c>
      <c r="F24" s="818">
        <f>SUM(F11:F12,F15:F19,F21:F22)</f>
        <v>1358.5600000000002</v>
      </c>
      <c r="G24" s="819">
        <f t="shared" si="5"/>
        <v>1358.5600000000002</v>
      </c>
      <c r="H24" s="819">
        <f t="shared" si="5"/>
        <v>1358.5600000000002</v>
      </c>
      <c r="I24" s="819">
        <f>SUM(I11:I12,I15:I19,I21:I22)</f>
        <v>1358.5600000000002</v>
      </c>
      <c r="J24" s="819">
        <f t="shared" si="5"/>
        <v>1358.5600000000002</v>
      </c>
      <c r="K24" s="819">
        <f t="shared" si="5"/>
        <v>1358.5600000000002</v>
      </c>
      <c r="L24" s="819">
        <f>SUM(L11:L12,L15:L19,L21:L22)</f>
        <v>1358.5600000000002</v>
      </c>
      <c r="M24" s="819">
        <f t="shared" si="5"/>
        <v>1358.5600000000002</v>
      </c>
      <c r="N24" s="819">
        <f t="shared" si="5"/>
        <v>1358.5600000000002</v>
      </c>
      <c r="O24" s="468">
        <f>SUM(C24:N24)</f>
        <v>16302.72</v>
      </c>
      <c r="P24" s="820">
        <f>O24/$O$48</f>
        <v>1</v>
      </c>
    </row>
    <row r="25" spans="1:16" ht="18" thickBot="1" x14ac:dyDescent="0.35">
      <c r="A25" s="694"/>
      <c r="B25" s="639"/>
      <c r="C25" s="639"/>
      <c r="D25" s="639"/>
      <c r="E25" s="639"/>
      <c r="F25" s="639"/>
      <c r="G25" s="639"/>
      <c r="H25" s="639"/>
      <c r="I25" s="639"/>
      <c r="J25" s="639"/>
      <c r="K25" s="639"/>
      <c r="L25" s="639"/>
      <c r="M25" s="639"/>
      <c r="N25" s="639"/>
      <c r="O25" s="639"/>
      <c r="P25" s="821"/>
    </row>
    <row r="26" spans="1:16" ht="18.75" thickTop="1" thickBot="1" x14ac:dyDescent="0.35">
      <c r="A26" s="822" t="s">
        <v>985</v>
      </c>
      <c r="B26" s="795" t="s">
        <v>958</v>
      </c>
      <c r="C26" s="447" t="str">
        <f t="shared" ref="C26:N26" si="6">C7</f>
        <v>enero</v>
      </c>
      <c r="D26" s="447" t="str">
        <f t="shared" si="6"/>
        <v>febrero</v>
      </c>
      <c r="E26" s="447" t="str">
        <f t="shared" si="6"/>
        <v>marzo</v>
      </c>
      <c r="F26" s="447" t="str">
        <f t="shared" si="6"/>
        <v>abril</v>
      </c>
      <c r="G26" s="447" t="str">
        <f t="shared" si="6"/>
        <v>mayo</v>
      </c>
      <c r="H26" s="447" t="str">
        <f t="shared" si="6"/>
        <v>junio</v>
      </c>
      <c r="I26" s="447" t="str">
        <f t="shared" si="6"/>
        <v>julio</v>
      </c>
      <c r="J26" s="447" t="str">
        <f t="shared" si="6"/>
        <v>agosto</v>
      </c>
      <c r="K26" s="447" t="str">
        <f t="shared" si="6"/>
        <v>septiembre</v>
      </c>
      <c r="L26" s="447" t="str">
        <f t="shared" si="6"/>
        <v>octubre</v>
      </c>
      <c r="M26" s="447" t="str">
        <f t="shared" si="6"/>
        <v>noviembre</v>
      </c>
      <c r="N26" s="447" t="str">
        <f t="shared" si="6"/>
        <v>diciembre</v>
      </c>
      <c r="O26" s="447" t="s">
        <v>865</v>
      </c>
      <c r="P26" s="823" t="s">
        <v>886</v>
      </c>
    </row>
    <row r="27" spans="1:16" ht="18" thickBot="1" x14ac:dyDescent="0.35">
      <c r="A27" s="824" t="str">
        <f>'G.F. 0'!A27</f>
        <v>Tributos: IAE, IBI, ...</v>
      </c>
      <c r="B27" s="810">
        <f>'G.F. 0'!B27*(1+$B$4)</f>
        <v>0</v>
      </c>
      <c r="C27" s="987">
        <f>'Datos Gastos Fijos'!D8*(1+$B$4)</f>
        <v>0</v>
      </c>
      <c r="D27" s="987">
        <f>'Datos Gastos Fijos'!E8*(1+$B$4)</f>
        <v>0</v>
      </c>
      <c r="E27" s="987">
        <f>'Datos Gastos Fijos'!F8*(1+$B$4)</f>
        <v>0</v>
      </c>
      <c r="F27" s="987">
        <f>'Datos Gastos Fijos'!G8*(1+$B$4)</f>
        <v>0</v>
      </c>
      <c r="G27" s="987">
        <f>'Datos Gastos Fijos'!H8*(1+$B$4)</f>
        <v>0</v>
      </c>
      <c r="H27" s="987">
        <f>'Datos Gastos Fijos'!I8*(1+$B$4)</f>
        <v>0</v>
      </c>
      <c r="I27" s="987">
        <f>'Datos Gastos Fijos'!J8*(1+$B$4)</f>
        <v>0</v>
      </c>
      <c r="J27" s="987">
        <f>'Datos Gastos Fijos'!K8*(1+$B$4)</f>
        <v>0</v>
      </c>
      <c r="K27" s="987">
        <f>'Datos Gastos Fijos'!L8*(1+$B$4)</f>
        <v>0</v>
      </c>
      <c r="L27" s="987">
        <f>'Datos Gastos Fijos'!M8*(1+$B$4)</f>
        <v>0</v>
      </c>
      <c r="M27" s="987">
        <f>'Datos Gastos Fijos'!N8*(1+$B$4)</f>
        <v>0</v>
      </c>
      <c r="N27" s="987">
        <f>'Datos Gastos Fijos'!O8*(1+$B$4)</f>
        <v>0</v>
      </c>
      <c r="O27" s="987">
        <f t="shared" ref="O27:O45" si="7">SUM(C27:N27)</f>
        <v>0</v>
      </c>
      <c r="P27" s="805">
        <f t="shared" si="1"/>
        <v>0</v>
      </c>
    </row>
    <row r="28" spans="1:16" ht="18" thickBot="1" x14ac:dyDescent="0.35">
      <c r="A28" s="824" t="str">
        <f>'G.F. 0'!A28</f>
        <v>Otras gastos fijos (SIN IVA)</v>
      </c>
      <c r="B28" s="810">
        <v>0</v>
      </c>
      <c r="C28" s="987">
        <f>'Datos Gastos Fijos'!D9*(1+$B$4)</f>
        <v>0</v>
      </c>
      <c r="D28" s="987">
        <f>'Datos Gastos Fijos'!E9*(1+$B$4)</f>
        <v>0</v>
      </c>
      <c r="E28" s="987">
        <f>'Datos Gastos Fijos'!F9*(1+$B$4)</f>
        <v>0</v>
      </c>
      <c r="F28" s="987">
        <f>'Datos Gastos Fijos'!G9*(1+$B$4)</f>
        <v>0</v>
      </c>
      <c r="G28" s="987">
        <f>'Datos Gastos Fijos'!H9*(1+$B$4)</f>
        <v>0</v>
      </c>
      <c r="H28" s="987">
        <f>'Datos Gastos Fijos'!I9*(1+$B$4)</f>
        <v>0</v>
      </c>
      <c r="I28" s="987">
        <f>'Datos Gastos Fijos'!J9*(1+$B$4)</f>
        <v>0</v>
      </c>
      <c r="J28" s="987">
        <f>'Datos Gastos Fijos'!K9*(1+$B$4)</f>
        <v>0</v>
      </c>
      <c r="K28" s="987">
        <f>'Datos Gastos Fijos'!L9*(1+$B$4)</f>
        <v>0</v>
      </c>
      <c r="L28" s="987">
        <f>'Datos Gastos Fijos'!M9*(1+$B$4)</f>
        <v>0</v>
      </c>
      <c r="M28" s="987">
        <f>'Datos Gastos Fijos'!N9*(1+$B$4)</f>
        <v>0</v>
      </c>
      <c r="N28" s="987">
        <f>'Datos Gastos Fijos'!O9*(1+$B$4)</f>
        <v>0</v>
      </c>
      <c r="O28" s="987">
        <f>SUM(C28:N28)</f>
        <v>0</v>
      </c>
      <c r="P28" s="805">
        <f t="shared" si="1"/>
        <v>0</v>
      </c>
    </row>
    <row r="29" spans="1:16" ht="18" thickBot="1" x14ac:dyDescent="0.35">
      <c r="A29" s="824" t="str">
        <f>'G.F. 0'!A29</f>
        <v>Primas de Seguros</v>
      </c>
      <c r="B29" s="810">
        <f>'G.F. 0'!B29*(1+$B$4)</f>
        <v>0</v>
      </c>
      <c r="C29" s="987">
        <f>'Datos Gastos Fijos'!D10*(1+$B$4)</f>
        <v>0</v>
      </c>
      <c r="D29" s="987">
        <f>'Datos Gastos Fijos'!E10*(1+$B$4)</f>
        <v>0</v>
      </c>
      <c r="E29" s="987">
        <f>'Datos Gastos Fijos'!F10*(1+$B$4)</f>
        <v>0</v>
      </c>
      <c r="F29" s="987">
        <f>'Datos Gastos Fijos'!G10*(1+$B$4)</f>
        <v>0</v>
      </c>
      <c r="G29" s="987">
        <f>'Datos Gastos Fijos'!H10*(1+$B$4)</f>
        <v>0</v>
      </c>
      <c r="H29" s="987">
        <f>'Datos Gastos Fijos'!I10*(1+$B$4)</f>
        <v>0</v>
      </c>
      <c r="I29" s="987">
        <f>'Datos Gastos Fijos'!J10*(1+$B$4)</f>
        <v>0</v>
      </c>
      <c r="J29" s="987">
        <f>'Datos Gastos Fijos'!K10*(1+$B$4)</f>
        <v>0</v>
      </c>
      <c r="K29" s="987">
        <f>'Datos Gastos Fijos'!L10*(1+$B$4)</f>
        <v>0</v>
      </c>
      <c r="L29" s="987">
        <f>'Datos Gastos Fijos'!M10*(1+$B$4)</f>
        <v>0</v>
      </c>
      <c r="M29" s="987">
        <f>'Datos Gastos Fijos'!N10*(1+$B$4)</f>
        <v>0</v>
      </c>
      <c r="N29" s="987">
        <f>'Datos Gastos Fijos'!O10*(1+$B$4)</f>
        <v>0</v>
      </c>
      <c r="O29" s="987">
        <f>SUM(C29:N29)</f>
        <v>0</v>
      </c>
      <c r="P29" s="805">
        <f t="shared" si="1"/>
        <v>0</v>
      </c>
    </row>
    <row r="30" spans="1:16" ht="18" thickBot="1" x14ac:dyDescent="0.35">
      <c r="A30" s="824" t="str">
        <f>'G.F. 0'!A30</f>
        <v>Colegio/ Asociación profesional</v>
      </c>
      <c r="B30" s="810">
        <f>'G.F. 0'!B30*(1+$B$4)</f>
        <v>0</v>
      </c>
      <c r="C30" s="987">
        <f>'Datos Gastos Fijos'!D11*(1+$B$4)</f>
        <v>0</v>
      </c>
      <c r="D30" s="987">
        <f>'Datos Gastos Fijos'!E11*(1+$B$4)</f>
        <v>0</v>
      </c>
      <c r="E30" s="987">
        <f>'Datos Gastos Fijos'!F11*(1+$B$4)</f>
        <v>0</v>
      </c>
      <c r="F30" s="987">
        <f>'Datos Gastos Fijos'!G11*(1+$B$4)</f>
        <v>0</v>
      </c>
      <c r="G30" s="987">
        <f>'Datos Gastos Fijos'!H11*(1+$B$4)</f>
        <v>0</v>
      </c>
      <c r="H30" s="987">
        <f>'Datos Gastos Fijos'!I11*(1+$B$4)</f>
        <v>0</v>
      </c>
      <c r="I30" s="987">
        <f>'Datos Gastos Fijos'!J11*(1+$B$4)</f>
        <v>0</v>
      </c>
      <c r="J30" s="987">
        <f>'Datos Gastos Fijos'!K11*(1+$B$4)</f>
        <v>0</v>
      </c>
      <c r="K30" s="987">
        <f>'Datos Gastos Fijos'!L11*(1+$B$4)</f>
        <v>0</v>
      </c>
      <c r="L30" s="987">
        <f>'Datos Gastos Fijos'!M11*(1+$B$4)</f>
        <v>0</v>
      </c>
      <c r="M30" s="987">
        <f>'Datos Gastos Fijos'!N11*(1+$B$4)</f>
        <v>0</v>
      </c>
      <c r="N30" s="987">
        <f>'Datos Gastos Fijos'!O11*(1+$B$4)</f>
        <v>0</v>
      </c>
      <c r="O30" s="987">
        <f>SUM(C30:N30)</f>
        <v>0</v>
      </c>
      <c r="P30" s="805">
        <f t="shared" si="1"/>
        <v>0</v>
      </c>
    </row>
    <row r="31" spans="1:16" ht="18" thickBot="1" x14ac:dyDescent="0.35">
      <c r="A31" s="824" t="str">
        <f>'G.F. 0'!A31</f>
        <v>Electricidad</v>
      </c>
      <c r="B31" s="810">
        <f>'G.F. 0'!B31*(1+$B$4)</f>
        <v>0</v>
      </c>
      <c r="C31" s="987">
        <f>'Datos Gastos Fijos'!D12*(1+$B$4)</f>
        <v>0</v>
      </c>
      <c r="D31" s="987">
        <f>'Datos Gastos Fijos'!E12*(1+$B$4)</f>
        <v>0</v>
      </c>
      <c r="E31" s="987">
        <f>'Datos Gastos Fijos'!F12*(1+$B$4)</f>
        <v>0</v>
      </c>
      <c r="F31" s="987">
        <f>'Datos Gastos Fijos'!G12*(1+$B$4)</f>
        <v>0</v>
      </c>
      <c r="G31" s="987">
        <f>'Datos Gastos Fijos'!H12*(1+$B$4)</f>
        <v>0</v>
      </c>
      <c r="H31" s="987">
        <f>'Datos Gastos Fijos'!I12*(1+$B$4)</f>
        <v>0</v>
      </c>
      <c r="I31" s="987">
        <f>'Datos Gastos Fijos'!J12*(1+$B$4)</f>
        <v>0</v>
      </c>
      <c r="J31" s="987">
        <f>'Datos Gastos Fijos'!K12*(1+$B$4)</f>
        <v>0</v>
      </c>
      <c r="K31" s="987">
        <f>'Datos Gastos Fijos'!L12*(1+$B$4)</f>
        <v>0</v>
      </c>
      <c r="L31" s="987">
        <f>'Datos Gastos Fijos'!M12*(1+$B$4)</f>
        <v>0</v>
      </c>
      <c r="M31" s="987">
        <f>'Datos Gastos Fijos'!N12*(1+$B$4)</f>
        <v>0</v>
      </c>
      <c r="N31" s="987">
        <f>'Datos Gastos Fijos'!O12*(1+$B$4)</f>
        <v>0</v>
      </c>
      <c r="O31" s="987">
        <f t="shared" si="7"/>
        <v>0</v>
      </c>
      <c r="P31" s="805">
        <f t="shared" si="1"/>
        <v>0</v>
      </c>
    </row>
    <row r="32" spans="1:16" ht="18" thickBot="1" x14ac:dyDescent="0.35">
      <c r="A32" s="824" t="str">
        <f>'G.F. 0'!A32</f>
        <v>Otros suministros (agua, gas, etc.)</v>
      </c>
      <c r="B32" s="810">
        <f>'G.F. 0'!B32*(1+$B$4)</f>
        <v>0</v>
      </c>
      <c r="C32" s="987">
        <f>'Datos Gastos Fijos'!D13*(1+$B$4)</f>
        <v>0</v>
      </c>
      <c r="D32" s="987">
        <f>'Datos Gastos Fijos'!E13*(1+$B$4)</f>
        <v>0</v>
      </c>
      <c r="E32" s="987">
        <f>'Datos Gastos Fijos'!F13*(1+$B$4)</f>
        <v>0</v>
      </c>
      <c r="F32" s="987">
        <f>'Datos Gastos Fijos'!G13*(1+$B$4)</f>
        <v>0</v>
      </c>
      <c r="G32" s="987">
        <f>'Datos Gastos Fijos'!H13*(1+$B$4)</f>
        <v>0</v>
      </c>
      <c r="H32" s="987">
        <f>'Datos Gastos Fijos'!I13*(1+$B$4)</f>
        <v>0</v>
      </c>
      <c r="I32" s="987">
        <f>'Datos Gastos Fijos'!J13*(1+$B$4)</f>
        <v>0</v>
      </c>
      <c r="J32" s="987">
        <f>'Datos Gastos Fijos'!K13*(1+$B$4)</f>
        <v>0</v>
      </c>
      <c r="K32" s="987">
        <f>'Datos Gastos Fijos'!L13*(1+$B$4)</f>
        <v>0</v>
      </c>
      <c r="L32" s="987">
        <f>'Datos Gastos Fijos'!M13*(1+$B$4)</f>
        <v>0</v>
      </c>
      <c r="M32" s="987">
        <f>'Datos Gastos Fijos'!N13*(1+$B$4)</f>
        <v>0</v>
      </c>
      <c r="N32" s="987">
        <f>'Datos Gastos Fijos'!O13*(1+$B$4)</f>
        <v>0</v>
      </c>
      <c r="O32" s="987">
        <f t="shared" si="7"/>
        <v>0</v>
      </c>
      <c r="P32" s="805">
        <f t="shared" si="1"/>
        <v>0</v>
      </c>
    </row>
    <row r="33" spans="1:16" ht="18" thickBot="1" x14ac:dyDescent="0.35">
      <c r="A33" s="824" t="str">
        <f>'G.F. 0'!A33</f>
        <v>Teléfono</v>
      </c>
      <c r="B33" s="810">
        <f>'G.F. 0'!B33*(1+$B$4)</f>
        <v>0</v>
      </c>
      <c r="C33" s="987">
        <f>'Datos Gastos Fijos'!D14*(1+$B$4)</f>
        <v>0</v>
      </c>
      <c r="D33" s="987">
        <f>'Datos Gastos Fijos'!E14*(1+$B$4)</f>
        <v>0</v>
      </c>
      <c r="E33" s="987">
        <f>'Datos Gastos Fijos'!F14*(1+$B$4)</f>
        <v>0</v>
      </c>
      <c r="F33" s="987">
        <f>'Datos Gastos Fijos'!G14*(1+$B$4)</f>
        <v>0</v>
      </c>
      <c r="G33" s="987">
        <f>'Datos Gastos Fijos'!H14*(1+$B$4)</f>
        <v>0</v>
      </c>
      <c r="H33" s="987">
        <f>'Datos Gastos Fijos'!I14*(1+$B$4)</f>
        <v>0</v>
      </c>
      <c r="I33" s="987">
        <f>'Datos Gastos Fijos'!J14*(1+$B$4)</f>
        <v>0</v>
      </c>
      <c r="J33" s="987">
        <f>'Datos Gastos Fijos'!K14*(1+$B$4)</f>
        <v>0</v>
      </c>
      <c r="K33" s="987">
        <f>'Datos Gastos Fijos'!L14*(1+$B$4)</f>
        <v>0</v>
      </c>
      <c r="L33" s="987">
        <f>'Datos Gastos Fijos'!M14*(1+$B$4)</f>
        <v>0</v>
      </c>
      <c r="M33" s="987">
        <f>'Datos Gastos Fijos'!N14*(1+$B$4)</f>
        <v>0</v>
      </c>
      <c r="N33" s="987">
        <f>'Datos Gastos Fijos'!O14*(1+$B$4)</f>
        <v>0</v>
      </c>
      <c r="O33" s="987">
        <f t="shared" si="7"/>
        <v>0</v>
      </c>
      <c r="P33" s="805">
        <f t="shared" si="1"/>
        <v>0</v>
      </c>
    </row>
    <row r="34" spans="1:16" ht="18" thickBot="1" x14ac:dyDescent="0.35">
      <c r="A34" s="824" t="str">
        <f>'G.F. 0'!A34</f>
        <v>Teléfono móviles</v>
      </c>
      <c r="B34" s="810">
        <f>'G.F. 0'!B34*(1+$B$4)</f>
        <v>0</v>
      </c>
      <c r="C34" s="987">
        <f>'Datos Gastos Fijos'!D15*(1+$B$4)</f>
        <v>0</v>
      </c>
      <c r="D34" s="987">
        <f>'Datos Gastos Fijos'!E15*(1+$B$4)</f>
        <v>0</v>
      </c>
      <c r="E34" s="987">
        <f>'Datos Gastos Fijos'!F15*(1+$B$4)</f>
        <v>0</v>
      </c>
      <c r="F34" s="987">
        <f>'Datos Gastos Fijos'!G15*(1+$B$4)</f>
        <v>0</v>
      </c>
      <c r="G34" s="987">
        <f>'Datos Gastos Fijos'!H15*(1+$B$4)</f>
        <v>0</v>
      </c>
      <c r="H34" s="987">
        <f>'Datos Gastos Fijos'!I15*(1+$B$4)</f>
        <v>0</v>
      </c>
      <c r="I34" s="987">
        <f>'Datos Gastos Fijos'!J15*(1+$B$4)</f>
        <v>0</v>
      </c>
      <c r="J34" s="987">
        <f>'Datos Gastos Fijos'!K15*(1+$B$4)</f>
        <v>0</v>
      </c>
      <c r="K34" s="987">
        <f>'Datos Gastos Fijos'!L15*(1+$B$4)</f>
        <v>0</v>
      </c>
      <c r="L34" s="987">
        <f>'Datos Gastos Fijos'!M15*(1+$B$4)</f>
        <v>0</v>
      </c>
      <c r="M34" s="987">
        <f>'Datos Gastos Fijos'!N15*(1+$B$4)</f>
        <v>0</v>
      </c>
      <c r="N34" s="987">
        <f>'Datos Gastos Fijos'!O15*(1+$B$4)</f>
        <v>0</v>
      </c>
      <c r="O34" s="987">
        <f t="shared" si="7"/>
        <v>0</v>
      </c>
      <c r="P34" s="805">
        <f t="shared" si="1"/>
        <v>0</v>
      </c>
    </row>
    <row r="35" spans="1:16" ht="18" thickBot="1" x14ac:dyDescent="0.35">
      <c r="A35" s="824" t="str">
        <f>'Datos Gastos Fijos'!A16</f>
        <v>Conexión a Internet (tarifa plana)</v>
      </c>
      <c r="B35" s="810">
        <f>'G.F. 0'!B35*(1+$B$4)</f>
        <v>0</v>
      </c>
      <c r="C35" s="987">
        <f>'Datos Gastos Fijos'!D16*(1+$B$4)</f>
        <v>0</v>
      </c>
      <c r="D35" s="987">
        <f>'Datos Gastos Fijos'!E16*(1+$B$4)</f>
        <v>0</v>
      </c>
      <c r="E35" s="987">
        <f>'Datos Gastos Fijos'!F16*(1+$B$4)</f>
        <v>0</v>
      </c>
      <c r="F35" s="987">
        <f>'Datos Gastos Fijos'!G16*(1+$B$4)</f>
        <v>0</v>
      </c>
      <c r="G35" s="987">
        <f>'Datos Gastos Fijos'!H16*(1+$B$4)</f>
        <v>0</v>
      </c>
      <c r="H35" s="987">
        <f>'Datos Gastos Fijos'!I16*(1+$B$4)</f>
        <v>0</v>
      </c>
      <c r="I35" s="987">
        <f>'Datos Gastos Fijos'!J16*(1+$B$4)</f>
        <v>0</v>
      </c>
      <c r="J35" s="987">
        <f>'Datos Gastos Fijos'!K16*(1+$B$4)</f>
        <v>0</v>
      </c>
      <c r="K35" s="987">
        <f>'Datos Gastos Fijos'!L16*(1+$B$4)</f>
        <v>0</v>
      </c>
      <c r="L35" s="987">
        <f>'Datos Gastos Fijos'!M16*(1+$B$4)</f>
        <v>0</v>
      </c>
      <c r="M35" s="987">
        <f>'Datos Gastos Fijos'!N16*(1+$B$4)</f>
        <v>0</v>
      </c>
      <c r="N35" s="987">
        <f>'Datos Gastos Fijos'!O16*(1+$B$4)</f>
        <v>0</v>
      </c>
      <c r="O35" s="987">
        <f>SUM(C35:N35)</f>
        <v>0</v>
      </c>
      <c r="P35" s="805">
        <f>O35/$O$48</f>
        <v>0</v>
      </c>
    </row>
    <row r="36" spans="1:16" ht="18" thickBot="1" x14ac:dyDescent="0.35">
      <c r="A36" s="824" t="str">
        <f>'Datos Gastos Fijos'!A17</f>
        <v>Página Web (Host, mantenimiento, etc)</v>
      </c>
      <c r="B36" s="810">
        <f>'G.F. 0'!B36*(1+$B$4)</f>
        <v>0</v>
      </c>
      <c r="C36" s="987">
        <f>'Datos Gastos Fijos'!D17*(1+$B$4)</f>
        <v>0</v>
      </c>
      <c r="D36" s="987">
        <f>'Datos Gastos Fijos'!E17*(1+$B$4)</f>
        <v>0</v>
      </c>
      <c r="E36" s="987">
        <f>'Datos Gastos Fijos'!F17*(1+$B$4)</f>
        <v>0</v>
      </c>
      <c r="F36" s="987">
        <f>'Datos Gastos Fijos'!G17*(1+$B$4)</f>
        <v>0</v>
      </c>
      <c r="G36" s="987">
        <f>'Datos Gastos Fijos'!H17*(1+$B$4)</f>
        <v>0</v>
      </c>
      <c r="H36" s="987">
        <f>'Datos Gastos Fijos'!I17*(1+$B$4)</f>
        <v>0</v>
      </c>
      <c r="I36" s="987">
        <f>'Datos Gastos Fijos'!J17*(1+$B$4)</f>
        <v>0</v>
      </c>
      <c r="J36" s="987">
        <f>'Datos Gastos Fijos'!K17*(1+$B$4)</f>
        <v>0</v>
      </c>
      <c r="K36" s="987">
        <f>'Datos Gastos Fijos'!L17*(1+$B$4)</f>
        <v>0</v>
      </c>
      <c r="L36" s="987">
        <f>'Datos Gastos Fijos'!M17*(1+$B$4)</f>
        <v>0</v>
      </c>
      <c r="M36" s="987">
        <f>'Datos Gastos Fijos'!N17*(1+$B$4)</f>
        <v>0</v>
      </c>
      <c r="N36" s="987">
        <f>'Datos Gastos Fijos'!O17*(1+$B$4)</f>
        <v>0</v>
      </c>
      <c r="O36" s="987">
        <f>SUM(C36:N36)</f>
        <v>0</v>
      </c>
      <c r="P36" s="805">
        <f>O36/$O$48</f>
        <v>0</v>
      </c>
    </row>
    <row r="37" spans="1:16" ht="18" thickBot="1" x14ac:dyDescent="0.35">
      <c r="A37" s="824" t="str">
        <f>'Datos Gastos Fijos'!A18</f>
        <v>Compañía de seguridad / Alarma</v>
      </c>
      <c r="B37" s="810">
        <f>'G.F. 0'!B37*(1+$B$4)</f>
        <v>0</v>
      </c>
      <c r="C37" s="987">
        <f>'Datos Gastos Fijos'!D18*(1+$B$4)</f>
        <v>0</v>
      </c>
      <c r="D37" s="987">
        <f>'Datos Gastos Fijos'!E18*(1+$B$4)</f>
        <v>0</v>
      </c>
      <c r="E37" s="987">
        <f>'Datos Gastos Fijos'!F18*(1+$B$4)</f>
        <v>0</v>
      </c>
      <c r="F37" s="987">
        <f>'Datos Gastos Fijos'!G18*(1+$B$4)</f>
        <v>0</v>
      </c>
      <c r="G37" s="987">
        <f>'Datos Gastos Fijos'!H18*(1+$B$4)</f>
        <v>0</v>
      </c>
      <c r="H37" s="987">
        <f>'Datos Gastos Fijos'!I18*(1+$B$4)</f>
        <v>0</v>
      </c>
      <c r="I37" s="987">
        <f>'Datos Gastos Fijos'!J18*(1+$B$4)</f>
        <v>0</v>
      </c>
      <c r="J37" s="987">
        <f>'Datos Gastos Fijos'!K18*(1+$B$4)</f>
        <v>0</v>
      </c>
      <c r="K37" s="987">
        <f>'Datos Gastos Fijos'!L18*(1+$B$4)</f>
        <v>0</v>
      </c>
      <c r="L37" s="987">
        <f>'Datos Gastos Fijos'!M18*(1+$B$4)</f>
        <v>0</v>
      </c>
      <c r="M37" s="987">
        <f>'Datos Gastos Fijos'!N18*(1+$B$4)</f>
        <v>0</v>
      </c>
      <c r="N37" s="987">
        <f>'Datos Gastos Fijos'!O18*(1+$B$4)</f>
        <v>0</v>
      </c>
      <c r="O37" s="987">
        <f>SUM(C37:N37)</f>
        <v>0</v>
      </c>
      <c r="P37" s="805">
        <f>O37/$O$48</f>
        <v>0</v>
      </c>
    </row>
    <row r="38" spans="1:16" ht="18" thickBot="1" x14ac:dyDescent="0.35">
      <c r="A38" s="824" t="str">
        <f>'G.F. 0'!A38</f>
        <v>Material de oficina</v>
      </c>
      <c r="B38" s="810">
        <f>'G.F. 0'!B38*(1+$B$4)</f>
        <v>0</v>
      </c>
      <c r="C38" s="987">
        <f>'Datos Gastos Fijos'!D19*(1+$B$4)</f>
        <v>0</v>
      </c>
      <c r="D38" s="987">
        <f>'Datos Gastos Fijos'!E19*(1+$B$4)</f>
        <v>0</v>
      </c>
      <c r="E38" s="987">
        <f>'Datos Gastos Fijos'!F19*(1+$B$4)</f>
        <v>0</v>
      </c>
      <c r="F38" s="987">
        <f>'Datos Gastos Fijos'!G19*(1+$B$4)</f>
        <v>0</v>
      </c>
      <c r="G38" s="987">
        <f>'Datos Gastos Fijos'!H19*(1+$B$4)</f>
        <v>0</v>
      </c>
      <c r="H38" s="987">
        <f>'Datos Gastos Fijos'!I19*(1+$B$4)</f>
        <v>0</v>
      </c>
      <c r="I38" s="987">
        <f>'Datos Gastos Fijos'!J19*(1+$B$4)</f>
        <v>0</v>
      </c>
      <c r="J38" s="987">
        <f>'Datos Gastos Fijos'!K19*(1+$B$4)</f>
        <v>0</v>
      </c>
      <c r="K38" s="987">
        <f>'Datos Gastos Fijos'!L19*(1+$B$4)</f>
        <v>0</v>
      </c>
      <c r="L38" s="987">
        <f>'Datos Gastos Fijos'!M19*(1+$B$4)</f>
        <v>0</v>
      </c>
      <c r="M38" s="987">
        <f>'Datos Gastos Fijos'!N19*(1+$B$4)</f>
        <v>0</v>
      </c>
      <c r="N38" s="987">
        <f>'Datos Gastos Fijos'!O19*(1+$B$4)</f>
        <v>0</v>
      </c>
      <c r="O38" s="987">
        <f t="shared" si="7"/>
        <v>0</v>
      </c>
      <c r="P38" s="805">
        <f t="shared" si="1"/>
        <v>0</v>
      </c>
    </row>
    <row r="39" spans="1:16" ht="18" thickBot="1" x14ac:dyDescent="0.35">
      <c r="A39" s="824" t="str">
        <f>'G.F. 0'!A39</f>
        <v>Publicidad y propaganda</v>
      </c>
      <c r="B39" s="810">
        <f>'G.F. 0'!B39*(1+$B$4)</f>
        <v>0</v>
      </c>
      <c r="C39" s="987">
        <f>'Datos Gastos Fijos'!D20*(1+$B$4)</f>
        <v>0</v>
      </c>
      <c r="D39" s="987">
        <f>'Datos Gastos Fijos'!E20*(1+$B$4)</f>
        <v>0</v>
      </c>
      <c r="E39" s="987">
        <f>'Datos Gastos Fijos'!F20*(1+$B$4)</f>
        <v>0</v>
      </c>
      <c r="F39" s="987">
        <f>'Datos Gastos Fijos'!G20*(1+$B$4)</f>
        <v>0</v>
      </c>
      <c r="G39" s="987">
        <f>'Datos Gastos Fijos'!H20*(1+$B$4)</f>
        <v>0</v>
      </c>
      <c r="H39" s="987">
        <f>'Datos Gastos Fijos'!I20*(1+$B$4)</f>
        <v>0</v>
      </c>
      <c r="I39" s="987">
        <f>'Datos Gastos Fijos'!J20*(1+$B$4)</f>
        <v>0</v>
      </c>
      <c r="J39" s="987">
        <f>'Datos Gastos Fijos'!K20*(1+$B$4)</f>
        <v>0</v>
      </c>
      <c r="K39" s="987">
        <f>'Datos Gastos Fijos'!L20*(1+$B$4)</f>
        <v>0</v>
      </c>
      <c r="L39" s="987">
        <f>'Datos Gastos Fijos'!M20*(1+$B$4)</f>
        <v>0</v>
      </c>
      <c r="M39" s="987">
        <f>'Datos Gastos Fijos'!N20*(1+$B$4)</f>
        <v>0</v>
      </c>
      <c r="N39" s="987">
        <f>'Datos Gastos Fijos'!O20*(1+$B$4)</f>
        <v>0</v>
      </c>
      <c r="O39" s="987">
        <f t="shared" si="7"/>
        <v>0</v>
      </c>
      <c r="P39" s="805">
        <f t="shared" si="1"/>
        <v>0</v>
      </c>
    </row>
    <row r="40" spans="1:16" ht="18" thickBot="1" x14ac:dyDescent="0.35">
      <c r="A40" s="824" t="s">
        <v>41</v>
      </c>
      <c r="B40" s="810">
        <f>'G.F. 0'!B40*(1+$B$4)</f>
        <v>0</v>
      </c>
      <c r="C40" s="987">
        <f>'Datos Gastos Fijos'!D21*(1+$B$4)</f>
        <v>0</v>
      </c>
      <c r="D40" s="987">
        <f>'Datos Gastos Fijos'!E21*(1+$B$4)</f>
        <v>0</v>
      </c>
      <c r="E40" s="987">
        <f>'Datos Gastos Fijos'!F21*(1+$B$4)</f>
        <v>0</v>
      </c>
      <c r="F40" s="987">
        <f>'Datos Gastos Fijos'!G21*(1+$B$4)</f>
        <v>0</v>
      </c>
      <c r="G40" s="987">
        <f>'Datos Gastos Fijos'!H21*(1+$B$4)</f>
        <v>0</v>
      </c>
      <c r="H40" s="987">
        <f>'Datos Gastos Fijos'!I21*(1+$B$4)</f>
        <v>0</v>
      </c>
      <c r="I40" s="987">
        <f>'Datos Gastos Fijos'!J21*(1+$B$4)</f>
        <v>0</v>
      </c>
      <c r="J40" s="987">
        <f>'Datos Gastos Fijos'!K21*(1+$B$4)</f>
        <v>0</v>
      </c>
      <c r="K40" s="987">
        <f>'Datos Gastos Fijos'!L21*(1+$B$4)</f>
        <v>0</v>
      </c>
      <c r="L40" s="987">
        <f>'Datos Gastos Fijos'!M21*(1+$B$4)</f>
        <v>0</v>
      </c>
      <c r="M40" s="987">
        <f>'Datos Gastos Fijos'!N21*(1+$B$4)</f>
        <v>0</v>
      </c>
      <c r="N40" s="987">
        <f>'Datos Gastos Fijos'!O21*(1+$B$4)</f>
        <v>0</v>
      </c>
      <c r="O40" s="987">
        <f>SUM(C40:N40)</f>
        <v>0</v>
      </c>
      <c r="P40" s="805">
        <f t="shared" si="1"/>
        <v>0</v>
      </c>
    </row>
    <row r="41" spans="1:16" ht="18" thickBot="1" x14ac:dyDescent="0.35">
      <c r="A41" s="824" t="str">
        <f>'G.F. 0'!A41</f>
        <v>Asesoría</v>
      </c>
      <c r="B41" s="810">
        <f>'G.F. 0'!B41*(1+$B$4)</f>
        <v>0</v>
      </c>
      <c r="C41" s="987">
        <f>'Datos Gastos Fijos'!D22*(1+$B$4)</f>
        <v>0</v>
      </c>
      <c r="D41" s="987">
        <f>'Datos Gastos Fijos'!E22*(1+$B$4)</f>
        <v>0</v>
      </c>
      <c r="E41" s="987">
        <f>'Datos Gastos Fijos'!F22*(1+$B$4)</f>
        <v>0</v>
      </c>
      <c r="F41" s="987">
        <f>'Datos Gastos Fijos'!G22*(1+$B$4)</f>
        <v>0</v>
      </c>
      <c r="G41" s="987">
        <f>'Datos Gastos Fijos'!H22*(1+$B$4)</f>
        <v>0</v>
      </c>
      <c r="H41" s="987">
        <f>'Datos Gastos Fijos'!I22*(1+$B$4)</f>
        <v>0</v>
      </c>
      <c r="I41" s="987">
        <f>'Datos Gastos Fijos'!J22*(1+$B$4)</f>
        <v>0</v>
      </c>
      <c r="J41" s="987">
        <f>'Datos Gastos Fijos'!K22*(1+$B$4)</f>
        <v>0</v>
      </c>
      <c r="K41" s="987">
        <f>'Datos Gastos Fijos'!L22*(1+$B$4)</f>
        <v>0</v>
      </c>
      <c r="L41" s="987">
        <f>'Datos Gastos Fijos'!M22*(1+$B$4)</f>
        <v>0</v>
      </c>
      <c r="M41" s="987">
        <f>'Datos Gastos Fijos'!N22*(1+$B$4)</f>
        <v>0</v>
      </c>
      <c r="N41" s="987">
        <f>'Datos Gastos Fijos'!O22*(1+$B$4)</f>
        <v>0</v>
      </c>
      <c r="O41" s="987">
        <f t="shared" si="7"/>
        <v>0</v>
      </c>
      <c r="P41" s="805">
        <f t="shared" si="1"/>
        <v>0</v>
      </c>
    </row>
    <row r="42" spans="1:16" ht="18" thickBot="1" x14ac:dyDescent="0.35">
      <c r="A42" s="824" t="str">
        <f>'G.F. 0'!A42</f>
        <v>Arrendamientos</v>
      </c>
      <c r="B42" s="810">
        <f>'G.F. 0'!B42*(1+$B$4)</f>
        <v>0</v>
      </c>
      <c r="C42" s="987">
        <f>'Datos Gastos Fijos'!D23*(1+$B$4)</f>
        <v>0</v>
      </c>
      <c r="D42" s="987">
        <f>'Datos Gastos Fijos'!E23*(1+$B$4)</f>
        <v>0</v>
      </c>
      <c r="E42" s="987">
        <f>'Datos Gastos Fijos'!F23*(1+$B$4)</f>
        <v>0</v>
      </c>
      <c r="F42" s="987">
        <f>'Datos Gastos Fijos'!G23*(1+$B$4)</f>
        <v>0</v>
      </c>
      <c r="G42" s="987">
        <f>'Datos Gastos Fijos'!H23*(1+$B$4)</f>
        <v>0</v>
      </c>
      <c r="H42" s="987">
        <f>'Datos Gastos Fijos'!I23*(1+$B$4)</f>
        <v>0</v>
      </c>
      <c r="I42" s="987">
        <f>'Datos Gastos Fijos'!J23*(1+$B$4)</f>
        <v>0</v>
      </c>
      <c r="J42" s="987">
        <f>'Datos Gastos Fijos'!K23*(1+$B$4)</f>
        <v>0</v>
      </c>
      <c r="K42" s="987">
        <f>'Datos Gastos Fijos'!L23*(1+$B$4)</f>
        <v>0</v>
      </c>
      <c r="L42" s="987">
        <f>'Datos Gastos Fijos'!M23*(1+$B$4)</f>
        <v>0</v>
      </c>
      <c r="M42" s="987">
        <f>'Datos Gastos Fijos'!N23*(1+$B$4)</f>
        <v>0</v>
      </c>
      <c r="N42" s="987">
        <f>'Datos Gastos Fijos'!O23*(1+$B$4)</f>
        <v>0</v>
      </c>
      <c r="O42" s="987">
        <f t="shared" si="7"/>
        <v>0</v>
      </c>
      <c r="P42" s="805">
        <f t="shared" si="1"/>
        <v>0</v>
      </c>
    </row>
    <row r="43" spans="1:16" ht="18" thickBot="1" x14ac:dyDescent="0.35">
      <c r="A43" s="824" t="str">
        <f>'G.F. 0'!A43</f>
        <v>Transporte</v>
      </c>
      <c r="B43" s="810">
        <f>'G.F. 0'!B43*(1+$B$4)</f>
        <v>0</v>
      </c>
      <c r="C43" s="987">
        <f>'Datos Gastos Fijos'!D24*(1+$B$4)</f>
        <v>0</v>
      </c>
      <c r="D43" s="987">
        <f>'Datos Gastos Fijos'!E24*(1+$B$4)</f>
        <v>0</v>
      </c>
      <c r="E43" s="987">
        <f>'Datos Gastos Fijos'!F24*(1+$B$4)</f>
        <v>0</v>
      </c>
      <c r="F43" s="987">
        <f>'Datos Gastos Fijos'!G24*(1+$B$4)</f>
        <v>0</v>
      </c>
      <c r="G43" s="987">
        <f>'Datos Gastos Fijos'!H24*(1+$B$4)</f>
        <v>0</v>
      </c>
      <c r="H43" s="987">
        <f>'Datos Gastos Fijos'!I24*(1+$B$4)</f>
        <v>0</v>
      </c>
      <c r="I43" s="987">
        <f>'Datos Gastos Fijos'!J24*(1+$B$4)</f>
        <v>0</v>
      </c>
      <c r="J43" s="987">
        <f>'Datos Gastos Fijos'!K24*(1+$B$4)</f>
        <v>0</v>
      </c>
      <c r="K43" s="987">
        <f>'Datos Gastos Fijos'!L24*(1+$B$4)</f>
        <v>0</v>
      </c>
      <c r="L43" s="987">
        <f>'Datos Gastos Fijos'!M24*(1+$B$4)</f>
        <v>0</v>
      </c>
      <c r="M43" s="987">
        <f>'Datos Gastos Fijos'!N24*(1+$B$4)</f>
        <v>0</v>
      </c>
      <c r="N43" s="987">
        <f>'Datos Gastos Fijos'!O24*(1+$B$4)</f>
        <v>0</v>
      </c>
      <c r="O43" s="987">
        <f>SUM(C43:N43)</f>
        <v>0</v>
      </c>
      <c r="P43" s="805">
        <f t="shared" si="1"/>
        <v>0</v>
      </c>
    </row>
    <row r="44" spans="1:16" ht="18" thickBot="1" x14ac:dyDescent="0.35">
      <c r="A44" s="824" t="str">
        <f>'G.F. 0'!A44</f>
        <v>Mantenimiento y reparación</v>
      </c>
      <c r="B44" s="810">
        <f>'G.F. 0'!B44*(1+$B$4)</f>
        <v>0</v>
      </c>
      <c r="C44" s="987">
        <f>'Datos Gastos Fijos'!D25*(1+$B$4)</f>
        <v>0</v>
      </c>
      <c r="D44" s="987">
        <f>'Datos Gastos Fijos'!E25*(1+$B$4)</f>
        <v>0</v>
      </c>
      <c r="E44" s="987">
        <f>'Datos Gastos Fijos'!F25*(1+$B$4)</f>
        <v>0</v>
      </c>
      <c r="F44" s="987">
        <f>'Datos Gastos Fijos'!G25*(1+$B$4)</f>
        <v>0</v>
      </c>
      <c r="G44" s="987">
        <f>'Datos Gastos Fijos'!H25*(1+$B$4)</f>
        <v>0</v>
      </c>
      <c r="H44" s="987">
        <f>'Datos Gastos Fijos'!I25*(1+$B$4)</f>
        <v>0</v>
      </c>
      <c r="I44" s="987">
        <f>'Datos Gastos Fijos'!J25*(1+$B$4)</f>
        <v>0</v>
      </c>
      <c r="J44" s="987">
        <f>'Datos Gastos Fijos'!K25*(1+$B$4)</f>
        <v>0</v>
      </c>
      <c r="K44" s="987">
        <f>'Datos Gastos Fijos'!L25*(1+$B$4)</f>
        <v>0</v>
      </c>
      <c r="L44" s="987">
        <f>'Datos Gastos Fijos'!M25*(1+$B$4)</f>
        <v>0</v>
      </c>
      <c r="M44" s="987">
        <f>'Datos Gastos Fijos'!N25*(1+$B$4)</f>
        <v>0</v>
      </c>
      <c r="N44" s="987">
        <f>'Datos Gastos Fijos'!O25*(1+$B$4)</f>
        <v>0</v>
      </c>
      <c r="O44" s="987">
        <f t="shared" si="7"/>
        <v>0</v>
      </c>
      <c r="P44" s="805">
        <f t="shared" si="1"/>
        <v>0</v>
      </c>
    </row>
    <row r="45" spans="1:16" ht="18" thickBot="1" x14ac:dyDescent="0.35">
      <c r="A45" s="824" t="str">
        <f>'G.F. 0'!A45</f>
        <v>Otros gastos imprevistos</v>
      </c>
      <c r="B45" s="810">
        <f>'G.F. 0'!B45*(1+$B$4)</f>
        <v>0</v>
      </c>
      <c r="C45" s="987">
        <f>'Datos Gastos Fijos'!D26*(1+$B$4)</f>
        <v>0</v>
      </c>
      <c r="D45" s="987">
        <f>'Datos Gastos Fijos'!E26*(1+$B$4)</f>
        <v>0</v>
      </c>
      <c r="E45" s="987">
        <f>'Datos Gastos Fijos'!F26*(1+$B$4)</f>
        <v>0</v>
      </c>
      <c r="F45" s="987">
        <f>'Datos Gastos Fijos'!G26*(1+$B$4)</f>
        <v>0</v>
      </c>
      <c r="G45" s="987">
        <f>'Datos Gastos Fijos'!H26*(1+$B$4)</f>
        <v>0</v>
      </c>
      <c r="H45" s="987">
        <f>'Datos Gastos Fijos'!I26*(1+$B$4)</f>
        <v>0</v>
      </c>
      <c r="I45" s="987">
        <f>'Datos Gastos Fijos'!J26*(1+$B$4)</f>
        <v>0</v>
      </c>
      <c r="J45" s="987">
        <f>'Datos Gastos Fijos'!K26*(1+$B$4)</f>
        <v>0</v>
      </c>
      <c r="K45" s="987">
        <f>'Datos Gastos Fijos'!L26*(1+$B$4)</f>
        <v>0</v>
      </c>
      <c r="L45" s="987">
        <f>'Datos Gastos Fijos'!M26*(1+$B$4)</f>
        <v>0</v>
      </c>
      <c r="M45" s="987">
        <f>'Datos Gastos Fijos'!N26*(1+$B$4)</f>
        <v>0</v>
      </c>
      <c r="N45" s="987">
        <f>'Datos Gastos Fijos'!O26*(1+$B$4)</f>
        <v>0</v>
      </c>
      <c r="O45" s="987">
        <f t="shared" si="7"/>
        <v>0</v>
      </c>
      <c r="P45" s="805">
        <f t="shared" si="1"/>
        <v>0</v>
      </c>
    </row>
    <row r="46" spans="1:16" ht="18" thickBot="1" x14ac:dyDescent="0.35">
      <c r="A46" s="825" t="s">
        <v>25</v>
      </c>
      <c r="B46" s="638"/>
      <c r="C46" s="468">
        <f>SUM(C27:C45)</f>
        <v>0</v>
      </c>
      <c r="D46" s="638">
        <f t="shared" ref="D46:O46" si="8">SUM(D27:D45)</f>
        <v>0</v>
      </c>
      <c r="E46" s="638">
        <f t="shared" si="8"/>
        <v>0</v>
      </c>
      <c r="F46" s="638">
        <f t="shared" si="8"/>
        <v>0</v>
      </c>
      <c r="G46" s="638">
        <f t="shared" si="8"/>
        <v>0</v>
      </c>
      <c r="H46" s="638">
        <f t="shared" si="8"/>
        <v>0</v>
      </c>
      <c r="I46" s="638">
        <f t="shared" si="8"/>
        <v>0</v>
      </c>
      <c r="J46" s="638">
        <f t="shared" si="8"/>
        <v>0</v>
      </c>
      <c r="K46" s="638">
        <f t="shared" si="8"/>
        <v>0</v>
      </c>
      <c r="L46" s="638">
        <f t="shared" si="8"/>
        <v>0</v>
      </c>
      <c r="M46" s="638">
        <f t="shared" si="8"/>
        <v>0</v>
      </c>
      <c r="N46" s="638">
        <f t="shared" si="8"/>
        <v>0</v>
      </c>
      <c r="O46" s="638">
        <f t="shared" si="8"/>
        <v>0</v>
      </c>
      <c r="P46" s="820">
        <f>O46/$O$48</f>
        <v>0</v>
      </c>
    </row>
    <row r="47" spans="1:16" ht="18.75" thickTop="1" thickBot="1" x14ac:dyDescent="0.35">
      <c r="A47" s="446"/>
      <c r="B47" s="826"/>
      <c r="C47" s="827"/>
      <c r="D47" s="827"/>
      <c r="E47" s="827"/>
      <c r="F47" s="827"/>
      <c r="G47" s="827"/>
      <c r="H47" s="827"/>
      <c r="I47" s="827"/>
      <c r="J47" s="827"/>
      <c r="K47" s="827"/>
      <c r="L47" s="827"/>
      <c r="M47" s="827"/>
      <c r="N47" s="827"/>
      <c r="O47" s="828"/>
      <c r="P47" s="829"/>
    </row>
    <row r="48" spans="1:16" ht="18" thickBot="1" x14ac:dyDescent="0.35">
      <c r="B48" s="830" t="s">
        <v>865</v>
      </c>
      <c r="C48" s="831">
        <f>C24+C46</f>
        <v>1358.5600000000002</v>
      </c>
      <c r="D48" s="831">
        <f t="shared" ref="D48:O48" si="9">D24+D46</f>
        <v>1358.5600000000002</v>
      </c>
      <c r="E48" s="831">
        <f t="shared" si="9"/>
        <v>1358.5600000000002</v>
      </c>
      <c r="F48" s="832">
        <f t="shared" si="9"/>
        <v>1358.5600000000002</v>
      </c>
      <c r="G48" s="832">
        <f t="shared" si="9"/>
        <v>1358.5600000000002</v>
      </c>
      <c r="H48" s="832">
        <f t="shared" si="9"/>
        <v>1358.5600000000002</v>
      </c>
      <c r="I48" s="832">
        <f t="shared" si="9"/>
        <v>1358.5600000000002</v>
      </c>
      <c r="J48" s="832">
        <f t="shared" si="9"/>
        <v>1358.5600000000002</v>
      </c>
      <c r="K48" s="832">
        <f t="shared" si="9"/>
        <v>1358.5600000000002</v>
      </c>
      <c r="L48" s="832">
        <f t="shared" si="9"/>
        <v>1358.5600000000002</v>
      </c>
      <c r="M48" s="832">
        <f t="shared" si="9"/>
        <v>1358.5600000000002</v>
      </c>
      <c r="N48" s="832">
        <f t="shared" si="9"/>
        <v>1358.5600000000002</v>
      </c>
      <c r="O48" s="832">
        <f t="shared" si="9"/>
        <v>16302.72</v>
      </c>
      <c r="P48" s="833">
        <f>O48/$O$48</f>
        <v>1</v>
      </c>
    </row>
    <row r="49" spans="1:15" ht="16.5" customHeight="1" thickTop="1" thickBot="1" x14ac:dyDescent="0.35">
      <c r="F49" s="834"/>
      <c r="G49" s="834"/>
      <c r="H49" s="834"/>
      <c r="I49" s="834"/>
      <c r="J49" s="834"/>
      <c r="K49" s="834"/>
      <c r="L49" s="834"/>
      <c r="M49" s="834"/>
      <c r="N49" s="834"/>
      <c r="O49" s="834"/>
    </row>
    <row r="50" spans="1:15" ht="18.75" thickTop="1" thickBot="1" x14ac:dyDescent="0.35">
      <c r="A50" s="835" t="s">
        <v>957</v>
      </c>
      <c r="B50" s="836">
        <f>Parametros!$F$33</f>
        <v>0.21</v>
      </c>
      <c r="C50" s="837">
        <f t="shared" ref="C50:N50" si="10">$B50*SUM(C31:C45)</f>
        <v>0</v>
      </c>
      <c r="D50" s="837">
        <f t="shared" si="10"/>
        <v>0</v>
      </c>
      <c r="E50" s="837">
        <f t="shared" si="10"/>
        <v>0</v>
      </c>
      <c r="F50" s="838">
        <f t="shared" si="10"/>
        <v>0</v>
      </c>
      <c r="G50" s="838">
        <f t="shared" si="10"/>
        <v>0</v>
      </c>
      <c r="H50" s="838">
        <f t="shared" si="10"/>
        <v>0</v>
      </c>
      <c r="I50" s="838">
        <f t="shared" si="10"/>
        <v>0</v>
      </c>
      <c r="J50" s="838">
        <f t="shared" si="10"/>
        <v>0</v>
      </c>
      <c r="K50" s="838">
        <f t="shared" si="10"/>
        <v>0</v>
      </c>
      <c r="L50" s="838">
        <f t="shared" si="10"/>
        <v>0</v>
      </c>
      <c r="M50" s="838">
        <f t="shared" si="10"/>
        <v>0</v>
      </c>
      <c r="N50" s="838">
        <f t="shared" si="10"/>
        <v>0</v>
      </c>
      <c r="O50" s="839">
        <f>SUM(C50:N50)</f>
        <v>0</v>
      </c>
    </row>
    <row r="51" spans="1:15" ht="18" thickTop="1" x14ac:dyDescent="0.3"/>
  </sheetData>
  <sheetProtection sheet="1" objects="1" scenarios="1" formatCells="0" formatColumns="0"/>
  <phoneticPr fontId="13" type="noConversion"/>
  <conditionalFormatting sqref="C9:N9 C11:N12 C14:N16 C18:N19 C21:N22">
    <cfRule type="expression" dxfId="25" priority="2" stopIfTrue="1">
      <formula>C9=""</formula>
    </cfRule>
  </conditionalFormatting>
  <conditionalFormatting sqref="C27:N45">
    <cfRule type="expression" dxfId="24" priority="1" stopIfTrue="1">
      <formula>C$9=""</formula>
    </cfRule>
  </conditionalFormatting>
  <printOptions horizontalCentered="1"/>
  <pageMargins left="0.75" right="0.75" top="0.42" bottom="0.52" header="0" footer="0"/>
  <pageSetup paperSize="9" scale="62" orientation="landscape" horizontalDpi="30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Hoja25">
    <tabColor rgb="FF7CC9D0"/>
    <pageSetUpPr fitToPage="1"/>
  </sheetPr>
  <dimension ref="A1:P51"/>
  <sheetViews>
    <sheetView showGridLines="0" workbookViewId="0"/>
  </sheetViews>
  <sheetFormatPr baseColWidth="10" defaultRowHeight="17.25" x14ac:dyDescent="0.3"/>
  <cols>
    <col min="1" max="1" width="26.75" style="307" bestFit="1" customWidth="1"/>
    <col min="2" max="2" width="9.25" style="307" customWidth="1"/>
    <col min="3" max="3" width="11.125" style="307" bestFit="1" customWidth="1"/>
    <col min="4" max="4" width="11.625" style="307" customWidth="1"/>
    <col min="5" max="5" width="11.125" style="307" bestFit="1" customWidth="1"/>
    <col min="6" max="6" width="12.75" style="307" customWidth="1"/>
    <col min="7" max="7" width="12.875" style="307" customWidth="1"/>
    <col min="8" max="10" width="11.125" style="307" bestFit="1" customWidth="1"/>
    <col min="11" max="11" width="11.75" style="307" bestFit="1" customWidth="1"/>
    <col min="12" max="14" width="11.125" style="307" bestFit="1" customWidth="1"/>
    <col min="15" max="15" width="12" style="307" bestFit="1" customWidth="1"/>
    <col min="16" max="16" width="8.625" style="307" customWidth="1"/>
    <col min="17" max="16384" width="11" style="307"/>
  </cols>
  <sheetData>
    <row r="1" spans="1:16" ht="27.75" x14ac:dyDescent="0.45">
      <c r="A1" s="408" t="s">
        <v>456</v>
      </c>
      <c r="B1" s="445"/>
      <c r="C1" s="446"/>
      <c r="D1" s="446"/>
      <c r="E1" s="446"/>
      <c r="G1" s="948">
        <f>'Datos Básicos'!D16</f>
        <v>2</v>
      </c>
      <c r="H1" s="470">
        <f>'Datos Básicos'!D17</f>
        <v>2028</v>
      </c>
    </row>
    <row r="2" spans="1:16" ht="27.75" x14ac:dyDescent="0.45">
      <c r="A2" s="408">
        <f>'Datos Básicos'!B8</f>
        <v>0</v>
      </c>
      <c r="B2" s="445"/>
      <c r="C2" s="446"/>
      <c r="D2" s="446"/>
      <c r="E2" s="446"/>
      <c r="F2" s="446"/>
      <c r="G2" s="446"/>
      <c r="H2" s="446"/>
    </row>
    <row r="3" spans="1:16" x14ac:dyDescent="0.3">
      <c r="D3" s="446"/>
      <c r="E3" s="446"/>
      <c r="F3" s="446"/>
      <c r="G3" s="446"/>
      <c r="H3" s="446"/>
    </row>
    <row r="4" spans="1:16" x14ac:dyDescent="0.3">
      <c r="A4" s="794" t="s">
        <v>478</v>
      </c>
      <c r="B4" s="986">
        <f>Parametros!D14</f>
        <v>0.02</v>
      </c>
      <c r="C4" s="398"/>
      <c r="D4" s="398"/>
      <c r="E4" s="398"/>
      <c r="F4" s="398"/>
      <c r="G4" s="398"/>
      <c r="H4" s="398"/>
    </row>
    <row r="5" spans="1:16" x14ac:dyDescent="0.3">
      <c r="B5" s="398"/>
      <c r="C5" s="398"/>
      <c r="D5" s="398"/>
      <c r="E5" s="398"/>
      <c r="F5" s="398"/>
      <c r="G5" s="398"/>
      <c r="H5" s="398"/>
    </row>
    <row r="6" spans="1:16" ht="18" thickBot="1" x14ac:dyDescent="0.35">
      <c r="C6" s="446"/>
      <c r="D6" s="446"/>
      <c r="E6" s="446"/>
      <c r="F6" s="446"/>
      <c r="G6" s="446"/>
      <c r="H6" s="446"/>
    </row>
    <row r="7" spans="1:16" ht="18.75" thickTop="1" thickBot="1" x14ac:dyDescent="0.35">
      <c r="B7" s="795" t="s">
        <v>958</v>
      </c>
      <c r="C7" s="447" t="str">
        <f>'Datos Gastos Fijos'!D7</f>
        <v>enero</v>
      </c>
      <c r="D7" s="447" t="str">
        <f>'Datos Gastos Fijos'!E7</f>
        <v>febrero</v>
      </c>
      <c r="E7" s="447" t="str">
        <f>'Datos Gastos Fijos'!F7</f>
        <v>marzo</v>
      </c>
      <c r="F7" s="447" t="str">
        <f>'Datos Gastos Fijos'!G7</f>
        <v>abril</v>
      </c>
      <c r="G7" s="447" t="str">
        <f>'Datos Gastos Fijos'!H7</f>
        <v>mayo</v>
      </c>
      <c r="H7" s="447" t="str">
        <f>'Datos Gastos Fijos'!I7</f>
        <v>junio</v>
      </c>
      <c r="I7" s="447" t="str">
        <f>'Datos Gastos Fijos'!J7</f>
        <v>julio</v>
      </c>
      <c r="J7" s="447" t="str">
        <f>'Datos Gastos Fijos'!K7</f>
        <v>agosto</v>
      </c>
      <c r="K7" s="447" t="str">
        <f>'Datos Gastos Fijos'!L7</f>
        <v>septiembre</v>
      </c>
      <c r="L7" s="447" t="str">
        <f>'Datos Gastos Fijos'!M7</f>
        <v>octubre</v>
      </c>
      <c r="M7" s="447" t="str">
        <f>'Datos Gastos Fijos'!N7</f>
        <v>noviembre</v>
      </c>
      <c r="N7" s="447" t="str">
        <f>'Datos Gastos Fijos'!O7</f>
        <v>diciembre</v>
      </c>
      <c r="O7" s="447" t="s">
        <v>865</v>
      </c>
      <c r="P7" s="448" t="s">
        <v>886</v>
      </c>
    </row>
    <row r="8" spans="1:16" ht="18.75" thickTop="1" thickBot="1" x14ac:dyDescent="0.35">
      <c r="A8" s="796" t="s">
        <v>22</v>
      </c>
      <c r="B8" s="797"/>
      <c r="C8" s="797"/>
      <c r="D8" s="797"/>
      <c r="E8" s="797"/>
      <c r="F8" s="797"/>
      <c r="G8" s="797"/>
      <c r="H8" s="797"/>
      <c r="I8" s="797"/>
      <c r="J8" s="797"/>
      <c r="K8" s="797"/>
      <c r="L8" s="797"/>
      <c r="M8" s="797"/>
      <c r="N8" s="797"/>
      <c r="O8" s="637"/>
      <c r="P8" s="798"/>
    </row>
    <row r="9" spans="1:16" ht="18" thickBot="1" x14ac:dyDescent="0.35">
      <c r="A9" s="799" t="s">
        <v>722</v>
      </c>
      <c r="B9" s="410" t="s">
        <v>184</v>
      </c>
      <c r="C9" s="800">
        <f>Plantilla!C38</f>
        <v>1</v>
      </c>
      <c r="D9" s="800">
        <f>Plantilla!D38</f>
        <v>1</v>
      </c>
      <c r="E9" s="800">
        <f>Plantilla!E38</f>
        <v>1</v>
      </c>
      <c r="F9" s="800">
        <f>Plantilla!F38</f>
        <v>1</v>
      </c>
      <c r="G9" s="800">
        <f>Plantilla!G38</f>
        <v>1</v>
      </c>
      <c r="H9" s="800">
        <f>Plantilla!H38</f>
        <v>1</v>
      </c>
      <c r="I9" s="800">
        <f>Plantilla!I38</f>
        <v>1</v>
      </c>
      <c r="J9" s="800">
        <f>Plantilla!J38</f>
        <v>1</v>
      </c>
      <c r="K9" s="800">
        <f>Plantilla!K38</f>
        <v>1</v>
      </c>
      <c r="L9" s="800">
        <f>Plantilla!L38</f>
        <v>1</v>
      </c>
      <c r="M9" s="800">
        <f>Plantilla!M38</f>
        <v>1</v>
      </c>
      <c r="N9" s="800">
        <f>Plantilla!N38</f>
        <v>1</v>
      </c>
      <c r="O9" s="801">
        <f>AVERAGE(C9:N9)</f>
        <v>1</v>
      </c>
      <c r="P9" s="798"/>
    </row>
    <row r="10" spans="1:16" ht="18" thickBot="1" x14ac:dyDescent="0.35">
      <c r="A10" s="799"/>
      <c r="B10" s="802"/>
      <c r="C10" s="803"/>
      <c r="D10" s="803"/>
      <c r="E10" s="803"/>
      <c r="F10" s="803"/>
      <c r="G10" s="803"/>
      <c r="H10" s="803"/>
      <c r="I10" s="803"/>
      <c r="J10" s="803"/>
      <c r="K10" s="803"/>
      <c r="L10" s="803"/>
      <c r="M10" s="803"/>
      <c r="N10" s="803"/>
      <c r="O10" s="804"/>
      <c r="P10" s="805"/>
    </row>
    <row r="11" spans="1:16" ht="18" thickBot="1" x14ac:dyDescent="0.35">
      <c r="A11" s="799" t="s">
        <v>723</v>
      </c>
      <c r="B11" s="806">
        <f>'RR HH'!D15</f>
        <v>1320.6336000000001</v>
      </c>
      <c r="C11" s="642">
        <f>$B11*C9</f>
        <v>1320.6336000000001</v>
      </c>
      <c r="D11" s="642">
        <f t="shared" ref="D11:N11" si="0">$B11*D9</f>
        <v>1320.6336000000001</v>
      </c>
      <c r="E11" s="642">
        <f t="shared" si="0"/>
        <v>1320.6336000000001</v>
      </c>
      <c r="F11" s="642">
        <f t="shared" si="0"/>
        <v>1320.6336000000001</v>
      </c>
      <c r="G11" s="642">
        <f t="shared" si="0"/>
        <v>1320.6336000000001</v>
      </c>
      <c r="H11" s="642">
        <f t="shared" si="0"/>
        <v>1320.6336000000001</v>
      </c>
      <c r="I11" s="642">
        <f t="shared" si="0"/>
        <v>1320.6336000000001</v>
      </c>
      <c r="J11" s="642">
        <f t="shared" si="0"/>
        <v>1320.6336000000001</v>
      </c>
      <c r="K11" s="642">
        <f t="shared" si="0"/>
        <v>1320.6336000000001</v>
      </c>
      <c r="L11" s="642">
        <f t="shared" si="0"/>
        <v>1320.6336000000001</v>
      </c>
      <c r="M11" s="642">
        <f t="shared" si="0"/>
        <v>1320.6336000000001</v>
      </c>
      <c r="N11" s="642">
        <f t="shared" si="0"/>
        <v>1320.6336000000001</v>
      </c>
      <c r="O11" s="642">
        <f t="shared" ref="O11:O30" si="1">SUM(C11:N11)</f>
        <v>15847.603200000005</v>
      </c>
      <c r="P11" s="805">
        <f t="shared" ref="P11:P45" si="2">O11/$O$48</f>
        <v>0.86513058252478081</v>
      </c>
    </row>
    <row r="12" spans="1:16" ht="18" thickBot="1" x14ac:dyDescent="0.35">
      <c r="A12" s="799" t="s">
        <v>724</v>
      </c>
      <c r="B12" s="807">
        <f>'RR HH'!D22</f>
        <v>0.8</v>
      </c>
      <c r="C12" s="642">
        <v>0</v>
      </c>
      <c r="D12" s="642">
        <f>IF(E9="","",IF('RR HH'!$B$20=6,$B11*E9*$B12,0))</f>
        <v>0</v>
      </c>
      <c r="E12" s="642">
        <f>IF(F9="","",IF('RR HH'!$B$20=4,$B11*F9*$B12,0))</f>
        <v>0</v>
      </c>
      <c r="F12" s="642">
        <f>IF(G9="","",IF(OR('RR HH'!$B$20=3,'RR HH'!$B$20=6),$B11*G9*$B12,0))</f>
        <v>0</v>
      </c>
      <c r="G12" s="642">
        <v>0</v>
      </c>
      <c r="H12" s="642">
        <f>IF(I9="","",IF(OR('RR HH'!$B$20=2,'RR HH'!$B$20=4,'RR HH'!$B$20=6),$B11*I9*$B12,0))</f>
        <v>0</v>
      </c>
      <c r="I12" s="642">
        <v>0</v>
      </c>
      <c r="J12" s="642">
        <f>IF(K9="","",IF(OR('RR HH'!$B$20=3,'RR HH'!$B$20=6),$B11*K9*$B12,0))</f>
        <v>0</v>
      </c>
      <c r="K12" s="642">
        <f>IF(L9="","",IF('RR HH'!$B$20=4,$B11*L9*$B12,0))</f>
        <v>0</v>
      </c>
      <c r="L12" s="642">
        <f>IF(M9="","",IF('RR HH'!$B$20=6,$B11*M9*$B12,0))</f>
        <v>0</v>
      </c>
      <c r="M12" s="642">
        <v>0</v>
      </c>
      <c r="N12" s="642">
        <f>IF(O9="","",IF(OR('RR HH'!$B$20=1,'RR HH'!$B$20=2,'RR HH'!$B$20=3,'RR HH'!$B$20=4,'RR HH'!$B$20=6),$B11*O9*$B12,0))</f>
        <v>0</v>
      </c>
      <c r="O12" s="642">
        <f t="shared" si="1"/>
        <v>0</v>
      </c>
      <c r="P12" s="805">
        <f t="shared" si="2"/>
        <v>0</v>
      </c>
    </row>
    <row r="13" spans="1:16" ht="18" thickBot="1" x14ac:dyDescent="0.35">
      <c r="A13" s="808"/>
      <c r="B13" s="637"/>
      <c r="C13" s="797"/>
      <c r="D13" s="797"/>
      <c r="E13" s="797"/>
      <c r="F13" s="797"/>
      <c r="G13" s="797"/>
      <c r="H13" s="797"/>
      <c r="I13" s="797"/>
      <c r="J13" s="797"/>
      <c r="K13" s="797"/>
      <c r="L13" s="797"/>
      <c r="M13" s="797"/>
      <c r="N13" s="797"/>
      <c r="O13" s="637"/>
      <c r="P13" s="805"/>
    </row>
    <row r="14" spans="1:16" ht="18" thickBot="1" x14ac:dyDescent="0.35">
      <c r="A14" s="799" t="s">
        <v>23</v>
      </c>
      <c r="B14" s="809"/>
      <c r="C14" s="800">
        <f>Plantilla!C39</f>
        <v>0</v>
      </c>
      <c r="D14" s="800">
        <f>Plantilla!D39</f>
        <v>0</v>
      </c>
      <c r="E14" s="800">
        <f>Plantilla!E39</f>
        <v>0</v>
      </c>
      <c r="F14" s="800">
        <f>Plantilla!F39</f>
        <v>0</v>
      </c>
      <c r="G14" s="800">
        <f>Plantilla!G39</f>
        <v>0</v>
      </c>
      <c r="H14" s="800">
        <f>Plantilla!H39</f>
        <v>0</v>
      </c>
      <c r="I14" s="800">
        <f>Plantilla!I39</f>
        <v>0</v>
      </c>
      <c r="J14" s="800">
        <f>Plantilla!J39</f>
        <v>0</v>
      </c>
      <c r="K14" s="800">
        <f>Plantilla!K39</f>
        <v>0</v>
      </c>
      <c r="L14" s="800">
        <f>Plantilla!L39</f>
        <v>0</v>
      </c>
      <c r="M14" s="800">
        <f>Plantilla!M39</f>
        <v>0</v>
      </c>
      <c r="N14" s="800">
        <f>Plantilla!N39</f>
        <v>0</v>
      </c>
      <c r="O14" s="801">
        <f>AVERAGE(C14:N14)</f>
        <v>0</v>
      </c>
      <c r="P14" s="805"/>
    </row>
    <row r="15" spans="1:16" ht="18" thickBot="1" x14ac:dyDescent="0.35">
      <c r="A15" s="799" t="s">
        <v>725</v>
      </c>
      <c r="B15" s="810">
        <f>'RR HH'!D16</f>
        <v>0</v>
      </c>
      <c r="C15" s="636">
        <f>$B15*C14</f>
        <v>0</v>
      </c>
      <c r="D15" s="636">
        <f t="shared" ref="D15:N15" si="3">$B15*D14</f>
        <v>0</v>
      </c>
      <c r="E15" s="636">
        <f t="shared" si="3"/>
        <v>0</v>
      </c>
      <c r="F15" s="636">
        <f t="shared" si="3"/>
        <v>0</v>
      </c>
      <c r="G15" s="642">
        <f t="shared" si="3"/>
        <v>0</v>
      </c>
      <c r="H15" s="642">
        <f t="shared" si="3"/>
        <v>0</v>
      </c>
      <c r="I15" s="642">
        <f t="shared" si="3"/>
        <v>0</v>
      </c>
      <c r="J15" s="642">
        <f t="shared" si="3"/>
        <v>0</v>
      </c>
      <c r="K15" s="642">
        <f t="shared" si="3"/>
        <v>0</v>
      </c>
      <c r="L15" s="642">
        <f t="shared" si="3"/>
        <v>0</v>
      </c>
      <c r="M15" s="642">
        <f t="shared" si="3"/>
        <v>0</v>
      </c>
      <c r="N15" s="642">
        <f t="shared" si="3"/>
        <v>0</v>
      </c>
      <c r="O15" s="642">
        <f t="shared" si="1"/>
        <v>0</v>
      </c>
      <c r="P15" s="805">
        <f t="shared" si="2"/>
        <v>0</v>
      </c>
    </row>
    <row r="16" spans="1:16" ht="18" thickBot="1" x14ac:dyDescent="0.35">
      <c r="A16" s="799" t="s">
        <v>726</v>
      </c>
      <c r="B16" s="807">
        <f>'RR HH'!D23</f>
        <v>0.8</v>
      </c>
      <c r="C16" s="636">
        <v>0</v>
      </c>
      <c r="D16" s="636">
        <f>IF(E14="","",IF('RR HH'!$D$21=6,$B15*E14*$B16,0))</f>
        <v>0</v>
      </c>
      <c r="E16" s="636">
        <f>IF(F14="","",IF('RR HH'!$D$21=4,$B15*F14*$B16,0))</f>
        <v>0</v>
      </c>
      <c r="F16" s="636">
        <f>IF(G14="","",IF(OR('RR HH'!$D$21=3,'RR HH'!$D$21=6),$B15*G14*$B16,0))</f>
        <v>0</v>
      </c>
      <c r="G16" s="642">
        <v>0</v>
      </c>
      <c r="H16" s="642">
        <f>IF(I14="","",IF(OR('RR HH'!$D$21=2,'RR HH'!$D$21=4,'RR HH'!$D$21=6),$B15*I14*$B16,0))</f>
        <v>0</v>
      </c>
      <c r="I16" s="642">
        <v>0</v>
      </c>
      <c r="J16" s="642">
        <f>IF(K14="","",IF(OR('RR HH'!$D$21=3,'RR HH'!$D$21=6),$B15*K14*$B16,0))</f>
        <v>0</v>
      </c>
      <c r="K16" s="642">
        <f>IF(L14="","",IF('RR HH'!$D$21=4,$B15*L14*$B16,0))</f>
        <v>0</v>
      </c>
      <c r="L16" s="642">
        <f>IF(M14="","",IF('RR HH'!$D$21=6,$B15*M14*$B16,0))</f>
        <v>0</v>
      </c>
      <c r="M16" s="642">
        <v>0</v>
      </c>
      <c r="N16" s="642">
        <f>IF(O14="","",IF(OR('RR HH'!$D$21=1,'RR HH'!$D$21=2,'RR HH'!$D$21=3,'RR HH'!$D$21=4,'RR HH'!$D$21=6),$B15*O14*$B16,0))</f>
        <v>0</v>
      </c>
      <c r="O16" s="642">
        <f t="shared" si="1"/>
        <v>0</v>
      </c>
      <c r="P16" s="805">
        <f t="shared" si="2"/>
        <v>0</v>
      </c>
    </row>
    <row r="17" spans="1:16" ht="18" thickBot="1" x14ac:dyDescent="0.35">
      <c r="A17" s="808"/>
      <c r="B17" s="637"/>
      <c r="C17" s="811"/>
      <c r="D17" s="811"/>
      <c r="E17" s="811"/>
      <c r="F17" s="811"/>
      <c r="G17" s="811"/>
      <c r="H17" s="811"/>
      <c r="I17" s="811"/>
      <c r="J17" s="811"/>
      <c r="K17" s="811"/>
      <c r="L17" s="811"/>
      <c r="M17" s="811"/>
      <c r="N17" s="811"/>
      <c r="O17" s="637"/>
      <c r="P17" s="805"/>
    </row>
    <row r="18" spans="1:16" ht="18" thickBot="1" x14ac:dyDescent="0.35">
      <c r="A18" s="812" t="s">
        <v>727</v>
      </c>
      <c r="B18" s="807">
        <f>'RR HH'!$D$27</f>
        <v>0.32</v>
      </c>
      <c r="C18" s="642">
        <f>$B18*C15</f>
        <v>0</v>
      </c>
      <c r="D18" s="642">
        <f t="shared" ref="D18:N18" si="4">$B18*D15</f>
        <v>0</v>
      </c>
      <c r="E18" s="642">
        <f t="shared" si="4"/>
        <v>0</v>
      </c>
      <c r="F18" s="642">
        <f t="shared" si="4"/>
        <v>0</v>
      </c>
      <c r="G18" s="642">
        <f t="shared" si="4"/>
        <v>0</v>
      </c>
      <c r="H18" s="642">
        <f t="shared" si="4"/>
        <v>0</v>
      </c>
      <c r="I18" s="642">
        <f t="shared" si="4"/>
        <v>0</v>
      </c>
      <c r="J18" s="642">
        <f t="shared" si="4"/>
        <v>0</v>
      </c>
      <c r="K18" s="642">
        <f t="shared" si="4"/>
        <v>0</v>
      </c>
      <c r="L18" s="642">
        <f t="shared" si="4"/>
        <v>0</v>
      </c>
      <c r="M18" s="642">
        <f t="shared" si="4"/>
        <v>0</v>
      </c>
      <c r="N18" s="642">
        <f t="shared" si="4"/>
        <v>0</v>
      </c>
      <c r="O18" s="642">
        <f t="shared" si="1"/>
        <v>0</v>
      </c>
      <c r="P18" s="805">
        <f t="shared" si="2"/>
        <v>0</v>
      </c>
    </row>
    <row r="19" spans="1:16" ht="18" thickBot="1" x14ac:dyDescent="0.35">
      <c r="A19" s="812" t="s">
        <v>728</v>
      </c>
      <c r="B19" s="810">
        <f>'RR HH'!$D$28</f>
        <v>205.88</v>
      </c>
      <c r="C19" s="642">
        <f>$B19*C9</f>
        <v>205.88</v>
      </c>
      <c r="D19" s="642">
        <f t="shared" ref="D19:N19" si="5">$B19*D9</f>
        <v>205.88</v>
      </c>
      <c r="E19" s="642">
        <f t="shared" si="5"/>
        <v>205.88</v>
      </c>
      <c r="F19" s="642">
        <f t="shared" si="5"/>
        <v>205.88</v>
      </c>
      <c r="G19" s="642">
        <f t="shared" si="5"/>
        <v>205.88</v>
      </c>
      <c r="H19" s="642">
        <f t="shared" si="5"/>
        <v>205.88</v>
      </c>
      <c r="I19" s="642">
        <f t="shared" si="5"/>
        <v>205.88</v>
      </c>
      <c r="J19" s="642">
        <f t="shared" si="5"/>
        <v>205.88</v>
      </c>
      <c r="K19" s="642">
        <f t="shared" si="5"/>
        <v>205.88</v>
      </c>
      <c r="L19" s="642">
        <f t="shared" si="5"/>
        <v>205.88</v>
      </c>
      <c r="M19" s="642">
        <f t="shared" si="5"/>
        <v>205.88</v>
      </c>
      <c r="N19" s="642">
        <f t="shared" si="5"/>
        <v>205.88</v>
      </c>
      <c r="O19" s="642">
        <f t="shared" si="1"/>
        <v>2470.5600000000009</v>
      </c>
      <c r="P19" s="805">
        <f t="shared" si="2"/>
        <v>0.13486941747521938</v>
      </c>
    </row>
    <row r="20" spans="1:16" ht="18" thickBot="1" x14ac:dyDescent="0.35">
      <c r="A20" s="694"/>
      <c r="B20" s="637"/>
      <c r="C20" s="797"/>
      <c r="D20" s="797"/>
      <c r="E20" s="797"/>
      <c r="F20" s="797"/>
      <c r="G20" s="797"/>
      <c r="H20" s="797"/>
      <c r="I20" s="797"/>
      <c r="J20" s="797"/>
      <c r="K20" s="797"/>
      <c r="L20" s="797"/>
      <c r="M20" s="797"/>
      <c r="N20" s="797"/>
      <c r="O20" s="637"/>
      <c r="P20" s="805"/>
    </row>
    <row r="21" spans="1:16" ht="18" thickBot="1" x14ac:dyDescent="0.35">
      <c r="A21" s="812" t="s">
        <v>729</v>
      </c>
      <c r="B21" s="813">
        <f>'G.F. 1'!B21*(1+$B$4)</f>
        <v>6.2423999999999999</v>
      </c>
      <c r="C21" s="642">
        <f>$B21*ABS(Plantilla!C33)</f>
        <v>0</v>
      </c>
      <c r="D21" s="642">
        <f>$B21*ABS(Plantilla!D33)</f>
        <v>0</v>
      </c>
      <c r="E21" s="642">
        <f>$B21*ABS(Plantilla!E33)</f>
        <v>0</v>
      </c>
      <c r="F21" s="642">
        <f>$B21*ABS(Plantilla!F33)</f>
        <v>0</v>
      </c>
      <c r="G21" s="642">
        <f>$B21*ABS(Plantilla!G33)</f>
        <v>0</v>
      </c>
      <c r="H21" s="642">
        <f>$B21*ABS(Plantilla!H33)</f>
        <v>0</v>
      </c>
      <c r="I21" s="642">
        <f>$B21*ABS(Plantilla!I33)</f>
        <v>0</v>
      </c>
      <c r="J21" s="642">
        <f>$B21*ABS(Plantilla!J33)</f>
        <v>0</v>
      </c>
      <c r="K21" s="642">
        <f>$B21*ABS(Plantilla!K33)</f>
        <v>0</v>
      </c>
      <c r="L21" s="642">
        <f>$B21*ABS(Plantilla!L33)</f>
        <v>0</v>
      </c>
      <c r="M21" s="642">
        <f>$B21*ABS(Plantilla!M33)</f>
        <v>0</v>
      </c>
      <c r="N21" s="642">
        <f>$B21*ABS(Plantilla!N33)</f>
        <v>0</v>
      </c>
      <c r="O21" s="642">
        <f>SUM(C21:N21)</f>
        <v>0</v>
      </c>
      <c r="P21" s="805">
        <f t="shared" si="2"/>
        <v>0</v>
      </c>
    </row>
    <row r="22" spans="1:16" ht="18" thickBot="1" x14ac:dyDescent="0.35">
      <c r="A22" s="812" t="s">
        <v>730</v>
      </c>
      <c r="B22" s="813">
        <f>'G.F. 1'!B22*(1+$B$4)</f>
        <v>18.7272</v>
      </c>
      <c r="C22" s="642">
        <f>$B22*ABS(Plantilla!C35)</f>
        <v>0</v>
      </c>
      <c r="D22" s="642">
        <f>$B22*ABS(Plantilla!D35)</f>
        <v>0</v>
      </c>
      <c r="E22" s="642">
        <f>$B22*ABS(Plantilla!E35)</f>
        <v>0</v>
      </c>
      <c r="F22" s="642">
        <f>$B22*ABS(Plantilla!F35)</f>
        <v>0</v>
      </c>
      <c r="G22" s="642">
        <f>$B22*ABS(Plantilla!G35)</f>
        <v>0</v>
      </c>
      <c r="H22" s="642">
        <f>$B22*ABS(Plantilla!H35)</f>
        <v>0</v>
      </c>
      <c r="I22" s="642">
        <f>$B22*ABS(Plantilla!I35)</f>
        <v>0</v>
      </c>
      <c r="J22" s="642">
        <f>$B22*ABS(Plantilla!J35)</f>
        <v>0</v>
      </c>
      <c r="K22" s="642">
        <f>$B22*ABS(Plantilla!K35)</f>
        <v>0</v>
      </c>
      <c r="L22" s="642">
        <f>$B22*ABS(Plantilla!L35)</f>
        <v>0</v>
      </c>
      <c r="M22" s="642">
        <f>$B22*ABS(Plantilla!M35)</f>
        <v>0</v>
      </c>
      <c r="N22" s="642">
        <f>$B22*ABS(Plantilla!N35)</f>
        <v>0</v>
      </c>
      <c r="O22" s="642">
        <f>SUM(C22:N22)</f>
        <v>0</v>
      </c>
      <c r="P22" s="805">
        <f t="shared" si="2"/>
        <v>0</v>
      </c>
    </row>
    <row r="23" spans="1:16" ht="18" thickBot="1" x14ac:dyDescent="0.35">
      <c r="A23" s="694"/>
      <c r="B23" s="814"/>
      <c r="C23" s="637"/>
      <c r="D23" s="797"/>
      <c r="E23" s="797"/>
      <c r="F23" s="797"/>
      <c r="G23" s="797"/>
      <c r="H23" s="797"/>
      <c r="I23" s="797"/>
      <c r="J23" s="797"/>
      <c r="K23" s="797"/>
      <c r="L23" s="797"/>
      <c r="M23" s="797"/>
      <c r="N23" s="797"/>
      <c r="O23" s="637"/>
      <c r="P23" s="805"/>
    </row>
    <row r="24" spans="1:16" ht="18" thickBot="1" x14ac:dyDescent="0.35">
      <c r="A24" s="815" t="s">
        <v>24</v>
      </c>
      <c r="B24" s="816"/>
      <c r="C24" s="817">
        <f>SUM(C11:C12,C15:C19,C21:C22)</f>
        <v>1526.5136000000002</v>
      </c>
      <c r="D24" s="818">
        <f t="shared" ref="D24:N24" si="6">SUM(D11:D12,D15:D19,D21:D22)</f>
        <v>1526.5136000000002</v>
      </c>
      <c r="E24" s="818">
        <f t="shared" si="6"/>
        <v>1526.5136000000002</v>
      </c>
      <c r="F24" s="818">
        <f>SUM(F11:F12,F15:F19,F21:F22)</f>
        <v>1526.5136000000002</v>
      </c>
      <c r="G24" s="819">
        <f t="shared" si="6"/>
        <v>1526.5136000000002</v>
      </c>
      <c r="H24" s="819">
        <f t="shared" si="6"/>
        <v>1526.5136000000002</v>
      </c>
      <c r="I24" s="819">
        <f>SUM(I11:I12,I15:I19,I21:I22)</f>
        <v>1526.5136000000002</v>
      </c>
      <c r="J24" s="819">
        <f t="shared" si="6"/>
        <v>1526.5136000000002</v>
      </c>
      <c r="K24" s="819">
        <f t="shared" si="6"/>
        <v>1526.5136000000002</v>
      </c>
      <c r="L24" s="819">
        <f>SUM(L11:L12,L15:L19,L21:L22)</f>
        <v>1526.5136000000002</v>
      </c>
      <c r="M24" s="819">
        <f t="shared" si="6"/>
        <v>1526.5136000000002</v>
      </c>
      <c r="N24" s="819">
        <f t="shared" si="6"/>
        <v>1526.5136000000002</v>
      </c>
      <c r="O24" s="468">
        <f>SUM(C24:N24)</f>
        <v>18318.163200000003</v>
      </c>
      <c r="P24" s="820">
        <f>O24/$O$48</f>
        <v>1</v>
      </c>
    </row>
    <row r="25" spans="1:16" ht="18" thickBot="1" x14ac:dyDescent="0.35">
      <c r="A25" s="694"/>
      <c r="B25" s="639"/>
      <c r="C25" s="639"/>
      <c r="D25" s="639"/>
      <c r="E25" s="639"/>
      <c r="F25" s="639"/>
      <c r="G25" s="639"/>
      <c r="H25" s="639"/>
      <c r="I25" s="639"/>
      <c r="J25" s="639"/>
      <c r="K25" s="639"/>
      <c r="L25" s="639"/>
      <c r="M25" s="639"/>
      <c r="N25" s="639"/>
      <c r="O25" s="639"/>
      <c r="P25" s="821"/>
    </row>
    <row r="26" spans="1:16" ht="18.75" thickTop="1" thickBot="1" x14ac:dyDescent="0.35">
      <c r="A26" s="822" t="s">
        <v>985</v>
      </c>
      <c r="B26" s="795" t="s">
        <v>958</v>
      </c>
      <c r="C26" s="447" t="str">
        <f t="shared" ref="C26:N26" si="7">C7</f>
        <v>enero</v>
      </c>
      <c r="D26" s="447" t="str">
        <f t="shared" si="7"/>
        <v>febrero</v>
      </c>
      <c r="E26" s="447" t="str">
        <f t="shared" si="7"/>
        <v>marzo</v>
      </c>
      <c r="F26" s="447" t="str">
        <f t="shared" si="7"/>
        <v>abril</v>
      </c>
      <c r="G26" s="447" t="str">
        <f t="shared" si="7"/>
        <v>mayo</v>
      </c>
      <c r="H26" s="447" t="str">
        <f t="shared" si="7"/>
        <v>junio</v>
      </c>
      <c r="I26" s="447" t="str">
        <f t="shared" si="7"/>
        <v>julio</v>
      </c>
      <c r="J26" s="447" t="str">
        <f t="shared" si="7"/>
        <v>agosto</v>
      </c>
      <c r="K26" s="447" t="str">
        <f t="shared" si="7"/>
        <v>septiembre</v>
      </c>
      <c r="L26" s="447" t="str">
        <f t="shared" si="7"/>
        <v>octubre</v>
      </c>
      <c r="M26" s="447" t="str">
        <f t="shared" si="7"/>
        <v>noviembre</v>
      </c>
      <c r="N26" s="447" t="str">
        <f t="shared" si="7"/>
        <v>diciembre</v>
      </c>
      <c r="O26" s="447" t="s">
        <v>865</v>
      </c>
      <c r="P26" s="823" t="s">
        <v>886</v>
      </c>
    </row>
    <row r="27" spans="1:16" ht="18" thickBot="1" x14ac:dyDescent="0.35">
      <c r="A27" s="824" t="str">
        <f>'G.F. 0'!A27</f>
        <v>Tributos: IAE, IBI, ...</v>
      </c>
      <c r="B27" s="810">
        <f>'G.F. 1'!B27*(1+$B$4)</f>
        <v>0</v>
      </c>
      <c r="C27" s="987">
        <f>'Datos Gastos Fijos'!D8*(1+'G.F. 1'!$B$4)*(1+$B$4)</f>
        <v>0</v>
      </c>
      <c r="D27" s="987">
        <f>'Datos Gastos Fijos'!E8*(1+'G.F. 1'!$B$4)*(1+$B$4)</f>
        <v>0</v>
      </c>
      <c r="E27" s="987">
        <f>'Datos Gastos Fijos'!F8*(1+'G.F. 1'!$B$4)*(1+$B$4)</f>
        <v>0</v>
      </c>
      <c r="F27" s="987">
        <f>'Datos Gastos Fijos'!G8*(1+'G.F. 1'!$B$4)*(1+$B$4)</f>
        <v>0</v>
      </c>
      <c r="G27" s="987">
        <f>'Datos Gastos Fijos'!H8*(1+'G.F. 1'!$B$4)*(1+$B$4)</f>
        <v>0</v>
      </c>
      <c r="H27" s="987">
        <f>'Datos Gastos Fijos'!I8*(1+'G.F. 1'!$B$4)*(1+$B$4)</f>
        <v>0</v>
      </c>
      <c r="I27" s="987">
        <f>'Datos Gastos Fijos'!J8*(1+'G.F. 1'!$B$4)*(1+$B$4)</f>
        <v>0</v>
      </c>
      <c r="J27" s="987">
        <f>'Datos Gastos Fijos'!K8*(1+'G.F. 1'!$B$4)*(1+$B$4)</f>
        <v>0</v>
      </c>
      <c r="K27" s="987">
        <f>'Datos Gastos Fijos'!L8*(1+'G.F. 1'!$B$4)*(1+$B$4)</f>
        <v>0</v>
      </c>
      <c r="L27" s="987">
        <f>'Datos Gastos Fijos'!M8*(1+'G.F. 1'!$B$4)*(1+$B$4)</f>
        <v>0</v>
      </c>
      <c r="M27" s="987">
        <f>'Datos Gastos Fijos'!N8*(1+'G.F. 1'!$B$4)*(1+$B$4)</f>
        <v>0</v>
      </c>
      <c r="N27" s="987">
        <f>'Datos Gastos Fijos'!O8*(1+'G.F. 1'!$B$4)*(1+$B$4)</f>
        <v>0</v>
      </c>
      <c r="O27" s="987">
        <f t="shared" si="1"/>
        <v>0</v>
      </c>
      <c r="P27" s="805">
        <f t="shared" si="2"/>
        <v>0</v>
      </c>
    </row>
    <row r="28" spans="1:16" ht="18" thickBot="1" x14ac:dyDescent="0.35">
      <c r="A28" s="824" t="str">
        <f>'G.F. 0'!A28</f>
        <v>Otras gastos fijos (SIN IVA)</v>
      </c>
      <c r="B28" s="810">
        <f>'G.F. 1'!B28*(1+$B$4)</f>
        <v>0</v>
      </c>
      <c r="C28" s="987">
        <f>'Datos Gastos Fijos'!D9*(1+'G.F. 1'!$B$4)*(1+$B$4)</f>
        <v>0</v>
      </c>
      <c r="D28" s="987">
        <f>'Datos Gastos Fijos'!E9*(1+'G.F. 1'!$B$4)*(1+$B$4)</f>
        <v>0</v>
      </c>
      <c r="E28" s="987">
        <f>'Datos Gastos Fijos'!F9*(1+'G.F. 1'!$B$4)*(1+$B$4)</f>
        <v>0</v>
      </c>
      <c r="F28" s="987">
        <f>'Datos Gastos Fijos'!G9*(1+'G.F. 1'!$B$4)*(1+$B$4)</f>
        <v>0</v>
      </c>
      <c r="G28" s="987">
        <f>'Datos Gastos Fijos'!H9*(1+'G.F. 1'!$B$4)*(1+$B$4)</f>
        <v>0</v>
      </c>
      <c r="H28" s="987">
        <f>'Datos Gastos Fijos'!I9*(1+'G.F. 1'!$B$4)*(1+$B$4)</f>
        <v>0</v>
      </c>
      <c r="I28" s="987">
        <f>'Datos Gastos Fijos'!J9*(1+'G.F. 1'!$B$4)*(1+$B$4)</f>
        <v>0</v>
      </c>
      <c r="J28" s="987">
        <f>'Datos Gastos Fijos'!K9*(1+'G.F. 1'!$B$4)*(1+$B$4)</f>
        <v>0</v>
      </c>
      <c r="K28" s="987">
        <f>'Datos Gastos Fijos'!L9*(1+'G.F. 1'!$B$4)*(1+$B$4)</f>
        <v>0</v>
      </c>
      <c r="L28" s="987">
        <f>'Datos Gastos Fijos'!M9*(1+'G.F. 1'!$B$4)*(1+$B$4)</f>
        <v>0</v>
      </c>
      <c r="M28" s="987">
        <f>'Datos Gastos Fijos'!N9*(1+'G.F. 1'!$B$4)*(1+$B$4)</f>
        <v>0</v>
      </c>
      <c r="N28" s="987">
        <f>'Datos Gastos Fijos'!O9*(1+'G.F. 1'!$B$4)*(1+$B$4)</f>
        <v>0</v>
      </c>
      <c r="O28" s="987">
        <f t="shared" si="1"/>
        <v>0</v>
      </c>
      <c r="P28" s="805">
        <f t="shared" si="2"/>
        <v>0</v>
      </c>
    </row>
    <row r="29" spans="1:16" ht="18" thickBot="1" x14ac:dyDescent="0.35">
      <c r="A29" s="824" t="str">
        <f>'G.F. 0'!A29</f>
        <v>Primas de Seguros</v>
      </c>
      <c r="B29" s="810">
        <f>'G.F. 1'!B29*(1+$B$4)</f>
        <v>0</v>
      </c>
      <c r="C29" s="987">
        <f>'Datos Gastos Fijos'!D10*(1+'G.F. 1'!$B$4)*(1+$B$4)</f>
        <v>0</v>
      </c>
      <c r="D29" s="987">
        <f>'Datos Gastos Fijos'!E10*(1+'G.F. 1'!$B$4)*(1+$B$4)</f>
        <v>0</v>
      </c>
      <c r="E29" s="987">
        <f>'Datos Gastos Fijos'!F10*(1+'G.F. 1'!$B$4)*(1+$B$4)</f>
        <v>0</v>
      </c>
      <c r="F29" s="987">
        <f>'Datos Gastos Fijos'!G10*(1+'G.F. 1'!$B$4)*(1+$B$4)</f>
        <v>0</v>
      </c>
      <c r="G29" s="987">
        <f>'Datos Gastos Fijos'!H10*(1+'G.F. 1'!$B$4)*(1+$B$4)</f>
        <v>0</v>
      </c>
      <c r="H29" s="987">
        <f>'Datos Gastos Fijos'!I10*(1+'G.F. 1'!$B$4)*(1+$B$4)</f>
        <v>0</v>
      </c>
      <c r="I29" s="987">
        <f>'Datos Gastos Fijos'!J10*(1+'G.F. 1'!$B$4)*(1+$B$4)</f>
        <v>0</v>
      </c>
      <c r="J29" s="987">
        <f>'Datos Gastos Fijos'!K10*(1+'G.F. 1'!$B$4)*(1+$B$4)</f>
        <v>0</v>
      </c>
      <c r="K29" s="987">
        <f>'Datos Gastos Fijos'!L10*(1+'G.F. 1'!$B$4)*(1+$B$4)</f>
        <v>0</v>
      </c>
      <c r="L29" s="987">
        <f>'Datos Gastos Fijos'!M10*(1+'G.F. 1'!$B$4)*(1+$B$4)</f>
        <v>0</v>
      </c>
      <c r="M29" s="987">
        <f>'Datos Gastos Fijos'!N10*(1+'G.F. 1'!$B$4)*(1+$B$4)</f>
        <v>0</v>
      </c>
      <c r="N29" s="987">
        <f>'Datos Gastos Fijos'!O10*(1+'G.F. 1'!$B$4)*(1+$B$4)</f>
        <v>0</v>
      </c>
      <c r="O29" s="987">
        <f t="shared" si="1"/>
        <v>0</v>
      </c>
      <c r="P29" s="805">
        <f t="shared" si="2"/>
        <v>0</v>
      </c>
    </row>
    <row r="30" spans="1:16" ht="18" thickBot="1" x14ac:dyDescent="0.35">
      <c r="A30" s="824" t="str">
        <f>'G.F. 0'!A30</f>
        <v>Colegio/ Asociación profesional</v>
      </c>
      <c r="B30" s="810">
        <f>'G.F. 1'!B30*(1+$B$4)</f>
        <v>0</v>
      </c>
      <c r="C30" s="987">
        <f>'Datos Gastos Fijos'!D11*(1+'G.F. 1'!$B$4)*(1+$B$4)</f>
        <v>0</v>
      </c>
      <c r="D30" s="987">
        <f>'Datos Gastos Fijos'!E11*(1+'G.F. 1'!$B$4)*(1+$B$4)</f>
        <v>0</v>
      </c>
      <c r="E30" s="987">
        <f>'Datos Gastos Fijos'!F11*(1+'G.F. 1'!$B$4)*(1+$B$4)</f>
        <v>0</v>
      </c>
      <c r="F30" s="987">
        <f>'Datos Gastos Fijos'!G11*(1+'G.F. 1'!$B$4)*(1+$B$4)</f>
        <v>0</v>
      </c>
      <c r="G30" s="987">
        <f>'Datos Gastos Fijos'!H11*(1+'G.F. 1'!$B$4)*(1+$B$4)</f>
        <v>0</v>
      </c>
      <c r="H30" s="987">
        <f>'Datos Gastos Fijos'!I11*(1+'G.F. 1'!$B$4)*(1+$B$4)</f>
        <v>0</v>
      </c>
      <c r="I30" s="987">
        <f>'Datos Gastos Fijos'!J11*(1+'G.F. 1'!$B$4)*(1+$B$4)</f>
        <v>0</v>
      </c>
      <c r="J30" s="987">
        <f>'Datos Gastos Fijos'!K11*(1+'G.F. 1'!$B$4)*(1+$B$4)</f>
        <v>0</v>
      </c>
      <c r="K30" s="987">
        <f>'Datos Gastos Fijos'!L11*(1+'G.F. 1'!$B$4)*(1+$B$4)</f>
        <v>0</v>
      </c>
      <c r="L30" s="987">
        <f>'Datos Gastos Fijos'!M11*(1+'G.F. 1'!$B$4)*(1+$B$4)</f>
        <v>0</v>
      </c>
      <c r="M30" s="987">
        <f>'Datos Gastos Fijos'!N11*(1+'G.F. 1'!$B$4)*(1+$B$4)</f>
        <v>0</v>
      </c>
      <c r="N30" s="987">
        <f>'Datos Gastos Fijos'!O11*(1+'G.F. 1'!$B$4)*(1+$B$4)</f>
        <v>0</v>
      </c>
      <c r="O30" s="987">
        <f t="shared" si="1"/>
        <v>0</v>
      </c>
      <c r="P30" s="805">
        <f t="shared" si="2"/>
        <v>0</v>
      </c>
    </row>
    <row r="31" spans="1:16" ht="18" thickBot="1" x14ac:dyDescent="0.35">
      <c r="A31" s="824" t="str">
        <f>'G.F. 0'!A31</f>
        <v>Electricidad</v>
      </c>
      <c r="B31" s="810">
        <f>'G.F. 1'!B31*(1+$B$4)</f>
        <v>0</v>
      </c>
      <c r="C31" s="987">
        <f>'Datos Gastos Fijos'!D12*(1+'G.F. 1'!$B$4)*(1+$B$4)</f>
        <v>0</v>
      </c>
      <c r="D31" s="987">
        <f>'Datos Gastos Fijos'!E12*(1+'G.F. 1'!$B$4)*(1+$B$4)</f>
        <v>0</v>
      </c>
      <c r="E31" s="987">
        <f>'Datos Gastos Fijos'!F12*(1+'G.F. 1'!$B$4)*(1+$B$4)</f>
        <v>0</v>
      </c>
      <c r="F31" s="987">
        <f>'Datos Gastos Fijos'!G12*(1+'G.F. 1'!$B$4)*(1+$B$4)</f>
        <v>0</v>
      </c>
      <c r="G31" s="987">
        <f>'Datos Gastos Fijos'!H12*(1+'G.F. 1'!$B$4)*(1+$B$4)</f>
        <v>0</v>
      </c>
      <c r="H31" s="987">
        <f>'Datos Gastos Fijos'!I12*(1+'G.F. 1'!$B$4)*(1+$B$4)</f>
        <v>0</v>
      </c>
      <c r="I31" s="987">
        <f>'Datos Gastos Fijos'!J12*(1+'G.F. 1'!$B$4)*(1+$B$4)</f>
        <v>0</v>
      </c>
      <c r="J31" s="987">
        <f>'Datos Gastos Fijos'!K12*(1+'G.F. 1'!$B$4)*(1+$B$4)</f>
        <v>0</v>
      </c>
      <c r="K31" s="987">
        <f>'Datos Gastos Fijos'!L12*(1+'G.F. 1'!$B$4)*(1+$B$4)</f>
        <v>0</v>
      </c>
      <c r="L31" s="987">
        <f>'Datos Gastos Fijos'!M12*(1+'G.F. 1'!$B$4)*(1+$B$4)</f>
        <v>0</v>
      </c>
      <c r="M31" s="987">
        <f>'Datos Gastos Fijos'!N12*(1+'G.F. 1'!$B$4)*(1+$B$4)</f>
        <v>0</v>
      </c>
      <c r="N31" s="987">
        <f>'Datos Gastos Fijos'!O12*(1+'G.F. 1'!$B$4)*(1+$B$4)</f>
        <v>0</v>
      </c>
      <c r="O31" s="987">
        <f t="shared" ref="O31:O45" si="8">SUM(C31:N31)</f>
        <v>0</v>
      </c>
      <c r="P31" s="805">
        <f t="shared" si="2"/>
        <v>0</v>
      </c>
    </row>
    <row r="32" spans="1:16" ht="18" thickBot="1" x14ac:dyDescent="0.35">
      <c r="A32" s="824" t="str">
        <f>'G.F. 0'!A32</f>
        <v>Otros suministros (agua, gas, etc.)</v>
      </c>
      <c r="B32" s="810">
        <f>'G.F. 1'!B32*(1+$B$4)</f>
        <v>0</v>
      </c>
      <c r="C32" s="987">
        <f>'Datos Gastos Fijos'!D13*(1+'G.F. 1'!$B$4)*(1+$B$4)</f>
        <v>0</v>
      </c>
      <c r="D32" s="987">
        <f>'Datos Gastos Fijos'!E13*(1+'G.F. 1'!$B$4)*(1+$B$4)</f>
        <v>0</v>
      </c>
      <c r="E32" s="987">
        <f>'Datos Gastos Fijos'!F13*(1+'G.F. 1'!$B$4)*(1+$B$4)</f>
        <v>0</v>
      </c>
      <c r="F32" s="987">
        <f>'Datos Gastos Fijos'!G13*(1+'G.F. 1'!$B$4)*(1+$B$4)</f>
        <v>0</v>
      </c>
      <c r="G32" s="987">
        <f>'Datos Gastos Fijos'!H13*(1+'G.F. 1'!$B$4)*(1+$B$4)</f>
        <v>0</v>
      </c>
      <c r="H32" s="987">
        <f>'Datos Gastos Fijos'!I13*(1+'G.F. 1'!$B$4)*(1+$B$4)</f>
        <v>0</v>
      </c>
      <c r="I32" s="987">
        <f>'Datos Gastos Fijos'!J13*(1+'G.F. 1'!$B$4)*(1+$B$4)</f>
        <v>0</v>
      </c>
      <c r="J32" s="987">
        <f>'Datos Gastos Fijos'!K13*(1+'G.F. 1'!$B$4)*(1+$B$4)</f>
        <v>0</v>
      </c>
      <c r="K32" s="987">
        <f>'Datos Gastos Fijos'!L13*(1+'G.F. 1'!$B$4)*(1+$B$4)</f>
        <v>0</v>
      </c>
      <c r="L32" s="987">
        <f>'Datos Gastos Fijos'!M13*(1+'G.F. 1'!$B$4)*(1+$B$4)</f>
        <v>0</v>
      </c>
      <c r="M32" s="987">
        <f>'Datos Gastos Fijos'!N13*(1+'G.F. 1'!$B$4)*(1+$B$4)</f>
        <v>0</v>
      </c>
      <c r="N32" s="987">
        <f>'Datos Gastos Fijos'!O13*(1+'G.F. 1'!$B$4)*(1+$B$4)</f>
        <v>0</v>
      </c>
      <c r="O32" s="987">
        <f t="shared" si="8"/>
        <v>0</v>
      </c>
      <c r="P32" s="805">
        <f t="shared" si="2"/>
        <v>0</v>
      </c>
    </row>
    <row r="33" spans="1:16" ht="18" thickBot="1" x14ac:dyDescent="0.35">
      <c r="A33" s="824" t="str">
        <f>'G.F. 0'!A33</f>
        <v>Teléfono</v>
      </c>
      <c r="B33" s="810">
        <f>'G.F. 1'!B33*(1+$B$4)</f>
        <v>0</v>
      </c>
      <c r="C33" s="987">
        <f>'Datos Gastos Fijos'!D14*(1+'G.F. 1'!$B$4)*(1+$B$4)</f>
        <v>0</v>
      </c>
      <c r="D33" s="987">
        <f>'Datos Gastos Fijos'!E14*(1+'G.F. 1'!$B$4)*(1+$B$4)</f>
        <v>0</v>
      </c>
      <c r="E33" s="987">
        <f>'Datos Gastos Fijos'!F14*(1+'G.F. 1'!$B$4)*(1+$B$4)</f>
        <v>0</v>
      </c>
      <c r="F33" s="987">
        <f>'Datos Gastos Fijos'!G14*(1+'G.F. 1'!$B$4)*(1+$B$4)</f>
        <v>0</v>
      </c>
      <c r="G33" s="987">
        <f>'Datos Gastos Fijos'!H14*(1+'G.F. 1'!$B$4)*(1+$B$4)</f>
        <v>0</v>
      </c>
      <c r="H33" s="987">
        <f>'Datos Gastos Fijos'!I14*(1+'G.F. 1'!$B$4)*(1+$B$4)</f>
        <v>0</v>
      </c>
      <c r="I33" s="987">
        <f>'Datos Gastos Fijos'!J14*(1+'G.F. 1'!$B$4)*(1+$B$4)</f>
        <v>0</v>
      </c>
      <c r="J33" s="987">
        <f>'Datos Gastos Fijos'!K14*(1+'G.F. 1'!$B$4)*(1+$B$4)</f>
        <v>0</v>
      </c>
      <c r="K33" s="987">
        <f>'Datos Gastos Fijos'!L14*(1+'G.F. 1'!$B$4)*(1+$B$4)</f>
        <v>0</v>
      </c>
      <c r="L33" s="987">
        <f>'Datos Gastos Fijos'!M14*(1+'G.F. 1'!$B$4)*(1+$B$4)</f>
        <v>0</v>
      </c>
      <c r="M33" s="987">
        <f>'Datos Gastos Fijos'!N14*(1+'G.F. 1'!$B$4)*(1+$B$4)</f>
        <v>0</v>
      </c>
      <c r="N33" s="987">
        <f>'Datos Gastos Fijos'!O14*(1+'G.F. 1'!$B$4)*(1+$B$4)</f>
        <v>0</v>
      </c>
      <c r="O33" s="987">
        <f t="shared" si="8"/>
        <v>0</v>
      </c>
      <c r="P33" s="805">
        <f t="shared" si="2"/>
        <v>0</v>
      </c>
    </row>
    <row r="34" spans="1:16" ht="18" thickBot="1" x14ac:dyDescent="0.35">
      <c r="A34" s="824" t="str">
        <f>'G.F. 0'!A34</f>
        <v>Teléfono móviles</v>
      </c>
      <c r="B34" s="810">
        <f>'G.F. 1'!B34*(1+$B$4)</f>
        <v>0</v>
      </c>
      <c r="C34" s="987">
        <f>'Datos Gastos Fijos'!D15*(1+'G.F. 1'!$B$4)*(1+$B$4)</f>
        <v>0</v>
      </c>
      <c r="D34" s="987">
        <f>'Datos Gastos Fijos'!E15*(1+'G.F. 1'!$B$4)*(1+$B$4)</f>
        <v>0</v>
      </c>
      <c r="E34" s="987">
        <f>'Datos Gastos Fijos'!F15*(1+'G.F. 1'!$B$4)*(1+$B$4)</f>
        <v>0</v>
      </c>
      <c r="F34" s="987">
        <f>'Datos Gastos Fijos'!G15*(1+'G.F. 1'!$B$4)*(1+$B$4)</f>
        <v>0</v>
      </c>
      <c r="G34" s="987">
        <f>'Datos Gastos Fijos'!H15*(1+'G.F. 1'!$B$4)*(1+$B$4)</f>
        <v>0</v>
      </c>
      <c r="H34" s="987">
        <f>'Datos Gastos Fijos'!I15*(1+'G.F. 1'!$B$4)*(1+$B$4)</f>
        <v>0</v>
      </c>
      <c r="I34" s="987">
        <f>'Datos Gastos Fijos'!J15*(1+'G.F. 1'!$B$4)*(1+$B$4)</f>
        <v>0</v>
      </c>
      <c r="J34" s="987">
        <f>'Datos Gastos Fijos'!K15*(1+'G.F. 1'!$B$4)*(1+$B$4)</f>
        <v>0</v>
      </c>
      <c r="K34" s="987">
        <f>'Datos Gastos Fijos'!L15*(1+'G.F. 1'!$B$4)*(1+$B$4)</f>
        <v>0</v>
      </c>
      <c r="L34" s="987">
        <f>'Datos Gastos Fijos'!M15*(1+'G.F. 1'!$B$4)*(1+$B$4)</f>
        <v>0</v>
      </c>
      <c r="M34" s="987">
        <f>'Datos Gastos Fijos'!N15*(1+'G.F. 1'!$B$4)*(1+$B$4)</f>
        <v>0</v>
      </c>
      <c r="N34" s="987">
        <f>'Datos Gastos Fijos'!O15*(1+'G.F. 1'!$B$4)*(1+$B$4)</f>
        <v>0</v>
      </c>
      <c r="O34" s="987">
        <f t="shared" si="8"/>
        <v>0</v>
      </c>
      <c r="P34" s="805">
        <f t="shared" si="2"/>
        <v>0</v>
      </c>
    </row>
    <row r="35" spans="1:16" ht="18" thickBot="1" x14ac:dyDescent="0.35">
      <c r="A35" s="824" t="str">
        <f>'Datos Gastos Fijos'!A16</f>
        <v>Conexión a Internet (tarifa plana)</v>
      </c>
      <c r="B35" s="810">
        <f>'G.F. 1'!B35*(1+$B$4)</f>
        <v>0</v>
      </c>
      <c r="C35" s="987">
        <f>'Datos Gastos Fijos'!D16*(1+'G.F. 1'!$B$4)*(1+$B$4)</f>
        <v>0</v>
      </c>
      <c r="D35" s="987">
        <f>'Datos Gastos Fijos'!E16*(1+'G.F. 1'!$B$4)*(1+$B$4)</f>
        <v>0</v>
      </c>
      <c r="E35" s="987">
        <f>'Datos Gastos Fijos'!F16*(1+'G.F. 1'!$B$4)*(1+$B$4)</f>
        <v>0</v>
      </c>
      <c r="F35" s="987">
        <f>'Datos Gastos Fijos'!G16*(1+'G.F. 1'!$B$4)*(1+$B$4)</f>
        <v>0</v>
      </c>
      <c r="G35" s="987">
        <f>'Datos Gastos Fijos'!H16*(1+'G.F. 1'!$B$4)*(1+$B$4)</f>
        <v>0</v>
      </c>
      <c r="H35" s="987">
        <f>'Datos Gastos Fijos'!I16*(1+'G.F. 1'!$B$4)*(1+$B$4)</f>
        <v>0</v>
      </c>
      <c r="I35" s="987">
        <f>'Datos Gastos Fijos'!J16*(1+'G.F. 1'!$B$4)*(1+$B$4)</f>
        <v>0</v>
      </c>
      <c r="J35" s="987">
        <f>'Datos Gastos Fijos'!K16*(1+'G.F. 1'!$B$4)*(1+$B$4)</f>
        <v>0</v>
      </c>
      <c r="K35" s="987">
        <f>'Datos Gastos Fijos'!L16*(1+'G.F. 1'!$B$4)*(1+$B$4)</f>
        <v>0</v>
      </c>
      <c r="L35" s="987">
        <f>'Datos Gastos Fijos'!M16*(1+'G.F. 1'!$B$4)*(1+$B$4)</f>
        <v>0</v>
      </c>
      <c r="M35" s="987">
        <f>'Datos Gastos Fijos'!N16*(1+'G.F. 1'!$B$4)*(1+$B$4)</f>
        <v>0</v>
      </c>
      <c r="N35" s="987">
        <f>'Datos Gastos Fijos'!O16*(1+'G.F. 1'!$B$4)*(1+$B$4)</f>
        <v>0</v>
      </c>
      <c r="O35" s="987">
        <f>SUM(C35:N35)</f>
        <v>0</v>
      </c>
      <c r="P35" s="805">
        <f>O35/$O$48</f>
        <v>0</v>
      </c>
    </row>
    <row r="36" spans="1:16" ht="18" thickBot="1" x14ac:dyDescent="0.35">
      <c r="A36" s="824" t="str">
        <f>'Datos Gastos Fijos'!A17</f>
        <v>Página Web (Host, mantenimiento, etc)</v>
      </c>
      <c r="B36" s="810">
        <f>'G.F. 1'!B36*(1+$B$4)</f>
        <v>0</v>
      </c>
      <c r="C36" s="987">
        <f>'Datos Gastos Fijos'!D17*(1+'G.F. 1'!$B$4)*(1+$B$4)</f>
        <v>0</v>
      </c>
      <c r="D36" s="987">
        <f>'Datos Gastos Fijos'!E17*(1+'G.F. 1'!$B$4)*(1+$B$4)</f>
        <v>0</v>
      </c>
      <c r="E36" s="987">
        <f>'Datos Gastos Fijos'!F17*(1+'G.F. 1'!$B$4)*(1+$B$4)</f>
        <v>0</v>
      </c>
      <c r="F36" s="987">
        <f>'Datos Gastos Fijos'!G17*(1+'G.F. 1'!$B$4)*(1+$B$4)</f>
        <v>0</v>
      </c>
      <c r="G36" s="987">
        <f>'Datos Gastos Fijos'!H17*(1+'G.F. 1'!$B$4)*(1+$B$4)</f>
        <v>0</v>
      </c>
      <c r="H36" s="987">
        <f>'Datos Gastos Fijos'!I17*(1+'G.F. 1'!$B$4)*(1+$B$4)</f>
        <v>0</v>
      </c>
      <c r="I36" s="987">
        <f>'Datos Gastos Fijos'!J17*(1+'G.F. 1'!$B$4)*(1+$B$4)</f>
        <v>0</v>
      </c>
      <c r="J36" s="987">
        <f>'Datos Gastos Fijos'!K17*(1+'G.F. 1'!$B$4)*(1+$B$4)</f>
        <v>0</v>
      </c>
      <c r="K36" s="987">
        <f>'Datos Gastos Fijos'!L17*(1+'G.F. 1'!$B$4)*(1+$B$4)</f>
        <v>0</v>
      </c>
      <c r="L36" s="987">
        <f>'Datos Gastos Fijos'!M17*(1+'G.F. 1'!$B$4)*(1+$B$4)</f>
        <v>0</v>
      </c>
      <c r="M36" s="987">
        <f>'Datos Gastos Fijos'!N17*(1+'G.F. 1'!$B$4)*(1+$B$4)</f>
        <v>0</v>
      </c>
      <c r="N36" s="987">
        <f>'Datos Gastos Fijos'!O17*(1+'G.F. 1'!$B$4)*(1+$B$4)</f>
        <v>0</v>
      </c>
      <c r="O36" s="987">
        <f>SUM(C36:N36)</f>
        <v>0</v>
      </c>
      <c r="P36" s="805">
        <f>O36/$O$48</f>
        <v>0</v>
      </c>
    </row>
    <row r="37" spans="1:16" ht="18" thickBot="1" x14ac:dyDescent="0.35">
      <c r="A37" s="824" t="str">
        <f>'Datos Gastos Fijos'!A18</f>
        <v>Compañía de seguridad / Alarma</v>
      </c>
      <c r="B37" s="810">
        <f>'G.F. 1'!B37*(1+$B$4)</f>
        <v>0</v>
      </c>
      <c r="C37" s="987">
        <f>'Datos Gastos Fijos'!D18*(1+'G.F. 1'!$B$4)*(1+$B$4)</f>
        <v>0</v>
      </c>
      <c r="D37" s="987">
        <f>'Datos Gastos Fijos'!E18*(1+'G.F. 1'!$B$4)*(1+$B$4)</f>
        <v>0</v>
      </c>
      <c r="E37" s="987">
        <f>'Datos Gastos Fijos'!F18*(1+'G.F. 1'!$B$4)*(1+$B$4)</f>
        <v>0</v>
      </c>
      <c r="F37" s="987">
        <f>'Datos Gastos Fijos'!G18*(1+'G.F. 1'!$B$4)*(1+$B$4)</f>
        <v>0</v>
      </c>
      <c r="G37" s="987">
        <f>'Datos Gastos Fijos'!H18*(1+'G.F. 1'!$B$4)*(1+$B$4)</f>
        <v>0</v>
      </c>
      <c r="H37" s="987">
        <f>'Datos Gastos Fijos'!I18*(1+'G.F. 1'!$B$4)*(1+$B$4)</f>
        <v>0</v>
      </c>
      <c r="I37" s="987">
        <f>'Datos Gastos Fijos'!J18*(1+'G.F. 1'!$B$4)*(1+$B$4)</f>
        <v>0</v>
      </c>
      <c r="J37" s="987">
        <f>'Datos Gastos Fijos'!K18*(1+'G.F. 1'!$B$4)*(1+$B$4)</f>
        <v>0</v>
      </c>
      <c r="K37" s="987">
        <f>'Datos Gastos Fijos'!L18*(1+'G.F. 1'!$B$4)*(1+$B$4)</f>
        <v>0</v>
      </c>
      <c r="L37" s="987">
        <f>'Datos Gastos Fijos'!M18*(1+'G.F. 1'!$B$4)*(1+$B$4)</f>
        <v>0</v>
      </c>
      <c r="M37" s="987">
        <f>'Datos Gastos Fijos'!N18*(1+'G.F. 1'!$B$4)*(1+$B$4)</f>
        <v>0</v>
      </c>
      <c r="N37" s="987">
        <f>'Datos Gastos Fijos'!O18*(1+'G.F. 1'!$B$4)*(1+$B$4)</f>
        <v>0</v>
      </c>
      <c r="O37" s="987">
        <f>SUM(C37:N37)</f>
        <v>0</v>
      </c>
      <c r="P37" s="805">
        <f>O37/$O$48</f>
        <v>0</v>
      </c>
    </row>
    <row r="38" spans="1:16" ht="18" thickBot="1" x14ac:dyDescent="0.35">
      <c r="A38" s="824" t="str">
        <f>'G.F. 0'!A38</f>
        <v>Material de oficina</v>
      </c>
      <c r="B38" s="810">
        <f>'G.F. 1'!B38*(1+$B$4)</f>
        <v>0</v>
      </c>
      <c r="C38" s="987">
        <f>'Datos Gastos Fijos'!D19*(1+'G.F. 1'!$B$4)*(1+$B$4)</f>
        <v>0</v>
      </c>
      <c r="D38" s="987">
        <f>'Datos Gastos Fijos'!E19*(1+'G.F. 1'!$B$4)*(1+$B$4)</f>
        <v>0</v>
      </c>
      <c r="E38" s="987">
        <f>'Datos Gastos Fijos'!F19*(1+'G.F. 1'!$B$4)*(1+$B$4)</f>
        <v>0</v>
      </c>
      <c r="F38" s="987">
        <f>'Datos Gastos Fijos'!G19*(1+'G.F. 1'!$B$4)*(1+$B$4)</f>
        <v>0</v>
      </c>
      <c r="G38" s="987">
        <f>'Datos Gastos Fijos'!H19*(1+'G.F. 1'!$B$4)*(1+$B$4)</f>
        <v>0</v>
      </c>
      <c r="H38" s="987">
        <f>'Datos Gastos Fijos'!I19*(1+'G.F. 1'!$B$4)*(1+$B$4)</f>
        <v>0</v>
      </c>
      <c r="I38" s="987">
        <f>'Datos Gastos Fijos'!J19*(1+'G.F. 1'!$B$4)*(1+$B$4)</f>
        <v>0</v>
      </c>
      <c r="J38" s="987">
        <f>'Datos Gastos Fijos'!K19*(1+'G.F. 1'!$B$4)*(1+$B$4)</f>
        <v>0</v>
      </c>
      <c r="K38" s="987">
        <f>'Datos Gastos Fijos'!L19*(1+'G.F. 1'!$B$4)*(1+$B$4)</f>
        <v>0</v>
      </c>
      <c r="L38" s="987">
        <f>'Datos Gastos Fijos'!M19*(1+'G.F. 1'!$B$4)*(1+$B$4)</f>
        <v>0</v>
      </c>
      <c r="M38" s="987">
        <f>'Datos Gastos Fijos'!N19*(1+'G.F. 1'!$B$4)*(1+$B$4)</f>
        <v>0</v>
      </c>
      <c r="N38" s="987">
        <f>'Datos Gastos Fijos'!O19*(1+'G.F. 1'!$B$4)*(1+$B$4)</f>
        <v>0</v>
      </c>
      <c r="O38" s="987">
        <f t="shared" si="8"/>
        <v>0</v>
      </c>
      <c r="P38" s="805">
        <f t="shared" si="2"/>
        <v>0</v>
      </c>
    </row>
    <row r="39" spans="1:16" ht="18" thickBot="1" x14ac:dyDescent="0.35">
      <c r="A39" s="824" t="str">
        <f>'G.F. 0'!A39</f>
        <v>Publicidad y propaganda</v>
      </c>
      <c r="B39" s="810">
        <f>'G.F. 1'!B39*(1+$B$4)</f>
        <v>0</v>
      </c>
      <c r="C39" s="987">
        <f>'Datos Gastos Fijos'!D20*(1+'G.F. 1'!$B$4)*(1+$B$4)</f>
        <v>0</v>
      </c>
      <c r="D39" s="987">
        <f>'Datos Gastos Fijos'!E20*(1+'G.F. 1'!$B$4)*(1+$B$4)</f>
        <v>0</v>
      </c>
      <c r="E39" s="987">
        <f>'Datos Gastos Fijos'!F20*(1+'G.F. 1'!$B$4)*(1+$B$4)</f>
        <v>0</v>
      </c>
      <c r="F39" s="987">
        <f>'Datos Gastos Fijos'!G20*(1+'G.F. 1'!$B$4)*(1+$B$4)</f>
        <v>0</v>
      </c>
      <c r="G39" s="987">
        <f>'Datos Gastos Fijos'!H20*(1+'G.F. 1'!$B$4)*(1+$B$4)</f>
        <v>0</v>
      </c>
      <c r="H39" s="987">
        <f>'Datos Gastos Fijos'!I20*(1+'G.F. 1'!$B$4)*(1+$B$4)</f>
        <v>0</v>
      </c>
      <c r="I39" s="987">
        <f>'Datos Gastos Fijos'!J20*(1+'G.F. 1'!$B$4)*(1+$B$4)</f>
        <v>0</v>
      </c>
      <c r="J39" s="987">
        <f>'Datos Gastos Fijos'!K20*(1+'G.F. 1'!$B$4)*(1+$B$4)</f>
        <v>0</v>
      </c>
      <c r="K39" s="987">
        <f>'Datos Gastos Fijos'!L20*(1+'G.F. 1'!$B$4)*(1+$B$4)</f>
        <v>0</v>
      </c>
      <c r="L39" s="987">
        <f>'Datos Gastos Fijos'!M20*(1+'G.F. 1'!$B$4)*(1+$B$4)</f>
        <v>0</v>
      </c>
      <c r="M39" s="987">
        <f>'Datos Gastos Fijos'!N20*(1+'G.F. 1'!$B$4)*(1+$B$4)</f>
        <v>0</v>
      </c>
      <c r="N39" s="987">
        <f>'Datos Gastos Fijos'!O20*(1+'G.F. 1'!$B$4)*(1+$B$4)</f>
        <v>0</v>
      </c>
      <c r="O39" s="987">
        <f t="shared" si="8"/>
        <v>0</v>
      </c>
      <c r="P39" s="805">
        <f t="shared" si="2"/>
        <v>0</v>
      </c>
    </row>
    <row r="40" spans="1:16" ht="18" thickBot="1" x14ac:dyDescent="0.35">
      <c r="A40" s="824" t="s">
        <v>41</v>
      </c>
      <c r="B40" s="810">
        <f>'G.F. 1'!B40*(1+$B$4)</f>
        <v>0</v>
      </c>
      <c r="C40" s="987">
        <f>'Datos Gastos Fijos'!D21*(1+'G.F. 1'!$B$4)*(1+$B$4)</f>
        <v>0</v>
      </c>
      <c r="D40" s="987">
        <f>'Datos Gastos Fijos'!E21*(1+'G.F. 1'!$B$4)*(1+$B$4)</f>
        <v>0</v>
      </c>
      <c r="E40" s="987">
        <f>'Datos Gastos Fijos'!F21*(1+'G.F. 1'!$B$4)*(1+$B$4)</f>
        <v>0</v>
      </c>
      <c r="F40" s="987">
        <f>'Datos Gastos Fijos'!G21*(1+'G.F. 1'!$B$4)*(1+$B$4)</f>
        <v>0</v>
      </c>
      <c r="G40" s="987">
        <f>'Datos Gastos Fijos'!H21*(1+'G.F. 1'!$B$4)*(1+$B$4)</f>
        <v>0</v>
      </c>
      <c r="H40" s="987">
        <f>'Datos Gastos Fijos'!I21*(1+'G.F. 1'!$B$4)*(1+$B$4)</f>
        <v>0</v>
      </c>
      <c r="I40" s="987">
        <f>'Datos Gastos Fijos'!J21*(1+'G.F. 1'!$B$4)*(1+$B$4)</f>
        <v>0</v>
      </c>
      <c r="J40" s="987">
        <f>'Datos Gastos Fijos'!K21*(1+'G.F. 1'!$B$4)*(1+$B$4)</f>
        <v>0</v>
      </c>
      <c r="K40" s="987">
        <f>'Datos Gastos Fijos'!L21*(1+'G.F. 1'!$B$4)*(1+$B$4)</f>
        <v>0</v>
      </c>
      <c r="L40" s="987">
        <f>'Datos Gastos Fijos'!M21*(1+'G.F. 1'!$B$4)*(1+$B$4)</f>
        <v>0</v>
      </c>
      <c r="M40" s="987">
        <f>'Datos Gastos Fijos'!N21*(1+'G.F. 1'!$B$4)*(1+$B$4)</f>
        <v>0</v>
      </c>
      <c r="N40" s="987">
        <f>'Datos Gastos Fijos'!O21*(1+'G.F. 1'!$B$4)*(1+$B$4)</f>
        <v>0</v>
      </c>
      <c r="O40" s="987">
        <f>SUM(C40:N40)</f>
        <v>0</v>
      </c>
      <c r="P40" s="805">
        <f t="shared" si="2"/>
        <v>0</v>
      </c>
    </row>
    <row r="41" spans="1:16" ht="18" thickBot="1" x14ac:dyDescent="0.35">
      <c r="A41" s="824" t="str">
        <f>'G.F. 0'!A41</f>
        <v>Asesoría</v>
      </c>
      <c r="B41" s="810">
        <f>'G.F. 1'!B41*(1+$B$4)</f>
        <v>0</v>
      </c>
      <c r="C41" s="987">
        <f>'Datos Gastos Fijos'!D22*(1+'G.F. 1'!$B$4)*(1+$B$4)</f>
        <v>0</v>
      </c>
      <c r="D41" s="987">
        <f>'Datos Gastos Fijos'!E22*(1+'G.F. 1'!$B$4)*(1+$B$4)</f>
        <v>0</v>
      </c>
      <c r="E41" s="987">
        <f>'Datos Gastos Fijos'!F22*(1+'G.F. 1'!$B$4)*(1+$B$4)</f>
        <v>0</v>
      </c>
      <c r="F41" s="987">
        <f>'Datos Gastos Fijos'!G22*(1+'G.F. 1'!$B$4)*(1+$B$4)</f>
        <v>0</v>
      </c>
      <c r="G41" s="987">
        <f>'Datos Gastos Fijos'!H22*(1+'G.F. 1'!$B$4)*(1+$B$4)</f>
        <v>0</v>
      </c>
      <c r="H41" s="987">
        <f>'Datos Gastos Fijos'!I22*(1+'G.F. 1'!$B$4)*(1+$B$4)</f>
        <v>0</v>
      </c>
      <c r="I41" s="987">
        <f>'Datos Gastos Fijos'!J22*(1+'G.F. 1'!$B$4)*(1+$B$4)</f>
        <v>0</v>
      </c>
      <c r="J41" s="987">
        <f>'Datos Gastos Fijos'!K22*(1+'G.F. 1'!$B$4)*(1+$B$4)</f>
        <v>0</v>
      </c>
      <c r="K41" s="987">
        <f>'Datos Gastos Fijos'!L22*(1+'G.F. 1'!$B$4)*(1+$B$4)</f>
        <v>0</v>
      </c>
      <c r="L41" s="987">
        <f>'Datos Gastos Fijos'!M22*(1+'G.F. 1'!$B$4)*(1+$B$4)</f>
        <v>0</v>
      </c>
      <c r="M41" s="987">
        <f>'Datos Gastos Fijos'!N22*(1+'G.F. 1'!$B$4)*(1+$B$4)</f>
        <v>0</v>
      </c>
      <c r="N41" s="987">
        <f>'Datos Gastos Fijos'!O22*(1+'G.F. 1'!$B$4)*(1+$B$4)</f>
        <v>0</v>
      </c>
      <c r="O41" s="987">
        <f t="shared" si="8"/>
        <v>0</v>
      </c>
      <c r="P41" s="805">
        <f t="shared" si="2"/>
        <v>0</v>
      </c>
    </row>
    <row r="42" spans="1:16" ht="18" thickBot="1" x14ac:dyDescent="0.35">
      <c r="A42" s="824" t="str">
        <f>'G.F. 0'!A42</f>
        <v>Arrendamientos</v>
      </c>
      <c r="B42" s="810">
        <f>'G.F. 1'!B42*(1+$B$4)</f>
        <v>0</v>
      </c>
      <c r="C42" s="987">
        <f>'Datos Gastos Fijos'!D23*(1+'G.F. 1'!$B$4)*(1+$B$4)</f>
        <v>0</v>
      </c>
      <c r="D42" s="987">
        <f>'Datos Gastos Fijos'!E23*(1+'G.F. 1'!$B$4)*(1+$B$4)</f>
        <v>0</v>
      </c>
      <c r="E42" s="987">
        <f>'Datos Gastos Fijos'!F23*(1+'G.F. 1'!$B$4)*(1+$B$4)</f>
        <v>0</v>
      </c>
      <c r="F42" s="987">
        <f>'Datos Gastos Fijos'!G23*(1+'G.F. 1'!$B$4)*(1+$B$4)</f>
        <v>0</v>
      </c>
      <c r="G42" s="987">
        <f>'Datos Gastos Fijos'!H23*(1+'G.F. 1'!$B$4)*(1+$B$4)</f>
        <v>0</v>
      </c>
      <c r="H42" s="987">
        <f>'Datos Gastos Fijos'!I23*(1+'G.F. 1'!$B$4)*(1+$B$4)</f>
        <v>0</v>
      </c>
      <c r="I42" s="987">
        <f>'Datos Gastos Fijos'!J23*(1+'G.F. 1'!$B$4)*(1+$B$4)</f>
        <v>0</v>
      </c>
      <c r="J42" s="987">
        <f>'Datos Gastos Fijos'!K23*(1+'G.F. 1'!$B$4)*(1+$B$4)</f>
        <v>0</v>
      </c>
      <c r="K42" s="987">
        <f>'Datos Gastos Fijos'!L23*(1+'G.F. 1'!$B$4)*(1+$B$4)</f>
        <v>0</v>
      </c>
      <c r="L42" s="987">
        <f>'Datos Gastos Fijos'!M23*(1+'G.F. 1'!$B$4)*(1+$B$4)</f>
        <v>0</v>
      </c>
      <c r="M42" s="987">
        <f>'Datos Gastos Fijos'!N23*(1+'G.F. 1'!$B$4)*(1+$B$4)</f>
        <v>0</v>
      </c>
      <c r="N42" s="987">
        <f>'Datos Gastos Fijos'!O23*(1+'G.F. 1'!$B$4)*(1+$B$4)</f>
        <v>0</v>
      </c>
      <c r="O42" s="987">
        <f t="shared" si="8"/>
        <v>0</v>
      </c>
      <c r="P42" s="805">
        <f t="shared" si="2"/>
        <v>0</v>
      </c>
    </row>
    <row r="43" spans="1:16" ht="18" thickBot="1" x14ac:dyDescent="0.35">
      <c r="A43" s="824" t="str">
        <f>'G.F. 0'!A43</f>
        <v>Transporte</v>
      </c>
      <c r="B43" s="810">
        <f>'G.F. 1'!B43*(1+$B$4)</f>
        <v>0</v>
      </c>
      <c r="C43" s="987">
        <f>'Datos Gastos Fijos'!D24*(1+'G.F. 1'!$B$4)*(1+$B$4)</f>
        <v>0</v>
      </c>
      <c r="D43" s="987">
        <f>'Datos Gastos Fijos'!E24*(1+'G.F. 1'!$B$4)*(1+$B$4)</f>
        <v>0</v>
      </c>
      <c r="E43" s="987">
        <f>'Datos Gastos Fijos'!F24*(1+'G.F. 1'!$B$4)*(1+$B$4)</f>
        <v>0</v>
      </c>
      <c r="F43" s="987">
        <f>'Datos Gastos Fijos'!G24*(1+'G.F. 1'!$B$4)*(1+$B$4)</f>
        <v>0</v>
      </c>
      <c r="G43" s="987">
        <f>'Datos Gastos Fijos'!H24*(1+'G.F. 1'!$B$4)*(1+$B$4)</f>
        <v>0</v>
      </c>
      <c r="H43" s="987">
        <f>'Datos Gastos Fijos'!I24*(1+'G.F. 1'!$B$4)*(1+$B$4)</f>
        <v>0</v>
      </c>
      <c r="I43" s="987">
        <f>'Datos Gastos Fijos'!J24*(1+'G.F. 1'!$B$4)*(1+$B$4)</f>
        <v>0</v>
      </c>
      <c r="J43" s="987">
        <f>'Datos Gastos Fijos'!K24*(1+'G.F. 1'!$B$4)*(1+$B$4)</f>
        <v>0</v>
      </c>
      <c r="K43" s="987">
        <f>'Datos Gastos Fijos'!L24*(1+'G.F. 1'!$B$4)*(1+$B$4)</f>
        <v>0</v>
      </c>
      <c r="L43" s="987">
        <f>'Datos Gastos Fijos'!M24*(1+'G.F. 1'!$B$4)*(1+$B$4)</f>
        <v>0</v>
      </c>
      <c r="M43" s="987">
        <f>'Datos Gastos Fijos'!N24*(1+'G.F. 1'!$B$4)*(1+$B$4)</f>
        <v>0</v>
      </c>
      <c r="N43" s="987">
        <f>'Datos Gastos Fijos'!O24*(1+'G.F. 1'!$B$4)*(1+$B$4)</f>
        <v>0</v>
      </c>
      <c r="O43" s="987">
        <f t="shared" si="8"/>
        <v>0</v>
      </c>
      <c r="P43" s="805">
        <f t="shared" si="2"/>
        <v>0</v>
      </c>
    </row>
    <row r="44" spans="1:16" ht="18" thickBot="1" x14ac:dyDescent="0.35">
      <c r="A44" s="824" t="str">
        <f>'G.F. 0'!A44</f>
        <v>Mantenimiento y reparación</v>
      </c>
      <c r="B44" s="810">
        <f>'G.F. 1'!B44*(1+$B$4)</f>
        <v>0</v>
      </c>
      <c r="C44" s="987">
        <f>'Datos Gastos Fijos'!D25*(1+'G.F. 1'!$B$4)*(1+$B$4)</f>
        <v>0</v>
      </c>
      <c r="D44" s="987">
        <f>'Datos Gastos Fijos'!E25*(1+'G.F. 1'!$B$4)*(1+$B$4)</f>
        <v>0</v>
      </c>
      <c r="E44" s="987">
        <f>'Datos Gastos Fijos'!F25*(1+'G.F. 1'!$B$4)*(1+$B$4)</f>
        <v>0</v>
      </c>
      <c r="F44" s="987">
        <f>'Datos Gastos Fijos'!G25*(1+'G.F. 1'!$B$4)*(1+$B$4)</f>
        <v>0</v>
      </c>
      <c r="G44" s="987">
        <f>'Datos Gastos Fijos'!H25*(1+'G.F. 1'!$B$4)*(1+$B$4)</f>
        <v>0</v>
      </c>
      <c r="H44" s="987">
        <f>'Datos Gastos Fijos'!I25*(1+'G.F. 1'!$B$4)*(1+$B$4)</f>
        <v>0</v>
      </c>
      <c r="I44" s="987">
        <f>'Datos Gastos Fijos'!J25*(1+'G.F. 1'!$B$4)*(1+$B$4)</f>
        <v>0</v>
      </c>
      <c r="J44" s="987">
        <f>'Datos Gastos Fijos'!K25*(1+'G.F. 1'!$B$4)*(1+$B$4)</f>
        <v>0</v>
      </c>
      <c r="K44" s="987">
        <f>'Datos Gastos Fijos'!L25*(1+'G.F. 1'!$B$4)*(1+$B$4)</f>
        <v>0</v>
      </c>
      <c r="L44" s="987">
        <f>'Datos Gastos Fijos'!M25*(1+'G.F. 1'!$B$4)*(1+$B$4)</f>
        <v>0</v>
      </c>
      <c r="M44" s="987">
        <f>'Datos Gastos Fijos'!N25*(1+'G.F. 1'!$B$4)*(1+$B$4)</f>
        <v>0</v>
      </c>
      <c r="N44" s="987">
        <f>'Datos Gastos Fijos'!O25*(1+'G.F. 1'!$B$4)*(1+$B$4)</f>
        <v>0</v>
      </c>
      <c r="O44" s="987">
        <f t="shared" si="8"/>
        <v>0</v>
      </c>
      <c r="P44" s="805">
        <f t="shared" si="2"/>
        <v>0</v>
      </c>
    </row>
    <row r="45" spans="1:16" ht="18" thickBot="1" x14ac:dyDescent="0.35">
      <c r="A45" s="824" t="str">
        <f>'G.F. 0'!A45</f>
        <v>Otros gastos imprevistos</v>
      </c>
      <c r="B45" s="810">
        <f>'G.F. 1'!B45*(1+$B$4)</f>
        <v>0</v>
      </c>
      <c r="C45" s="987">
        <f>'Datos Gastos Fijos'!D26*(1+'G.F. 1'!$B$4)*(1+$B$4)</f>
        <v>0</v>
      </c>
      <c r="D45" s="987">
        <f>'Datos Gastos Fijos'!E26*(1+'G.F. 1'!$B$4)*(1+$B$4)</f>
        <v>0</v>
      </c>
      <c r="E45" s="987">
        <f>'Datos Gastos Fijos'!F26*(1+'G.F. 1'!$B$4)*(1+$B$4)</f>
        <v>0</v>
      </c>
      <c r="F45" s="987">
        <f>'Datos Gastos Fijos'!G26*(1+'G.F. 1'!$B$4)*(1+$B$4)</f>
        <v>0</v>
      </c>
      <c r="G45" s="987">
        <f>'Datos Gastos Fijos'!H26*(1+'G.F. 1'!$B$4)*(1+$B$4)</f>
        <v>0</v>
      </c>
      <c r="H45" s="987">
        <f>'Datos Gastos Fijos'!I26*(1+'G.F. 1'!$B$4)*(1+$B$4)</f>
        <v>0</v>
      </c>
      <c r="I45" s="987">
        <f>'Datos Gastos Fijos'!J26*(1+'G.F. 1'!$B$4)*(1+$B$4)</f>
        <v>0</v>
      </c>
      <c r="J45" s="987">
        <f>'Datos Gastos Fijos'!K26*(1+'G.F. 1'!$B$4)*(1+$B$4)</f>
        <v>0</v>
      </c>
      <c r="K45" s="987">
        <f>'Datos Gastos Fijos'!L26*(1+'G.F. 1'!$B$4)*(1+$B$4)</f>
        <v>0</v>
      </c>
      <c r="L45" s="987">
        <f>'Datos Gastos Fijos'!M26*(1+'G.F. 1'!$B$4)*(1+$B$4)</f>
        <v>0</v>
      </c>
      <c r="M45" s="987">
        <f>'Datos Gastos Fijos'!N26*(1+'G.F. 1'!$B$4)*(1+$B$4)</f>
        <v>0</v>
      </c>
      <c r="N45" s="987">
        <f>'Datos Gastos Fijos'!O26*(1+'G.F. 1'!$B$4)*(1+$B$4)</f>
        <v>0</v>
      </c>
      <c r="O45" s="987">
        <f t="shared" si="8"/>
        <v>0</v>
      </c>
      <c r="P45" s="805">
        <f t="shared" si="2"/>
        <v>0</v>
      </c>
    </row>
    <row r="46" spans="1:16" ht="18" thickBot="1" x14ac:dyDescent="0.35">
      <c r="A46" s="825" t="s">
        <v>25</v>
      </c>
      <c r="B46" s="638"/>
      <c r="C46" s="468">
        <f>SUM(C27:C45)</f>
        <v>0</v>
      </c>
      <c r="D46" s="638">
        <f t="shared" ref="D46:O46" si="9">SUM(D27:D45)</f>
        <v>0</v>
      </c>
      <c r="E46" s="638">
        <f t="shared" si="9"/>
        <v>0</v>
      </c>
      <c r="F46" s="638">
        <f t="shared" si="9"/>
        <v>0</v>
      </c>
      <c r="G46" s="638">
        <f t="shared" si="9"/>
        <v>0</v>
      </c>
      <c r="H46" s="638">
        <f t="shared" si="9"/>
        <v>0</v>
      </c>
      <c r="I46" s="638">
        <f t="shared" si="9"/>
        <v>0</v>
      </c>
      <c r="J46" s="638">
        <f t="shared" si="9"/>
        <v>0</v>
      </c>
      <c r="K46" s="638">
        <f t="shared" si="9"/>
        <v>0</v>
      </c>
      <c r="L46" s="638">
        <f t="shared" si="9"/>
        <v>0</v>
      </c>
      <c r="M46" s="638">
        <f t="shared" si="9"/>
        <v>0</v>
      </c>
      <c r="N46" s="638">
        <f t="shared" si="9"/>
        <v>0</v>
      </c>
      <c r="O46" s="638">
        <f t="shared" si="9"/>
        <v>0</v>
      </c>
      <c r="P46" s="820">
        <f>O46/$O$48</f>
        <v>0</v>
      </c>
    </row>
    <row r="47" spans="1:16" ht="18.75" thickTop="1" thickBot="1" x14ac:dyDescent="0.35">
      <c r="A47" s="446"/>
      <c r="B47" s="826"/>
      <c r="C47" s="827"/>
      <c r="D47" s="827"/>
      <c r="E47" s="827"/>
      <c r="F47" s="827"/>
      <c r="G47" s="827"/>
      <c r="H47" s="827"/>
      <c r="I47" s="827"/>
      <c r="J47" s="827"/>
      <c r="K47" s="827"/>
      <c r="L47" s="827"/>
      <c r="M47" s="827"/>
      <c r="N47" s="827"/>
      <c r="O47" s="828"/>
      <c r="P47" s="829"/>
    </row>
    <row r="48" spans="1:16" ht="18" thickBot="1" x14ac:dyDescent="0.35">
      <c r="B48" s="830" t="s">
        <v>865</v>
      </c>
      <c r="C48" s="831">
        <f>C24+C46</f>
        <v>1526.5136000000002</v>
      </c>
      <c r="D48" s="831">
        <f t="shared" ref="D48:O48" si="10">D24+D46</f>
        <v>1526.5136000000002</v>
      </c>
      <c r="E48" s="831">
        <f t="shared" si="10"/>
        <v>1526.5136000000002</v>
      </c>
      <c r="F48" s="832">
        <f t="shared" si="10"/>
        <v>1526.5136000000002</v>
      </c>
      <c r="G48" s="832">
        <f t="shared" si="10"/>
        <v>1526.5136000000002</v>
      </c>
      <c r="H48" s="832">
        <f t="shared" si="10"/>
        <v>1526.5136000000002</v>
      </c>
      <c r="I48" s="832">
        <f t="shared" si="10"/>
        <v>1526.5136000000002</v>
      </c>
      <c r="J48" s="832">
        <f t="shared" si="10"/>
        <v>1526.5136000000002</v>
      </c>
      <c r="K48" s="832">
        <f t="shared" si="10"/>
        <v>1526.5136000000002</v>
      </c>
      <c r="L48" s="832">
        <f t="shared" si="10"/>
        <v>1526.5136000000002</v>
      </c>
      <c r="M48" s="832">
        <f t="shared" si="10"/>
        <v>1526.5136000000002</v>
      </c>
      <c r="N48" s="832">
        <f t="shared" si="10"/>
        <v>1526.5136000000002</v>
      </c>
      <c r="O48" s="832">
        <f t="shared" si="10"/>
        <v>18318.163200000003</v>
      </c>
      <c r="P48" s="833">
        <f>O48/$O$48</f>
        <v>1</v>
      </c>
    </row>
    <row r="49" spans="1:15" ht="16.5" customHeight="1" thickTop="1" thickBot="1" x14ac:dyDescent="0.35">
      <c r="F49" s="834"/>
      <c r="G49" s="834"/>
      <c r="H49" s="834"/>
      <c r="I49" s="834"/>
      <c r="J49" s="834"/>
      <c r="K49" s="834"/>
      <c r="L49" s="834"/>
      <c r="M49" s="834"/>
      <c r="N49" s="834"/>
      <c r="O49" s="834"/>
    </row>
    <row r="50" spans="1:15" ht="18.75" thickTop="1" thickBot="1" x14ac:dyDescent="0.35">
      <c r="A50" s="835" t="s">
        <v>957</v>
      </c>
      <c r="B50" s="836">
        <f>Parametros!$F$33</f>
        <v>0.21</v>
      </c>
      <c r="C50" s="837">
        <f t="shared" ref="C50:N50" si="11">$B50*SUM(C31:C45)</f>
        <v>0</v>
      </c>
      <c r="D50" s="837">
        <f t="shared" si="11"/>
        <v>0</v>
      </c>
      <c r="E50" s="837">
        <f t="shared" si="11"/>
        <v>0</v>
      </c>
      <c r="F50" s="838">
        <f t="shared" si="11"/>
        <v>0</v>
      </c>
      <c r="G50" s="838">
        <f t="shared" si="11"/>
        <v>0</v>
      </c>
      <c r="H50" s="838">
        <f t="shared" si="11"/>
        <v>0</v>
      </c>
      <c r="I50" s="838">
        <f t="shared" si="11"/>
        <v>0</v>
      </c>
      <c r="J50" s="838">
        <f t="shared" si="11"/>
        <v>0</v>
      </c>
      <c r="K50" s="838">
        <f t="shared" si="11"/>
        <v>0</v>
      </c>
      <c r="L50" s="838">
        <f t="shared" si="11"/>
        <v>0</v>
      </c>
      <c r="M50" s="838">
        <f t="shared" si="11"/>
        <v>0</v>
      </c>
      <c r="N50" s="838">
        <f t="shared" si="11"/>
        <v>0</v>
      </c>
      <c r="O50" s="839">
        <f>SUM(C50:N50)</f>
        <v>0</v>
      </c>
    </row>
    <row r="51" spans="1:15" ht="18" thickTop="1" x14ac:dyDescent="0.3"/>
  </sheetData>
  <sheetProtection sheet="1" objects="1" scenarios="1" formatCells="0" formatColumns="0"/>
  <phoneticPr fontId="13" type="noConversion"/>
  <conditionalFormatting sqref="C9:N9 C11:N12 C14:N16 C18:N19 C21:N22">
    <cfRule type="expression" dxfId="23" priority="2" stopIfTrue="1">
      <formula>C9=""</formula>
    </cfRule>
  </conditionalFormatting>
  <conditionalFormatting sqref="C27:N45">
    <cfRule type="expression" dxfId="22" priority="1" stopIfTrue="1">
      <formula>C$9=""</formula>
    </cfRule>
  </conditionalFormatting>
  <printOptions horizontalCentered="1"/>
  <pageMargins left="0.75" right="0.75" top="0.42" bottom="0.52" header="0" footer="0"/>
  <pageSetup paperSize="9" scale="62" orientation="landscape" horizontalDpi="300"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Hoja45">
    <tabColor rgb="FF7CC9D0"/>
    <pageSetUpPr fitToPage="1"/>
  </sheetPr>
  <dimension ref="A1:P51"/>
  <sheetViews>
    <sheetView showGridLines="0" workbookViewId="0"/>
  </sheetViews>
  <sheetFormatPr baseColWidth="10" defaultRowHeight="17.25" x14ac:dyDescent="0.3"/>
  <cols>
    <col min="1" max="1" width="26.75" style="307" bestFit="1" customWidth="1"/>
    <col min="2" max="2" width="9.25" style="307" customWidth="1"/>
    <col min="3" max="3" width="11.125" style="307" bestFit="1" customWidth="1"/>
    <col min="4" max="4" width="11.625" style="307" customWidth="1"/>
    <col min="5" max="5" width="11.125" style="307" bestFit="1" customWidth="1"/>
    <col min="6" max="6" width="12.75" style="307" customWidth="1"/>
    <col min="7" max="7" width="12.875" style="307" customWidth="1"/>
    <col min="8" max="10" width="11.125" style="307" bestFit="1" customWidth="1"/>
    <col min="11" max="11" width="11.75" style="307" bestFit="1" customWidth="1"/>
    <col min="12" max="14" width="11.125" style="307" bestFit="1" customWidth="1"/>
    <col min="15" max="15" width="12" style="307" bestFit="1" customWidth="1"/>
    <col min="16" max="16" width="8.625" style="307" customWidth="1"/>
    <col min="17" max="16384" width="11" style="307"/>
  </cols>
  <sheetData>
    <row r="1" spans="1:16" ht="27.75" x14ac:dyDescent="0.45">
      <c r="A1" s="408" t="s">
        <v>456</v>
      </c>
      <c r="B1" s="445"/>
      <c r="C1" s="446"/>
      <c r="D1" s="446"/>
      <c r="E1" s="446"/>
      <c r="G1" s="948">
        <f>'Datos Básicos'!E16</f>
        <v>3</v>
      </c>
      <c r="H1" s="470">
        <f>'Datos Básicos'!D17+1</f>
        <v>2029</v>
      </c>
    </row>
    <row r="2" spans="1:16" ht="27.75" x14ac:dyDescent="0.45">
      <c r="A2" s="408">
        <f>'Datos Básicos'!B8</f>
        <v>0</v>
      </c>
      <c r="B2" s="445"/>
      <c r="C2" s="446"/>
      <c r="D2" s="446"/>
      <c r="E2" s="446"/>
      <c r="F2" s="446"/>
      <c r="G2" s="446"/>
      <c r="H2" s="446"/>
    </row>
    <row r="3" spans="1:16" x14ac:dyDescent="0.3">
      <c r="D3" s="446"/>
      <c r="E3" s="446"/>
      <c r="F3" s="446"/>
      <c r="G3" s="446"/>
      <c r="H3" s="446"/>
    </row>
    <row r="4" spans="1:16" x14ac:dyDescent="0.3">
      <c r="A4" s="794" t="s">
        <v>478</v>
      </c>
      <c r="B4" s="986">
        <f>Parametros!E14</f>
        <v>0.02</v>
      </c>
      <c r="C4" s="398"/>
      <c r="D4" s="398"/>
      <c r="E4" s="398"/>
      <c r="F4" s="398"/>
      <c r="G4" s="398"/>
      <c r="H4" s="398"/>
    </row>
    <row r="5" spans="1:16" x14ac:dyDescent="0.3">
      <c r="B5" s="398"/>
      <c r="C5" s="398"/>
      <c r="D5" s="398"/>
      <c r="E5" s="398"/>
      <c r="F5" s="398"/>
      <c r="G5" s="398"/>
      <c r="H5" s="398"/>
    </row>
    <row r="6" spans="1:16" ht="18" thickBot="1" x14ac:dyDescent="0.35">
      <c r="C6" s="446"/>
      <c r="D6" s="446"/>
      <c r="E6" s="446"/>
      <c r="F6" s="446"/>
      <c r="G6" s="446"/>
      <c r="H6" s="446"/>
    </row>
    <row r="7" spans="1:16" ht="18.75" thickTop="1" thickBot="1" x14ac:dyDescent="0.35">
      <c r="B7" s="795" t="s">
        <v>958</v>
      </c>
      <c r="C7" s="447" t="str">
        <f>'Datos Gastos Fijos'!D7</f>
        <v>enero</v>
      </c>
      <c r="D7" s="447" t="str">
        <f>'Datos Gastos Fijos'!E7</f>
        <v>febrero</v>
      </c>
      <c r="E7" s="447" t="str">
        <f>'Datos Gastos Fijos'!F7</f>
        <v>marzo</v>
      </c>
      <c r="F7" s="447" t="str">
        <f>'Datos Gastos Fijos'!G7</f>
        <v>abril</v>
      </c>
      <c r="G7" s="447" t="str">
        <f>'Datos Gastos Fijos'!H7</f>
        <v>mayo</v>
      </c>
      <c r="H7" s="447" t="str">
        <f>'Datos Gastos Fijos'!I7</f>
        <v>junio</v>
      </c>
      <c r="I7" s="447" t="str">
        <f>'Datos Gastos Fijos'!J7</f>
        <v>julio</v>
      </c>
      <c r="J7" s="447" t="str">
        <f>'Datos Gastos Fijos'!K7</f>
        <v>agosto</v>
      </c>
      <c r="K7" s="447" t="str">
        <f>'Datos Gastos Fijos'!L7</f>
        <v>septiembre</v>
      </c>
      <c r="L7" s="447" t="str">
        <f>'Datos Gastos Fijos'!M7</f>
        <v>octubre</v>
      </c>
      <c r="M7" s="447" t="str">
        <f>'Datos Gastos Fijos'!N7</f>
        <v>noviembre</v>
      </c>
      <c r="N7" s="447" t="str">
        <f>'Datos Gastos Fijos'!O7</f>
        <v>diciembre</v>
      </c>
      <c r="O7" s="447" t="s">
        <v>865</v>
      </c>
      <c r="P7" s="448" t="s">
        <v>886</v>
      </c>
    </row>
    <row r="8" spans="1:16" ht="18.75" thickTop="1" thickBot="1" x14ac:dyDescent="0.35">
      <c r="A8" s="796" t="s">
        <v>22</v>
      </c>
      <c r="B8" s="797"/>
      <c r="C8" s="797"/>
      <c r="D8" s="797"/>
      <c r="E8" s="797"/>
      <c r="F8" s="797"/>
      <c r="G8" s="797"/>
      <c r="H8" s="797"/>
      <c r="I8" s="797"/>
      <c r="J8" s="797"/>
      <c r="K8" s="797"/>
      <c r="L8" s="797"/>
      <c r="M8" s="797"/>
      <c r="N8" s="797"/>
      <c r="O8" s="637"/>
      <c r="P8" s="798"/>
    </row>
    <row r="9" spans="1:16" ht="18" thickBot="1" x14ac:dyDescent="0.35">
      <c r="A9" s="799" t="s">
        <v>722</v>
      </c>
      <c r="B9" s="410" t="s">
        <v>184</v>
      </c>
      <c r="C9" s="800">
        <f>Plantilla!C49</f>
        <v>1</v>
      </c>
      <c r="D9" s="800">
        <f>Plantilla!D49</f>
        <v>1</v>
      </c>
      <c r="E9" s="800">
        <f>Plantilla!E49</f>
        <v>1</v>
      </c>
      <c r="F9" s="800">
        <f>Plantilla!F49</f>
        <v>1</v>
      </c>
      <c r="G9" s="800">
        <f>Plantilla!G49</f>
        <v>1</v>
      </c>
      <c r="H9" s="800">
        <f>Plantilla!H49</f>
        <v>1</v>
      </c>
      <c r="I9" s="800">
        <f>Plantilla!I49</f>
        <v>1</v>
      </c>
      <c r="J9" s="800">
        <f>Plantilla!J49</f>
        <v>1</v>
      </c>
      <c r="K9" s="800">
        <f>Plantilla!K49</f>
        <v>1</v>
      </c>
      <c r="L9" s="800">
        <f>Plantilla!L49</f>
        <v>1</v>
      </c>
      <c r="M9" s="800">
        <f>Plantilla!M49</f>
        <v>1</v>
      </c>
      <c r="N9" s="800">
        <f>Plantilla!N49</f>
        <v>1</v>
      </c>
      <c r="O9" s="801">
        <f>AVERAGE(C9:N9)</f>
        <v>1</v>
      </c>
      <c r="P9" s="798"/>
    </row>
    <row r="10" spans="1:16" ht="18" thickBot="1" x14ac:dyDescent="0.35">
      <c r="A10" s="799"/>
      <c r="B10" s="802"/>
      <c r="C10" s="803"/>
      <c r="D10" s="803"/>
      <c r="E10" s="803"/>
      <c r="F10" s="803"/>
      <c r="G10" s="803"/>
      <c r="H10" s="803"/>
      <c r="I10" s="803"/>
      <c r="J10" s="803"/>
      <c r="K10" s="803"/>
      <c r="L10" s="803"/>
      <c r="M10" s="803"/>
      <c r="N10" s="803"/>
      <c r="O10" s="804"/>
      <c r="P10" s="805"/>
    </row>
    <row r="11" spans="1:16" ht="18" thickBot="1" x14ac:dyDescent="0.35">
      <c r="A11" s="799" t="s">
        <v>723</v>
      </c>
      <c r="B11" s="806">
        <f>'RR HH'!E15</f>
        <v>1373.4589440000002</v>
      </c>
      <c r="C11" s="642">
        <f t="shared" ref="C11:N11" si="0">$B11*C9</f>
        <v>1373.4589440000002</v>
      </c>
      <c r="D11" s="642">
        <f t="shared" si="0"/>
        <v>1373.4589440000002</v>
      </c>
      <c r="E11" s="642">
        <f t="shared" si="0"/>
        <v>1373.4589440000002</v>
      </c>
      <c r="F11" s="642">
        <f t="shared" si="0"/>
        <v>1373.4589440000002</v>
      </c>
      <c r="G11" s="642">
        <f t="shared" si="0"/>
        <v>1373.4589440000002</v>
      </c>
      <c r="H11" s="642">
        <f t="shared" si="0"/>
        <v>1373.4589440000002</v>
      </c>
      <c r="I11" s="642">
        <f t="shared" si="0"/>
        <v>1373.4589440000002</v>
      </c>
      <c r="J11" s="642">
        <f t="shared" si="0"/>
        <v>1373.4589440000002</v>
      </c>
      <c r="K11" s="642">
        <f t="shared" si="0"/>
        <v>1373.4589440000002</v>
      </c>
      <c r="L11" s="642">
        <f t="shared" si="0"/>
        <v>1373.4589440000002</v>
      </c>
      <c r="M11" s="642">
        <f t="shared" si="0"/>
        <v>1373.4589440000002</v>
      </c>
      <c r="N11" s="642">
        <f t="shared" si="0"/>
        <v>1373.4589440000002</v>
      </c>
      <c r="O11" s="642">
        <f>SUM(C11:N11)</f>
        <v>16481.507328000003</v>
      </c>
      <c r="P11" s="805">
        <f>O11/$O$48</f>
        <v>0.8696416619230789</v>
      </c>
    </row>
    <row r="12" spans="1:16" ht="18" thickBot="1" x14ac:dyDescent="0.35">
      <c r="A12" s="799" t="s">
        <v>724</v>
      </c>
      <c r="B12" s="807">
        <f>'RR HH'!E22</f>
        <v>0.8</v>
      </c>
      <c r="C12" s="642">
        <v>0</v>
      </c>
      <c r="D12" s="642">
        <f>IF(E9="","",IF('RR HH'!$B$20=6,$B11*E9*$B12,0))</f>
        <v>0</v>
      </c>
      <c r="E12" s="642">
        <f>IF(F9="","",IF('RR HH'!$B$20=4,$B11*F9*$B12,0))</f>
        <v>0</v>
      </c>
      <c r="F12" s="642">
        <f>IF(G9="","",IF(OR('RR HH'!$B$20=3,'RR HH'!$B$20=6),$B11*G9*$B12,0))</f>
        <v>0</v>
      </c>
      <c r="G12" s="642">
        <v>0</v>
      </c>
      <c r="H12" s="642">
        <f>IF(I9="","",IF(OR('RR HH'!$B$20=2,'RR HH'!$B$20=4,'RR HH'!$B$20=6),$B11*I9*$B12,0))</f>
        <v>0</v>
      </c>
      <c r="I12" s="642">
        <v>0</v>
      </c>
      <c r="J12" s="642">
        <f>IF(K9="","",IF(OR('RR HH'!$B$20=3,'RR HH'!$B$20=6),$B11*K9*$B12,0))</f>
        <v>0</v>
      </c>
      <c r="K12" s="642">
        <f>IF(L9="","",IF('RR HH'!$B$20=4,$B11*L9*$B12,0))</f>
        <v>0</v>
      </c>
      <c r="L12" s="642">
        <f>IF(M9="","",IF('RR HH'!$B$20=6,$B11*M9*$B12,0))</f>
        <v>0</v>
      </c>
      <c r="M12" s="642">
        <v>0</v>
      </c>
      <c r="N12" s="642">
        <f>IF(O9="","",IF(OR('RR HH'!$B$20=1,'RR HH'!$B$20=2,'RR HH'!$B$20=3,'RR HH'!$B$20=4,'RR HH'!$B$20=6),$B11*O9*$B12,0))</f>
        <v>0</v>
      </c>
      <c r="O12" s="642">
        <f>SUM(C12:N12)</f>
        <v>0</v>
      </c>
      <c r="P12" s="805">
        <f>O12/$O$48</f>
        <v>0</v>
      </c>
    </row>
    <row r="13" spans="1:16" ht="18" thickBot="1" x14ac:dyDescent="0.35">
      <c r="A13" s="808"/>
      <c r="B13" s="637"/>
      <c r="C13" s="797"/>
      <c r="D13" s="797"/>
      <c r="E13" s="797"/>
      <c r="F13" s="797"/>
      <c r="G13" s="797"/>
      <c r="H13" s="797"/>
      <c r="I13" s="797"/>
      <c r="J13" s="797"/>
      <c r="K13" s="797"/>
      <c r="L13" s="797"/>
      <c r="M13" s="797"/>
      <c r="N13" s="797"/>
      <c r="O13" s="637"/>
      <c r="P13" s="805"/>
    </row>
    <row r="14" spans="1:16" ht="18" thickBot="1" x14ac:dyDescent="0.35">
      <c r="A14" s="799" t="s">
        <v>23</v>
      </c>
      <c r="B14" s="809"/>
      <c r="C14" s="800">
        <f>Plantilla!C50</f>
        <v>0</v>
      </c>
      <c r="D14" s="800">
        <f>Plantilla!D50</f>
        <v>0</v>
      </c>
      <c r="E14" s="800">
        <f>Plantilla!E50</f>
        <v>0</v>
      </c>
      <c r="F14" s="800">
        <f>Plantilla!F50</f>
        <v>0</v>
      </c>
      <c r="G14" s="800">
        <f>Plantilla!G50</f>
        <v>0</v>
      </c>
      <c r="H14" s="800">
        <f>Plantilla!H50</f>
        <v>0</v>
      </c>
      <c r="I14" s="800">
        <f>Plantilla!I50</f>
        <v>0</v>
      </c>
      <c r="J14" s="800">
        <f>Plantilla!J50</f>
        <v>0</v>
      </c>
      <c r="K14" s="800">
        <f>Plantilla!K50</f>
        <v>0</v>
      </c>
      <c r="L14" s="800">
        <f>Plantilla!L50</f>
        <v>0</v>
      </c>
      <c r="M14" s="800">
        <f>Plantilla!M50</f>
        <v>0</v>
      </c>
      <c r="N14" s="800">
        <f>Plantilla!N50</f>
        <v>0</v>
      </c>
      <c r="O14" s="801">
        <f>AVERAGE(C14:N14)</f>
        <v>0</v>
      </c>
      <c r="P14" s="805"/>
    </row>
    <row r="15" spans="1:16" ht="18" thickBot="1" x14ac:dyDescent="0.35">
      <c r="A15" s="799" t="s">
        <v>725</v>
      </c>
      <c r="B15" s="810">
        <f>'RR HH'!E16</f>
        <v>0</v>
      </c>
      <c r="C15" s="636">
        <f t="shared" ref="C15:N15" si="1">$B15*C14</f>
        <v>0</v>
      </c>
      <c r="D15" s="636">
        <f t="shared" si="1"/>
        <v>0</v>
      </c>
      <c r="E15" s="636">
        <f t="shared" si="1"/>
        <v>0</v>
      </c>
      <c r="F15" s="636">
        <f t="shared" si="1"/>
        <v>0</v>
      </c>
      <c r="G15" s="642">
        <f t="shared" si="1"/>
        <v>0</v>
      </c>
      <c r="H15" s="642">
        <f t="shared" si="1"/>
        <v>0</v>
      </c>
      <c r="I15" s="642">
        <f t="shared" si="1"/>
        <v>0</v>
      </c>
      <c r="J15" s="642">
        <f t="shared" si="1"/>
        <v>0</v>
      </c>
      <c r="K15" s="642">
        <f t="shared" si="1"/>
        <v>0</v>
      </c>
      <c r="L15" s="642">
        <f t="shared" si="1"/>
        <v>0</v>
      </c>
      <c r="M15" s="642">
        <f t="shared" si="1"/>
        <v>0</v>
      </c>
      <c r="N15" s="642">
        <f t="shared" si="1"/>
        <v>0</v>
      </c>
      <c r="O15" s="642">
        <f>SUM(C15:N15)</f>
        <v>0</v>
      </c>
      <c r="P15" s="805">
        <f>O15/$O$48</f>
        <v>0</v>
      </c>
    </row>
    <row r="16" spans="1:16" ht="18" thickBot="1" x14ac:dyDescent="0.35">
      <c r="A16" s="799" t="s">
        <v>726</v>
      </c>
      <c r="B16" s="807">
        <f>'RR HH'!E23</f>
        <v>0.8</v>
      </c>
      <c r="C16" s="636">
        <v>0</v>
      </c>
      <c r="D16" s="636">
        <f>IF(E14="","",IF('RR HH'!$E$21=6,$B15*E14*$B16,0))</f>
        <v>0</v>
      </c>
      <c r="E16" s="636">
        <f>IF(F14="","",IF('RR HH'!$E$21=4,$B15*F14*$B16,0))</f>
        <v>0</v>
      </c>
      <c r="F16" s="636">
        <f>IF(G14="","",IF(OR('RR HH'!$E$21=3,'RR HH'!$E$21=6),$B15*G14*$B16,0))</f>
        <v>0</v>
      </c>
      <c r="G16" s="642">
        <v>0</v>
      </c>
      <c r="H16" s="642">
        <f>IF(I14="","",IF(OR('RR HH'!$E$21=2,'RR HH'!$E$21=4,'RR HH'!$E$21=6),$B15*I14*$B16,0))</f>
        <v>0</v>
      </c>
      <c r="I16" s="642">
        <v>0</v>
      </c>
      <c r="J16" s="642">
        <f>IF(K14="","",IF(OR('RR HH'!$E$21=3,'RR HH'!$E$21=6),$B15*K14*$B16,0))</f>
        <v>0</v>
      </c>
      <c r="K16" s="642">
        <f>IF(L14="","",IF('RR HH'!$E$21=4,$B15*L14*$B16,0))</f>
        <v>0</v>
      </c>
      <c r="L16" s="642">
        <f>IF(M14="","",IF('RR HH'!$E$21=6,$B15*M14*$B16,0))</f>
        <v>0</v>
      </c>
      <c r="M16" s="642">
        <v>0</v>
      </c>
      <c r="N16" s="642">
        <f>IF(O14="","",IF(OR('RR HH'!$E$21=1,'RR HH'!$E$21=2,'RR HH'!$E$21=3,'RR HH'!$E$21=4,'RR HH'!$E$21=6),$B15*O14*$B16,0))</f>
        <v>0</v>
      </c>
      <c r="O16" s="642">
        <f>SUM(C16:N16)</f>
        <v>0</v>
      </c>
      <c r="P16" s="805">
        <f>O16/$O$48</f>
        <v>0</v>
      </c>
    </row>
    <row r="17" spans="1:16" ht="18" thickBot="1" x14ac:dyDescent="0.35">
      <c r="A17" s="808"/>
      <c r="B17" s="637"/>
      <c r="C17" s="811"/>
      <c r="D17" s="811"/>
      <c r="E17" s="811"/>
      <c r="F17" s="811"/>
      <c r="G17" s="811"/>
      <c r="H17" s="811"/>
      <c r="I17" s="811"/>
      <c r="J17" s="811"/>
      <c r="K17" s="811"/>
      <c r="L17" s="811"/>
      <c r="M17" s="811"/>
      <c r="N17" s="811"/>
      <c r="O17" s="637"/>
      <c r="P17" s="805"/>
    </row>
    <row r="18" spans="1:16" ht="18" thickBot="1" x14ac:dyDescent="0.35">
      <c r="A18" s="812" t="s">
        <v>727</v>
      </c>
      <c r="B18" s="807">
        <f>'RR HH'!$E$27</f>
        <v>0.32</v>
      </c>
      <c r="C18" s="642">
        <f t="shared" ref="C18:N18" si="2">$B18*C15</f>
        <v>0</v>
      </c>
      <c r="D18" s="642">
        <f t="shared" si="2"/>
        <v>0</v>
      </c>
      <c r="E18" s="642">
        <f t="shared" si="2"/>
        <v>0</v>
      </c>
      <c r="F18" s="642">
        <f t="shared" si="2"/>
        <v>0</v>
      </c>
      <c r="G18" s="642">
        <f t="shared" si="2"/>
        <v>0</v>
      </c>
      <c r="H18" s="642">
        <f t="shared" si="2"/>
        <v>0</v>
      </c>
      <c r="I18" s="642">
        <f t="shared" si="2"/>
        <v>0</v>
      </c>
      <c r="J18" s="642">
        <f t="shared" si="2"/>
        <v>0</v>
      </c>
      <c r="K18" s="642">
        <f t="shared" si="2"/>
        <v>0</v>
      </c>
      <c r="L18" s="642">
        <f t="shared" si="2"/>
        <v>0</v>
      </c>
      <c r="M18" s="642">
        <f t="shared" si="2"/>
        <v>0</v>
      </c>
      <c r="N18" s="642">
        <f t="shared" si="2"/>
        <v>0</v>
      </c>
      <c r="O18" s="642">
        <f>SUM(C18:N18)</f>
        <v>0</v>
      </c>
      <c r="P18" s="805">
        <f>O18/$O$48</f>
        <v>0</v>
      </c>
    </row>
    <row r="19" spans="1:16" ht="18" thickBot="1" x14ac:dyDescent="0.35">
      <c r="A19" s="812" t="s">
        <v>728</v>
      </c>
      <c r="B19" s="810">
        <f>'RR HH'!$E$28</f>
        <v>205.88</v>
      </c>
      <c r="C19" s="642">
        <f t="shared" ref="C19:N19" si="3">$B19*C9</f>
        <v>205.88</v>
      </c>
      <c r="D19" s="642">
        <f t="shared" si="3"/>
        <v>205.88</v>
      </c>
      <c r="E19" s="642">
        <f t="shared" si="3"/>
        <v>205.88</v>
      </c>
      <c r="F19" s="642">
        <f t="shared" si="3"/>
        <v>205.88</v>
      </c>
      <c r="G19" s="642">
        <f t="shared" si="3"/>
        <v>205.88</v>
      </c>
      <c r="H19" s="642">
        <f t="shared" si="3"/>
        <v>205.88</v>
      </c>
      <c r="I19" s="642">
        <f t="shared" si="3"/>
        <v>205.88</v>
      </c>
      <c r="J19" s="642">
        <f t="shared" si="3"/>
        <v>205.88</v>
      </c>
      <c r="K19" s="642">
        <f t="shared" si="3"/>
        <v>205.88</v>
      </c>
      <c r="L19" s="642">
        <f t="shared" si="3"/>
        <v>205.88</v>
      </c>
      <c r="M19" s="642">
        <f t="shared" si="3"/>
        <v>205.88</v>
      </c>
      <c r="N19" s="642">
        <f t="shared" si="3"/>
        <v>205.88</v>
      </c>
      <c r="O19" s="642">
        <f>SUM(C19:N19)</f>
        <v>2470.5600000000009</v>
      </c>
      <c r="P19" s="805">
        <f>O19/$O$48</f>
        <v>0.13035833807692143</v>
      </c>
    </row>
    <row r="20" spans="1:16" ht="18" thickBot="1" x14ac:dyDescent="0.35">
      <c r="A20" s="694"/>
      <c r="B20" s="637"/>
      <c r="C20" s="797"/>
      <c r="D20" s="797"/>
      <c r="E20" s="797"/>
      <c r="F20" s="797"/>
      <c r="G20" s="797"/>
      <c r="H20" s="797"/>
      <c r="I20" s="797"/>
      <c r="J20" s="797"/>
      <c r="K20" s="797"/>
      <c r="L20" s="797"/>
      <c r="M20" s="797"/>
      <c r="N20" s="797"/>
      <c r="O20" s="637"/>
      <c r="P20" s="805"/>
    </row>
    <row r="21" spans="1:16" ht="18" thickBot="1" x14ac:dyDescent="0.35">
      <c r="A21" s="812" t="s">
        <v>729</v>
      </c>
      <c r="B21" s="813">
        <f>'G.F. 1'!B21*(1+$B$4)^2</f>
        <v>6.367248</v>
      </c>
      <c r="C21" s="642">
        <f>$B21*ABS(Plantilla!C33)</f>
        <v>0</v>
      </c>
      <c r="D21" s="642">
        <f>$B21*ABS(Plantilla!D33)</f>
        <v>0</v>
      </c>
      <c r="E21" s="642">
        <f>$B21*ABS(Plantilla!E33)</f>
        <v>0</v>
      </c>
      <c r="F21" s="642">
        <f>$B21*ABS(Plantilla!F33)</f>
        <v>0</v>
      </c>
      <c r="G21" s="642">
        <f>$B21*ABS(Plantilla!G33)</f>
        <v>0</v>
      </c>
      <c r="H21" s="642">
        <f>$B21*ABS(Plantilla!H33)</f>
        <v>0</v>
      </c>
      <c r="I21" s="642">
        <f>$B21*ABS(Plantilla!I33)</f>
        <v>0</v>
      </c>
      <c r="J21" s="642">
        <f>$B21*ABS(Plantilla!J33)</f>
        <v>0</v>
      </c>
      <c r="K21" s="642">
        <f>$B21*ABS(Plantilla!K33)</f>
        <v>0</v>
      </c>
      <c r="L21" s="642">
        <f>$B21*ABS(Plantilla!L33)</f>
        <v>0</v>
      </c>
      <c r="M21" s="642">
        <f>$B21*ABS(Plantilla!M33)</f>
        <v>0</v>
      </c>
      <c r="N21" s="642">
        <f>$B21*ABS(Plantilla!N33)</f>
        <v>0</v>
      </c>
      <c r="O21" s="642">
        <f>SUM(C21:N21)</f>
        <v>0</v>
      </c>
      <c r="P21" s="805">
        <f>O21/$O$48</f>
        <v>0</v>
      </c>
    </row>
    <row r="22" spans="1:16" ht="18" thickBot="1" x14ac:dyDescent="0.35">
      <c r="A22" s="812" t="s">
        <v>730</v>
      </c>
      <c r="B22" s="813">
        <f>'G.F. 1'!B22*(1+$B$4)^2</f>
        <v>19.101744</v>
      </c>
      <c r="C22" s="642">
        <f>$B22*ABS(Plantilla!C35)</f>
        <v>0</v>
      </c>
      <c r="D22" s="642">
        <f>$B22*ABS(Plantilla!D35)</f>
        <v>0</v>
      </c>
      <c r="E22" s="642">
        <f>$B22*ABS(Plantilla!E35)</f>
        <v>0</v>
      </c>
      <c r="F22" s="642">
        <f>$B22*ABS(Plantilla!F35)</f>
        <v>0</v>
      </c>
      <c r="G22" s="642">
        <f>$B22*ABS(Plantilla!G35)</f>
        <v>0</v>
      </c>
      <c r="H22" s="642">
        <f>$B22*ABS(Plantilla!H35)</f>
        <v>0</v>
      </c>
      <c r="I22" s="642">
        <f>$B22*ABS(Plantilla!I35)</f>
        <v>0</v>
      </c>
      <c r="J22" s="642">
        <f>$B22*ABS(Plantilla!J35)</f>
        <v>0</v>
      </c>
      <c r="K22" s="642">
        <f>$B22*ABS(Plantilla!K35)</f>
        <v>0</v>
      </c>
      <c r="L22" s="642">
        <f>$B22*ABS(Plantilla!L35)</f>
        <v>0</v>
      </c>
      <c r="M22" s="642">
        <f>$B22*ABS(Plantilla!M35)</f>
        <v>0</v>
      </c>
      <c r="N22" s="642">
        <f>$B22*ABS(Plantilla!N35)</f>
        <v>0</v>
      </c>
      <c r="O22" s="642">
        <f>SUM(C22:N22)</f>
        <v>0</v>
      </c>
      <c r="P22" s="805">
        <f>O22/$O$48</f>
        <v>0</v>
      </c>
    </row>
    <row r="23" spans="1:16" ht="18" thickBot="1" x14ac:dyDescent="0.35">
      <c r="A23" s="694"/>
      <c r="B23" s="814"/>
      <c r="C23" s="637"/>
      <c r="D23" s="797"/>
      <c r="E23" s="797"/>
      <c r="F23" s="797"/>
      <c r="G23" s="797"/>
      <c r="H23" s="797"/>
      <c r="I23" s="797"/>
      <c r="J23" s="797"/>
      <c r="K23" s="797"/>
      <c r="L23" s="797"/>
      <c r="M23" s="797"/>
      <c r="N23" s="797"/>
      <c r="O23" s="637"/>
      <c r="P23" s="805"/>
    </row>
    <row r="24" spans="1:16" ht="18" thickBot="1" x14ac:dyDescent="0.35">
      <c r="A24" s="815" t="s">
        <v>24</v>
      </c>
      <c r="B24" s="816"/>
      <c r="C24" s="817">
        <f t="shared" ref="C24:N24" si="4">SUM(C11:C12,C15:C19,C21:C22)</f>
        <v>1579.3389440000001</v>
      </c>
      <c r="D24" s="818">
        <f t="shared" si="4"/>
        <v>1579.3389440000001</v>
      </c>
      <c r="E24" s="818">
        <f t="shared" si="4"/>
        <v>1579.3389440000001</v>
      </c>
      <c r="F24" s="818">
        <f t="shared" si="4"/>
        <v>1579.3389440000001</v>
      </c>
      <c r="G24" s="819">
        <f t="shared" si="4"/>
        <v>1579.3389440000001</v>
      </c>
      <c r="H24" s="819">
        <f t="shared" si="4"/>
        <v>1579.3389440000001</v>
      </c>
      <c r="I24" s="819">
        <f t="shared" si="4"/>
        <v>1579.3389440000001</v>
      </c>
      <c r="J24" s="819">
        <f t="shared" si="4"/>
        <v>1579.3389440000001</v>
      </c>
      <c r="K24" s="819">
        <f t="shared" si="4"/>
        <v>1579.3389440000001</v>
      </c>
      <c r="L24" s="819">
        <f t="shared" si="4"/>
        <v>1579.3389440000001</v>
      </c>
      <c r="M24" s="819">
        <f t="shared" si="4"/>
        <v>1579.3389440000001</v>
      </c>
      <c r="N24" s="819">
        <f t="shared" si="4"/>
        <v>1579.3389440000001</v>
      </c>
      <c r="O24" s="468">
        <f>SUM(C24:N24)</f>
        <v>18952.067327999997</v>
      </c>
      <c r="P24" s="820">
        <f>O24/$O$48</f>
        <v>1</v>
      </c>
    </row>
    <row r="25" spans="1:16" ht="18" thickBot="1" x14ac:dyDescent="0.35">
      <c r="A25" s="694"/>
      <c r="B25" s="639"/>
      <c r="C25" s="639"/>
      <c r="D25" s="639"/>
      <c r="E25" s="639"/>
      <c r="F25" s="639"/>
      <c r="G25" s="639"/>
      <c r="H25" s="639"/>
      <c r="I25" s="639"/>
      <c r="J25" s="639"/>
      <c r="K25" s="639"/>
      <c r="L25" s="639"/>
      <c r="M25" s="639"/>
      <c r="N25" s="639"/>
      <c r="O25" s="639"/>
      <c r="P25" s="821"/>
    </row>
    <row r="26" spans="1:16" ht="18.75" thickTop="1" thickBot="1" x14ac:dyDescent="0.35">
      <c r="A26" s="822" t="s">
        <v>985</v>
      </c>
      <c r="B26" s="795" t="s">
        <v>958</v>
      </c>
      <c r="C26" s="447" t="str">
        <f t="shared" ref="C26:N26" si="5">C7</f>
        <v>enero</v>
      </c>
      <c r="D26" s="447" t="str">
        <f t="shared" si="5"/>
        <v>febrero</v>
      </c>
      <c r="E26" s="447" t="str">
        <f t="shared" si="5"/>
        <v>marzo</v>
      </c>
      <c r="F26" s="447" t="str">
        <f t="shared" si="5"/>
        <v>abril</v>
      </c>
      <c r="G26" s="447" t="str">
        <f t="shared" si="5"/>
        <v>mayo</v>
      </c>
      <c r="H26" s="447" t="str">
        <f t="shared" si="5"/>
        <v>junio</v>
      </c>
      <c r="I26" s="447" t="str">
        <f t="shared" si="5"/>
        <v>julio</v>
      </c>
      <c r="J26" s="447" t="str">
        <f t="shared" si="5"/>
        <v>agosto</v>
      </c>
      <c r="K26" s="447" t="str">
        <f t="shared" si="5"/>
        <v>septiembre</v>
      </c>
      <c r="L26" s="447" t="str">
        <f t="shared" si="5"/>
        <v>octubre</v>
      </c>
      <c r="M26" s="447" t="str">
        <f t="shared" si="5"/>
        <v>noviembre</v>
      </c>
      <c r="N26" s="447" t="str">
        <f t="shared" si="5"/>
        <v>diciembre</v>
      </c>
      <c r="O26" s="447" t="s">
        <v>865</v>
      </c>
      <c r="P26" s="823" t="s">
        <v>886</v>
      </c>
    </row>
    <row r="27" spans="1:16" ht="18" thickBot="1" x14ac:dyDescent="0.35">
      <c r="A27" s="824" t="str">
        <f>'G.F. 0'!A27</f>
        <v>Tributos: IAE, IBI, ...</v>
      </c>
      <c r="B27" s="810">
        <f>'G.F. 1'!B27*(1+$B$4)^2</f>
        <v>0</v>
      </c>
      <c r="C27" s="987">
        <f>'Datos Gastos Fijos'!D8*(1+'G.F. 1'!$B$4)*(1+$B$4)^2</f>
        <v>0</v>
      </c>
      <c r="D27" s="987">
        <f>'Datos Gastos Fijos'!E8*(1+'G.F. 1'!$B$4)*(1+$B$4)^2</f>
        <v>0</v>
      </c>
      <c r="E27" s="987">
        <f>'Datos Gastos Fijos'!F8*(1+'G.F. 1'!$B$4)*(1+$B$4)^2</f>
        <v>0</v>
      </c>
      <c r="F27" s="987">
        <f>'Datos Gastos Fijos'!G8*(1+'G.F. 1'!$B$4)*(1+$B$4)^2</f>
        <v>0</v>
      </c>
      <c r="G27" s="987">
        <f>'Datos Gastos Fijos'!H8*(1+'G.F. 1'!$B$4)*(1+$B$4)^2</f>
        <v>0</v>
      </c>
      <c r="H27" s="987">
        <f>'Datos Gastos Fijos'!I8*(1+'G.F. 1'!$B$4)*(1+$B$4)^2</f>
        <v>0</v>
      </c>
      <c r="I27" s="987">
        <f>'Datos Gastos Fijos'!J8*(1+'G.F. 1'!$B$4)*(1+$B$4)^2</f>
        <v>0</v>
      </c>
      <c r="J27" s="987">
        <f>'Datos Gastos Fijos'!K8*(1+'G.F. 1'!$B$4)*(1+$B$4)^2</f>
        <v>0</v>
      </c>
      <c r="K27" s="987">
        <f>'Datos Gastos Fijos'!L8*(1+'G.F. 1'!$B$4)*(1+$B$4)^2</f>
        <v>0</v>
      </c>
      <c r="L27" s="987">
        <f>'Datos Gastos Fijos'!M8*(1+'G.F. 1'!$B$4)*(1+$B$4)^2</f>
        <v>0</v>
      </c>
      <c r="M27" s="987">
        <f>'Datos Gastos Fijos'!N8*(1+'G.F. 1'!$B$4)*(1+$B$4)^2</f>
        <v>0</v>
      </c>
      <c r="N27" s="987">
        <f>'Datos Gastos Fijos'!O8*(1+'G.F. 1'!$B$4)*(1+$B$4)^2</f>
        <v>0</v>
      </c>
      <c r="O27" s="987">
        <f t="shared" ref="O27:O45" si="6">SUM(C27:N27)</f>
        <v>0</v>
      </c>
      <c r="P27" s="805">
        <f t="shared" ref="P27:P46" si="7">O27/$O$48</f>
        <v>0</v>
      </c>
    </row>
    <row r="28" spans="1:16" ht="18" thickBot="1" x14ac:dyDescent="0.35">
      <c r="A28" s="824" t="str">
        <f>'G.F. 0'!A28</f>
        <v>Otras gastos fijos (SIN IVA)</v>
      </c>
      <c r="B28" s="810">
        <f>'G.F. 1'!B28*(1+$B$4)^2</f>
        <v>0</v>
      </c>
      <c r="C28" s="987">
        <f>'Datos Gastos Fijos'!D9*(1+'G.F. 1'!$B$4)*(1+$B$4)^2</f>
        <v>0</v>
      </c>
      <c r="D28" s="987">
        <f>'Datos Gastos Fijos'!E9*(1+'G.F. 1'!$B$4)*(1+$B$4)^2</f>
        <v>0</v>
      </c>
      <c r="E28" s="987">
        <f>'Datos Gastos Fijos'!F9*(1+'G.F. 1'!$B$4)*(1+$B$4)^2</f>
        <v>0</v>
      </c>
      <c r="F28" s="987">
        <f>'Datos Gastos Fijos'!G9*(1+'G.F. 1'!$B$4)*(1+$B$4)^2</f>
        <v>0</v>
      </c>
      <c r="G28" s="987">
        <f>'Datos Gastos Fijos'!H9*(1+'G.F. 1'!$B$4)*(1+$B$4)^2</f>
        <v>0</v>
      </c>
      <c r="H28" s="987">
        <f>'Datos Gastos Fijos'!I9*(1+'G.F. 1'!$B$4)*(1+$B$4)^2</f>
        <v>0</v>
      </c>
      <c r="I28" s="987">
        <f>'Datos Gastos Fijos'!J9*(1+'G.F. 1'!$B$4)*(1+$B$4)^2</f>
        <v>0</v>
      </c>
      <c r="J28" s="987">
        <f>'Datos Gastos Fijos'!K9*(1+'G.F. 1'!$B$4)*(1+$B$4)^2</f>
        <v>0</v>
      </c>
      <c r="K28" s="987">
        <f>'Datos Gastos Fijos'!L9*(1+'G.F. 1'!$B$4)*(1+$B$4)^2</f>
        <v>0</v>
      </c>
      <c r="L28" s="987">
        <f>'Datos Gastos Fijos'!M9*(1+'G.F. 1'!$B$4)*(1+$B$4)^2</f>
        <v>0</v>
      </c>
      <c r="M28" s="987">
        <f>'Datos Gastos Fijos'!N9*(1+'G.F. 1'!$B$4)*(1+$B$4)^2</f>
        <v>0</v>
      </c>
      <c r="N28" s="987">
        <f>'Datos Gastos Fijos'!O9*(1+'G.F. 1'!$B$4)*(1+$B$4)^2</f>
        <v>0</v>
      </c>
      <c r="O28" s="987">
        <f t="shared" si="6"/>
        <v>0</v>
      </c>
      <c r="P28" s="805">
        <f t="shared" si="7"/>
        <v>0</v>
      </c>
    </row>
    <row r="29" spans="1:16" ht="18" thickBot="1" x14ac:dyDescent="0.35">
      <c r="A29" s="824" t="str">
        <f>'G.F. 0'!A29</f>
        <v>Primas de Seguros</v>
      </c>
      <c r="B29" s="810">
        <f>'G.F. 1'!B29*(1+$B$4)^2</f>
        <v>0</v>
      </c>
      <c r="C29" s="987">
        <f>'Datos Gastos Fijos'!D10*(1+'G.F. 1'!$B$4)*(1+$B$4)^2</f>
        <v>0</v>
      </c>
      <c r="D29" s="987">
        <f>'Datos Gastos Fijos'!E10*(1+'G.F. 1'!$B$4)*(1+$B$4)^2</f>
        <v>0</v>
      </c>
      <c r="E29" s="987">
        <f>'Datos Gastos Fijos'!F10*(1+'G.F. 1'!$B$4)*(1+$B$4)^2</f>
        <v>0</v>
      </c>
      <c r="F29" s="987">
        <f>'Datos Gastos Fijos'!G10*(1+'G.F. 1'!$B$4)*(1+$B$4)^2</f>
        <v>0</v>
      </c>
      <c r="G29" s="987">
        <f>'Datos Gastos Fijos'!H10*(1+'G.F. 1'!$B$4)*(1+$B$4)^2</f>
        <v>0</v>
      </c>
      <c r="H29" s="987">
        <f>'Datos Gastos Fijos'!I10*(1+'G.F. 1'!$B$4)*(1+$B$4)^2</f>
        <v>0</v>
      </c>
      <c r="I29" s="987">
        <f>'Datos Gastos Fijos'!J10*(1+'G.F. 1'!$B$4)*(1+$B$4)^2</f>
        <v>0</v>
      </c>
      <c r="J29" s="987">
        <f>'Datos Gastos Fijos'!K10*(1+'G.F. 1'!$B$4)*(1+$B$4)^2</f>
        <v>0</v>
      </c>
      <c r="K29" s="987">
        <f>'Datos Gastos Fijos'!L10*(1+'G.F. 1'!$B$4)*(1+$B$4)^2</f>
        <v>0</v>
      </c>
      <c r="L29" s="987">
        <f>'Datos Gastos Fijos'!M10*(1+'G.F. 1'!$B$4)*(1+$B$4)^2</f>
        <v>0</v>
      </c>
      <c r="M29" s="987">
        <f>'Datos Gastos Fijos'!N10*(1+'G.F. 1'!$B$4)*(1+$B$4)^2</f>
        <v>0</v>
      </c>
      <c r="N29" s="987">
        <f>'Datos Gastos Fijos'!O10*(1+'G.F. 1'!$B$4)*(1+$B$4)^2</f>
        <v>0</v>
      </c>
      <c r="O29" s="987">
        <f t="shared" si="6"/>
        <v>0</v>
      </c>
      <c r="P29" s="805">
        <f t="shared" si="7"/>
        <v>0</v>
      </c>
    </row>
    <row r="30" spans="1:16" ht="18" thickBot="1" x14ac:dyDescent="0.35">
      <c r="A30" s="824" t="str">
        <f>'G.F. 0'!A30</f>
        <v>Colegio/ Asociación profesional</v>
      </c>
      <c r="B30" s="810">
        <f>'G.F. 1'!B30*(1+$B$4)^2</f>
        <v>0</v>
      </c>
      <c r="C30" s="987">
        <f>'Datos Gastos Fijos'!D11*(1+'G.F. 1'!$B$4)*(1+$B$4)^2</f>
        <v>0</v>
      </c>
      <c r="D30" s="987">
        <f>'Datos Gastos Fijos'!E11*(1+'G.F. 1'!$B$4)*(1+$B$4)^2</f>
        <v>0</v>
      </c>
      <c r="E30" s="987">
        <f>'Datos Gastos Fijos'!F11*(1+'G.F. 1'!$B$4)*(1+$B$4)^2</f>
        <v>0</v>
      </c>
      <c r="F30" s="987">
        <f>'Datos Gastos Fijos'!G11*(1+'G.F. 1'!$B$4)*(1+$B$4)^2</f>
        <v>0</v>
      </c>
      <c r="G30" s="987">
        <f>'Datos Gastos Fijos'!H11*(1+'G.F. 1'!$B$4)*(1+$B$4)^2</f>
        <v>0</v>
      </c>
      <c r="H30" s="987">
        <f>'Datos Gastos Fijos'!I11*(1+'G.F. 1'!$B$4)*(1+$B$4)^2</f>
        <v>0</v>
      </c>
      <c r="I30" s="987">
        <f>'Datos Gastos Fijos'!J11*(1+'G.F. 1'!$B$4)*(1+$B$4)^2</f>
        <v>0</v>
      </c>
      <c r="J30" s="987">
        <f>'Datos Gastos Fijos'!K11*(1+'G.F. 1'!$B$4)*(1+$B$4)^2</f>
        <v>0</v>
      </c>
      <c r="K30" s="987">
        <f>'Datos Gastos Fijos'!L11*(1+'G.F. 1'!$B$4)*(1+$B$4)^2</f>
        <v>0</v>
      </c>
      <c r="L30" s="987">
        <f>'Datos Gastos Fijos'!M11*(1+'G.F. 1'!$B$4)*(1+$B$4)^2</f>
        <v>0</v>
      </c>
      <c r="M30" s="987">
        <f>'Datos Gastos Fijos'!N11*(1+'G.F. 1'!$B$4)*(1+$B$4)^2</f>
        <v>0</v>
      </c>
      <c r="N30" s="987">
        <f>'Datos Gastos Fijos'!O11*(1+'G.F. 1'!$B$4)*(1+$B$4)^2</f>
        <v>0</v>
      </c>
      <c r="O30" s="987">
        <f t="shared" si="6"/>
        <v>0</v>
      </c>
      <c r="P30" s="805">
        <f t="shared" si="7"/>
        <v>0</v>
      </c>
    </row>
    <row r="31" spans="1:16" ht="18" thickBot="1" x14ac:dyDescent="0.35">
      <c r="A31" s="824" t="str">
        <f>'G.F. 0'!A31</f>
        <v>Electricidad</v>
      </c>
      <c r="B31" s="810">
        <f>'G.F. 1'!B31*(1+$B$4)^2</f>
        <v>0</v>
      </c>
      <c r="C31" s="987">
        <f>'Datos Gastos Fijos'!D12*(1+'G.F. 1'!$B$4)*(1+$B$4)^2</f>
        <v>0</v>
      </c>
      <c r="D31" s="987">
        <f>'Datos Gastos Fijos'!E12*(1+'G.F. 1'!$B$4)*(1+$B$4)^2</f>
        <v>0</v>
      </c>
      <c r="E31" s="987">
        <f>'Datos Gastos Fijos'!F12*(1+'G.F. 1'!$B$4)*(1+$B$4)^2</f>
        <v>0</v>
      </c>
      <c r="F31" s="987">
        <f>'Datos Gastos Fijos'!G12*(1+'G.F. 1'!$B$4)*(1+$B$4)^2</f>
        <v>0</v>
      </c>
      <c r="G31" s="987">
        <f>'Datos Gastos Fijos'!H12*(1+'G.F. 1'!$B$4)*(1+$B$4)^2</f>
        <v>0</v>
      </c>
      <c r="H31" s="987">
        <f>'Datos Gastos Fijos'!I12*(1+'G.F. 1'!$B$4)*(1+$B$4)^2</f>
        <v>0</v>
      </c>
      <c r="I31" s="987">
        <f>'Datos Gastos Fijos'!J12*(1+'G.F. 1'!$B$4)*(1+$B$4)^2</f>
        <v>0</v>
      </c>
      <c r="J31" s="987">
        <f>'Datos Gastos Fijos'!K12*(1+'G.F. 1'!$B$4)*(1+$B$4)^2</f>
        <v>0</v>
      </c>
      <c r="K31" s="987">
        <f>'Datos Gastos Fijos'!L12*(1+'G.F. 1'!$B$4)*(1+$B$4)^2</f>
        <v>0</v>
      </c>
      <c r="L31" s="987">
        <f>'Datos Gastos Fijos'!M12*(1+'G.F. 1'!$B$4)*(1+$B$4)^2</f>
        <v>0</v>
      </c>
      <c r="M31" s="987">
        <f>'Datos Gastos Fijos'!N12*(1+'G.F. 1'!$B$4)*(1+$B$4)^2</f>
        <v>0</v>
      </c>
      <c r="N31" s="987">
        <f>'Datos Gastos Fijos'!O12*(1+'G.F. 1'!$B$4)*(1+$B$4)^2</f>
        <v>0</v>
      </c>
      <c r="O31" s="987">
        <f t="shared" si="6"/>
        <v>0</v>
      </c>
      <c r="P31" s="805">
        <f t="shared" si="7"/>
        <v>0</v>
      </c>
    </row>
    <row r="32" spans="1:16" ht="18" thickBot="1" x14ac:dyDescent="0.35">
      <c r="A32" s="824" t="str">
        <f>'G.F. 0'!A32</f>
        <v>Otros suministros (agua, gas, etc.)</v>
      </c>
      <c r="B32" s="810">
        <f>'G.F. 1'!B32*(1+$B$4)^2</f>
        <v>0</v>
      </c>
      <c r="C32" s="987">
        <f>'Datos Gastos Fijos'!D13*(1+'G.F. 1'!$B$4)*(1+$B$4)^2</f>
        <v>0</v>
      </c>
      <c r="D32" s="987">
        <f>'Datos Gastos Fijos'!E13*(1+'G.F. 1'!$B$4)*(1+$B$4)^2</f>
        <v>0</v>
      </c>
      <c r="E32" s="987">
        <f>'Datos Gastos Fijos'!F13*(1+'G.F. 1'!$B$4)*(1+$B$4)^2</f>
        <v>0</v>
      </c>
      <c r="F32" s="987">
        <f>'Datos Gastos Fijos'!G13*(1+'G.F. 1'!$B$4)*(1+$B$4)^2</f>
        <v>0</v>
      </c>
      <c r="G32" s="987">
        <f>'Datos Gastos Fijos'!H13*(1+'G.F. 1'!$B$4)*(1+$B$4)^2</f>
        <v>0</v>
      </c>
      <c r="H32" s="987">
        <f>'Datos Gastos Fijos'!I13*(1+'G.F. 1'!$B$4)*(1+$B$4)^2</f>
        <v>0</v>
      </c>
      <c r="I32" s="987">
        <f>'Datos Gastos Fijos'!J13*(1+'G.F. 1'!$B$4)*(1+$B$4)^2</f>
        <v>0</v>
      </c>
      <c r="J32" s="987">
        <f>'Datos Gastos Fijos'!K13*(1+'G.F. 1'!$B$4)*(1+$B$4)^2</f>
        <v>0</v>
      </c>
      <c r="K32" s="987">
        <f>'Datos Gastos Fijos'!L13*(1+'G.F. 1'!$B$4)*(1+$B$4)^2</f>
        <v>0</v>
      </c>
      <c r="L32" s="987">
        <f>'Datos Gastos Fijos'!M13*(1+'G.F. 1'!$B$4)*(1+$B$4)^2</f>
        <v>0</v>
      </c>
      <c r="M32" s="987">
        <f>'Datos Gastos Fijos'!N13*(1+'G.F. 1'!$B$4)*(1+$B$4)^2</f>
        <v>0</v>
      </c>
      <c r="N32" s="987">
        <f>'Datos Gastos Fijos'!O13*(1+'G.F. 1'!$B$4)*(1+$B$4)^2</f>
        <v>0</v>
      </c>
      <c r="O32" s="987">
        <f t="shared" si="6"/>
        <v>0</v>
      </c>
      <c r="P32" s="805">
        <f t="shared" si="7"/>
        <v>0</v>
      </c>
    </row>
    <row r="33" spans="1:16" ht="18" thickBot="1" x14ac:dyDescent="0.35">
      <c r="A33" s="824" t="str">
        <f>'G.F. 0'!A33</f>
        <v>Teléfono</v>
      </c>
      <c r="B33" s="810">
        <f>'G.F. 1'!B33*(1+$B$4)^2</f>
        <v>0</v>
      </c>
      <c r="C33" s="987">
        <f>'Datos Gastos Fijos'!D14*(1+'G.F. 1'!$B$4)*(1+$B$4)^2</f>
        <v>0</v>
      </c>
      <c r="D33" s="987">
        <f>'Datos Gastos Fijos'!E14*(1+'G.F. 1'!$B$4)*(1+$B$4)^2</f>
        <v>0</v>
      </c>
      <c r="E33" s="987">
        <f>'Datos Gastos Fijos'!F14*(1+'G.F. 1'!$B$4)*(1+$B$4)^2</f>
        <v>0</v>
      </c>
      <c r="F33" s="987">
        <f>'Datos Gastos Fijos'!G14*(1+'G.F. 1'!$B$4)*(1+$B$4)^2</f>
        <v>0</v>
      </c>
      <c r="G33" s="987">
        <f>'Datos Gastos Fijos'!H14*(1+'G.F. 1'!$B$4)*(1+$B$4)^2</f>
        <v>0</v>
      </c>
      <c r="H33" s="987">
        <f>'Datos Gastos Fijos'!I14*(1+'G.F. 1'!$B$4)*(1+$B$4)^2</f>
        <v>0</v>
      </c>
      <c r="I33" s="987">
        <f>'Datos Gastos Fijos'!J14*(1+'G.F. 1'!$B$4)*(1+$B$4)^2</f>
        <v>0</v>
      </c>
      <c r="J33" s="987">
        <f>'Datos Gastos Fijos'!K14*(1+'G.F. 1'!$B$4)*(1+$B$4)^2</f>
        <v>0</v>
      </c>
      <c r="K33" s="987">
        <f>'Datos Gastos Fijos'!L14*(1+'G.F. 1'!$B$4)*(1+$B$4)^2</f>
        <v>0</v>
      </c>
      <c r="L33" s="987">
        <f>'Datos Gastos Fijos'!M14*(1+'G.F. 1'!$B$4)*(1+$B$4)^2</f>
        <v>0</v>
      </c>
      <c r="M33" s="987">
        <f>'Datos Gastos Fijos'!N14*(1+'G.F. 1'!$B$4)*(1+$B$4)^2</f>
        <v>0</v>
      </c>
      <c r="N33" s="987">
        <f>'Datos Gastos Fijos'!O14*(1+'G.F. 1'!$B$4)*(1+$B$4)^2</f>
        <v>0</v>
      </c>
      <c r="O33" s="987">
        <f t="shared" si="6"/>
        <v>0</v>
      </c>
      <c r="P33" s="805">
        <f t="shared" si="7"/>
        <v>0</v>
      </c>
    </row>
    <row r="34" spans="1:16" ht="18" thickBot="1" x14ac:dyDescent="0.35">
      <c r="A34" s="824" t="str">
        <f>'G.F. 0'!A34</f>
        <v>Teléfono móviles</v>
      </c>
      <c r="B34" s="810">
        <f>'G.F. 1'!B34*(1+$B$4)^2</f>
        <v>0</v>
      </c>
      <c r="C34" s="987">
        <f>'Datos Gastos Fijos'!D15*(1+'G.F. 1'!$B$4)*(1+$B$4)^2</f>
        <v>0</v>
      </c>
      <c r="D34" s="987">
        <f>'Datos Gastos Fijos'!E15*(1+'G.F. 1'!$B$4)*(1+$B$4)^2</f>
        <v>0</v>
      </c>
      <c r="E34" s="987">
        <f>'Datos Gastos Fijos'!F15*(1+'G.F. 1'!$B$4)*(1+$B$4)^2</f>
        <v>0</v>
      </c>
      <c r="F34" s="987">
        <f>'Datos Gastos Fijos'!G15*(1+'G.F. 1'!$B$4)*(1+$B$4)^2</f>
        <v>0</v>
      </c>
      <c r="G34" s="987">
        <f>'Datos Gastos Fijos'!H15*(1+'G.F. 1'!$B$4)*(1+$B$4)^2</f>
        <v>0</v>
      </c>
      <c r="H34" s="987">
        <f>'Datos Gastos Fijos'!I15*(1+'G.F. 1'!$B$4)*(1+$B$4)^2</f>
        <v>0</v>
      </c>
      <c r="I34" s="987">
        <f>'Datos Gastos Fijos'!J15*(1+'G.F. 1'!$B$4)*(1+$B$4)^2</f>
        <v>0</v>
      </c>
      <c r="J34" s="987">
        <f>'Datos Gastos Fijos'!K15*(1+'G.F. 1'!$B$4)*(1+$B$4)^2</f>
        <v>0</v>
      </c>
      <c r="K34" s="987">
        <f>'Datos Gastos Fijos'!L15*(1+'G.F. 1'!$B$4)*(1+$B$4)^2</f>
        <v>0</v>
      </c>
      <c r="L34" s="987">
        <f>'Datos Gastos Fijos'!M15*(1+'G.F. 1'!$B$4)*(1+$B$4)^2</f>
        <v>0</v>
      </c>
      <c r="M34" s="987">
        <f>'Datos Gastos Fijos'!N15*(1+'G.F. 1'!$B$4)*(1+$B$4)^2</f>
        <v>0</v>
      </c>
      <c r="N34" s="987">
        <f>'Datos Gastos Fijos'!O15*(1+'G.F. 1'!$B$4)*(1+$B$4)^2</f>
        <v>0</v>
      </c>
      <c r="O34" s="987">
        <f t="shared" si="6"/>
        <v>0</v>
      </c>
      <c r="P34" s="805">
        <f t="shared" si="7"/>
        <v>0</v>
      </c>
    </row>
    <row r="35" spans="1:16" ht="18" thickBot="1" x14ac:dyDescent="0.35">
      <c r="A35" s="824" t="str">
        <f>'Datos Gastos Fijos'!A16</f>
        <v>Conexión a Internet (tarifa plana)</v>
      </c>
      <c r="B35" s="810">
        <f>'G.F. 1'!B35*(1+$B$4)^2</f>
        <v>0</v>
      </c>
      <c r="C35" s="987">
        <f>'Datos Gastos Fijos'!D16*(1+'G.F. 1'!$B$4)*(1+$B$4)^2</f>
        <v>0</v>
      </c>
      <c r="D35" s="987">
        <f>'Datos Gastos Fijos'!E16*(1+'G.F. 1'!$B$4)*(1+$B$4)^2</f>
        <v>0</v>
      </c>
      <c r="E35" s="987">
        <f>'Datos Gastos Fijos'!F16*(1+'G.F. 1'!$B$4)*(1+$B$4)^2</f>
        <v>0</v>
      </c>
      <c r="F35" s="987">
        <f>'Datos Gastos Fijos'!G16*(1+'G.F. 1'!$B$4)*(1+$B$4)^2</f>
        <v>0</v>
      </c>
      <c r="G35" s="987">
        <f>'Datos Gastos Fijos'!H16*(1+'G.F. 1'!$B$4)*(1+$B$4)^2</f>
        <v>0</v>
      </c>
      <c r="H35" s="987">
        <f>'Datos Gastos Fijos'!I16*(1+'G.F. 1'!$B$4)*(1+$B$4)^2</f>
        <v>0</v>
      </c>
      <c r="I35" s="987">
        <f>'Datos Gastos Fijos'!J16*(1+'G.F. 1'!$B$4)*(1+$B$4)^2</f>
        <v>0</v>
      </c>
      <c r="J35" s="987">
        <f>'Datos Gastos Fijos'!K16*(1+'G.F. 1'!$B$4)*(1+$B$4)^2</f>
        <v>0</v>
      </c>
      <c r="K35" s="987">
        <f>'Datos Gastos Fijos'!L16*(1+'G.F. 1'!$B$4)*(1+$B$4)^2</f>
        <v>0</v>
      </c>
      <c r="L35" s="987">
        <f>'Datos Gastos Fijos'!M16*(1+'G.F. 1'!$B$4)*(1+$B$4)^2</f>
        <v>0</v>
      </c>
      <c r="M35" s="987">
        <f>'Datos Gastos Fijos'!N16*(1+'G.F. 1'!$B$4)*(1+$B$4)^2</f>
        <v>0</v>
      </c>
      <c r="N35" s="987">
        <f>'Datos Gastos Fijos'!O16*(1+'G.F. 1'!$B$4)*(1+$B$4)^2</f>
        <v>0</v>
      </c>
      <c r="O35" s="987">
        <f t="shared" si="6"/>
        <v>0</v>
      </c>
      <c r="P35" s="805">
        <f t="shared" si="7"/>
        <v>0</v>
      </c>
    </row>
    <row r="36" spans="1:16" ht="18" thickBot="1" x14ac:dyDescent="0.35">
      <c r="A36" s="824" t="str">
        <f>'Datos Gastos Fijos'!A17</f>
        <v>Página Web (Host, mantenimiento, etc)</v>
      </c>
      <c r="B36" s="810">
        <f>'G.F. 1'!B36*(1+$B$4)^2</f>
        <v>0</v>
      </c>
      <c r="C36" s="987">
        <f>'Datos Gastos Fijos'!D17*(1+'G.F. 1'!$B$4)*(1+$B$4)^2</f>
        <v>0</v>
      </c>
      <c r="D36" s="987">
        <f>'Datos Gastos Fijos'!E17*(1+'G.F. 1'!$B$4)*(1+$B$4)^2</f>
        <v>0</v>
      </c>
      <c r="E36" s="987">
        <f>'Datos Gastos Fijos'!F17*(1+'G.F. 1'!$B$4)*(1+$B$4)^2</f>
        <v>0</v>
      </c>
      <c r="F36" s="987">
        <f>'Datos Gastos Fijos'!G17*(1+'G.F. 1'!$B$4)*(1+$B$4)^2</f>
        <v>0</v>
      </c>
      <c r="G36" s="987">
        <f>'Datos Gastos Fijos'!H17*(1+'G.F. 1'!$B$4)*(1+$B$4)^2</f>
        <v>0</v>
      </c>
      <c r="H36" s="987">
        <f>'Datos Gastos Fijos'!I17*(1+'G.F. 1'!$B$4)*(1+$B$4)^2</f>
        <v>0</v>
      </c>
      <c r="I36" s="987">
        <f>'Datos Gastos Fijos'!J17*(1+'G.F. 1'!$B$4)*(1+$B$4)^2</f>
        <v>0</v>
      </c>
      <c r="J36" s="987">
        <f>'Datos Gastos Fijos'!K17*(1+'G.F. 1'!$B$4)*(1+$B$4)^2</f>
        <v>0</v>
      </c>
      <c r="K36" s="987">
        <f>'Datos Gastos Fijos'!L17*(1+'G.F. 1'!$B$4)*(1+$B$4)^2</f>
        <v>0</v>
      </c>
      <c r="L36" s="987">
        <f>'Datos Gastos Fijos'!M17*(1+'G.F. 1'!$B$4)*(1+$B$4)^2</f>
        <v>0</v>
      </c>
      <c r="M36" s="987">
        <f>'Datos Gastos Fijos'!N17*(1+'G.F. 1'!$B$4)*(1+$B$4)^2</f>
        <v>0</v>
      </c>
      <c r="N36" s="987">
        <f>'Datos Gastos Fijos'!O17*(1+'G.F. 1'!$B$4)*(1+$B$4)^2</f>
        <v>0</v>
      </c>
      <c r="O36" s="987">
        <f t="shared" si="6"/>
        <v>0</v>
      </c>
      <c r="P36" s="805">
        <f t="shared" si="7"/>
        <v>0</v>
      </c>
    </row>
    <row r="37" spans="1:16" ht="18" thickBot="1" x14ac:dyDescent="0.35">
      <c r="A37" s="824" t="str">
        <f>'Datos Gastos Fijos'!A18</f>
        <v>Compañía de seguridad / Alarma</v>
      </c>
      <c r="B37" s="810">
        <f>'G.F. 1'!B37*(1+$B$4)^2</f>
        <v>0</v>
      </c>
      <c r="C37" s="987">
        <f>'Datos Gastos Fijos'!D18*(1+'G.F. 1'!$B$4)*(1+$B$4)^2</f>
        <v>0</v>
      </c>
      <c r="D37" s="987">
        <f>'Datos Gastos Fijos'!E18*(1+'G.F. 1'!$B$4)*(1+$B$4)^2</f>
        <v>0</v>
      </c>
      <c r="E37" s="987">
        <f>'Datos Gastos Fijos'!F18*(1+'G.F. 1'!$B$4)*(1+$B$4)^2</f>
        <v>0</v>
      </c>
      <c r="F37" s="987">
        <f>'Datos Gastos Fijos'!G18*(1+'G.F. 1'!$B$4)*(1+$B$4)^2</f>
        <v>0</v>
      </c>
      <c r="G37" s="987">
        <f>'Datos Gastos Fijos'!H18*(1+'G.F. 1'!$B$4)*(1+$B$4)^2</f>
        <v>0</v>
      </c>
      <c r="H37" s="987">
        <f>'Datos Gastos Fijos'!I18*(1+'G.F. 1'!$B$4)*(1+$B$4)^2</f>
        <v>0</v>
      </c>
      <c r="I37" s="987">
        <f>'Datos Gastos Fijos'!J18*(1+'G.F. 1'!$B$4)*(1+$B$4)^2</f>
        <v>0</v>
      </c>
      <c r="J37" s="987">
        <f>'Datos Gastos Fijos'!K18*(1+'G.F. 1'!$B$4)*(1+$B$4)^2</f>
        <v>0</v>
      </c>
      <c r="K37" s="987">
        <f>'Datos Gastos Fijos'!L18*(1+'G.F. 1'!$B$4)*(1+$B$4)^2</f>
        <v>0</v>
      </c>
      <c r="L37" s="987">
        <f>'Datos Gastos Fijos'!M18*(1+'G.F. 1'!$B$4)*(1+$B$4)^2</f>
        <v>0</v>
      </c>
      <c r="M37" s="987">
        <f>'Datos Gastos Fijos'!N18*(1+'G.F. 1'!$B$4)*(1+$B$4)^2</f>
        <v>0</v>
      </c>
      <c r="N37" s="987">
        <f>'Datos Gastos Fijos'!O18*(1+'G.F. 1'!$B$4)*(1+$B$4)^2</f>
        <v>0</v>
      </c>
      <c r="O37" s="987">
        <f t="shared" si="6"/>
        <v>0</v>
      </c>
      <c r="P37" s="805">
        <f t="shared" si="7"/>
        <v>0</v>
      </c>
    </row>
    <row r="38" spans="1:16" ht="18" thickBot="1" x14ac:dyDescent="0.35">
      <c r="A38" s="824" t="str">
        <f>'G.F. 0'!A38</f>
        <v>Material de oficina</v>
      </c>
      <c r="B38" s="810">
        <f>'G.F. 1'!B38*(1+$B$4)^2</f>
        <v>0</v>
      </c>
      <c r="C38" s="987">
        <f>'Datos Gastos Fijos'!D19*(1+'G.F. 1'!$B$4)*(1+$B$4)^2</f>
        <v>0</v>
      </c>
      <c r="D38" s="987">
        <f>'Datos Gastos Fijos'!E19*(1+'G.F. 1'!$B$4)*(1+$B$4)^2</f>
        <v>0</v>
      </c>
      <c r="E38" s="987">
        <f>'Datos Gastos Fijos'!F19*(1+'G.F. 1'!$B$4)*(1+$B$4)^2</f>
        <v>0</v>
      </c>
      <c r="F38" s="987">
        <f>'Datos Gastos Fijos'!G19*(1+'G.F. 1'!$B$4)*(1+$B$4)^2</f>
        <v>0</v>
      </c>
      <c r="G38" s="987">
        <f>'Datos Gastos Fijos'!H19*(1+'G.F. 1'!$B$4)*(1+$B$4)^2</f>
        <v>0</v>
      </c>
      <c r="H38" s="987">
        <f>'Datos Gastos Fijos'!I19*(1+'G.F. 1'!$B$4)*(1+$B$4)^2</f>
        <v>0</v>
      </c>
      <c r="I38" s="987">
        <f>'Datos Gastos Fijos'!J19*(1+'G.F. 1'!$B$4)*(1+$B$4)^2</f>
        <v>0</v>
      </c>
      <c r="J38" s="987">
        <f>'Datos Gastos Fijos'!K19*(1+'G.F. 1'!$B$4)*(1+$B$4)^2</f>
        <v>0</v>
      </c>
      <c r="K38" s="987">
        <f>'Datos Gastos Fijos'!L19*(1+'G.F. 1'!$B$4)*(1+$B$4)^2</f>
        <v>0</v>
      </c>
      <c r="L38" s="987">
        <f>'Datos Gastos Fijos'!M19*(1+'G.F. 1'!$B$4)*(1+$B$4)^2</f>
        <v>0</v>
      </c>
      <c r="M38" s="987">
        <f>'Datos Gastos Fijos'!N19*(1+'G.F. 1'!$B$4)*(1+$B$4)^2</f>
        <v>0</v>
      </c>
      <c r="N38" s="987">
        <f>'Datos Gastos Fijos'!O19*(1+'G.F. 1'!$B$4)*(1+$B$4)^2</f>
        <v>0</v>
      </c>
      <c r="O38" s="987">
        <f t="shared" si="6"/>
        <v>0</v>
      </c>
      <c r="P38" s="805">
        <f t="shared" si="7"/>
        <v>0</v>
      </c>
    </row>
    <row r="39" spans="1:16" ht="18" thickBot="1" x14ac:dyDescent="0.35">
      <c r="A39" s="824" t="str">
        <f>'G.F. 0'!A39</f>
        <v>Publicidad y propaganda</v>
      </c>
      <c r="B39" s="810">
        <f>'G.F. 1'!B39*(1+$B$4)^2</f>
        <v>0</v>
      </c>
      <c r="C39" s="987">
        <f>'Datos Gastos Fijos'!D20*(1+'G.F. 1'!$B$4)*(1+$B$4)^2</f>
        <v>0</v>
      </c>
      <c r="D39" s="987">
        <f>'Datos Gastos Fijos'!E20*(1+'G.F. 1'!$B$4)*(1+$B$4)^2</f>
        <v>0</v>
      </c>
      <c r="E39" s="987">
        <f>'Datos Gastos Fijos'!F20*(1+'G.F. 1'!$B$4)*(1+$B$4)^2</f>
        <v>0</v>
      </c>
      <c r="F39" s="987">
        <f>'Datos Gastos Fijos'!G20*(1+'G.F. 1'!$B$4)*(1+$B$4)^2</f>
        <v>0</v>
      </c>
      <c r="G39" s="987">
        <f>'Datos Gastos Fijos'!H20*(1+'G.F. 1'!$B$4)*(1+$B$4)^2</f>
        <v>0</v>
      </c>
      <c r="H39" s="987">
        <f>'Datos Gastos Fijos'!I20*(1+'G.F. 1'!$B$4)*(1+$B$4)^2</f>
        <v>0</v>
      </c>
      <c r="I39" s="987">
        <f>'Datos Gastos Fijos'!J20*(1+'G.F. 1'!$B$4)*(1+$B$4)^2</f>
        <v>0</v>
      </c>
      <c r="J39" s="987">
        <f>'Datos Gastos Fijos'!K20*(1+'G.F. 1'!$B$4)*(1+$B$4)^2</f>
        <v>0</v>
      </c>
      <c r="K39" s="987">
        <f>'Datos Gastos Fijos'!L20*(1+'G.F. 1'!$B$4)*(1+$B$4)^2</f>
        <v>0</v>
      </c>
      <c r="L39" s="987">
        <f>'Datos Gastos Fijos'!M20*(1+'G.F. 1'!$B$4)*(1+$B$4)^2</f>
        <v>0</v>
      </c>
      <c r="M39" s="987">
        <f>'Datos Gastos Fijos'!N20*(1+'G.F. 1'!$B$4)*(1+$B$4)^2</f>
        <v>0</v>
      </c>
      <c r="N39" s="987">
        <f>'Datos Gastos Fijos'!O20*(1+'G.F. 1'!$B$4)*(1+$B$4)^2</f>
        <v>0</v>
      </c>
      <c r="O39" s="987">
        <f t="shared" si="6"/>
        <v>0</v>
      </c>
      <c r="P39" s="805">
        <f t="shared" si="7"/>
        <v>0</v>
      </c>
    </row>
    <row r="40" spans="1:16" ht="18" thickBot="1" x14ac:dyDescent="0.35">
      <c r="A40" s="824" t="s">
        <v>41</v>
      </c>
      <c r="B40" s="810">
        <f>'G.F. 1'!B40*(1+$B$4)^2</f>
        <v>0</v>
      </c>
      <c r="C40" s="987">
        <f>'Datos Gastos Fijos'!D21*(1+'G.F. 1'!$B$4)*(1+$B$4)^2</f>
        <v>0</v>
      </c>
      <c r="D40" s="987">
        <f>'Datos Gastos Fijos'!E21*(1+'G.F. 1'!$B$4)*(1+$B$4)^2</f>
        <v>0</v>
      </c>
      <c r="E40" s="987">
        <f>'Datos Gastos Fijos'!F21*(1+'G.F. 1'!$B$4)*(1+$B$4)^2</f>
        <v>0</v>
      </c>
      <c r="F40" s="987">
        <f>'Datos Gastos Fijos'!G21*(1+'G.F. 1'!$B$4)*(1+$B$4)^2</f>
        <v>0</v>
      </c>
      <c r="G40" s="987">
        <f>'Datos Gastos Fijos'!H21*(1+'G.F. 1'!$B$4)*(1+$B$4)^2</f>
        <v>0</v>
      </c>
      <c r="H40" s="987">
        <f>'Datos Gastos Fijos'!I21*(1+'G.F. 1'!$B$4)*(1+$B$4)^2</f>
        <v>0</v>
      </c>
      <c r="I40" s="987">
        <f>'Datos Gastos Fijos'!J21*(1+'G.F. 1'!$B$4)*(1+$B$4)^2</f>
        <v>0</v>
      </c>
      <c r="J40" s="987">
        <f>'Datos Gastos Fijos'!K21*(1+'G.F. 1'!$B$4)*(1+$B$4)^2</f>
        <v>0</v>
      </c>
      <c r="K40" s="987">
        <f>'Datos Gastos Fijos'!L21*(1+'G.F. 1'!$B$4)*(1+$B$4)^2</f>
        <v>0</v>
      </c>
      <c r="L40" s="987">
        <f>'Datos Gastos Fijos'!M21*(1+'G.F. 1'!$B$4)*(1+$B$4)^2</f>
        <v>0</v>
      </c>
      <c r="M40" s="987">
        <f>'Datos Gastos Fijos'!N21*(1+'G.F. 1'!$B$4)*(1+$B$4)^2</f>
        <v>0</v>
      </c>
      <c r="N40" s="987">
        <f>'Datos Gastos Fijos'!O21*(1+'G.F. 1'!$B$4)*(1+$B$4)^2</f>
        <v>0</v>
      </c>
      <c r="O40" s="987">
        <f t="shared" si="6"/>
        <v>0</v>
      </c>
      <c r="P40" s="805">
        <f t="shared" si="7"/>
        <v>0</v>
      </c>
    </row>
    <row r="41" spans="1:16" ht="18" thickBot="1" x14ac:dyDescent="0.35">
      <c r="A41" s="824" t="str">
        <f>'G.F. 0'!A41</f>
        <v>Asesoría</v>
      </c>
      <c r="B41" s="810">
        <f>'G.F. 1'!B41*(1+$B$4)^2</f>
        <v>0</v>
      </c>
      <c r="C41" s="987">
        <f>'Datos Gastos Fijos'!D22*(1+'G.F. 1'!$B$4)*(1+$B$4)^2</f>
        <v>0</v>
      </c>
      <c r="D41" s="987">
        <f>'Datos Gastos Fijos'!E22*(1+'G.F. 1'!$B$4)*(1+$B$4)^2</f>
        <v>0</v>
      </c>
      <c r="E41" s="987">
        <f>'Datos Gastos Fijos'!F22*(1+'G.F. 1'!$B$4)*(1+$B$4)^2</f>
        <v>0</v>
      </c>
      <c r="F41" s="987">
        <f>'Datos Gastos Fijos'!G22*(1+'G.F. 1'!$B$4)*(1+$B$4)^2</f>
        <v>0</v>
      </c>
      <c r="G41" s="987">
        <f>'Datos Gastos Fijos'!H22*(1+'G.F. 1'!$B$4)*(1+$B$4)^2</f>
        <v>0</v>
      </c>
      <c r="H41" s="987">
        <f>'Datos Gastos Fijos'!I22*(1+'G.F. 1'!$B$4)*(1+$B$4)^2</f>
        <v>0</v>
      </c>
      <c r="I41" s="987">
        <f>'Datos Gastos Fijos'!J22*(1+'G.F. 1'!$B$4)*(1+$B$4)^2</f>
        <v>0</v>
      </c>
      <c r="J41" s="987">
        <f>'Datos Gastos Fijos'!K22*(1+'G.F. 1'!$B$4)*(1+$B$4)^2</f>
        <v>0</v>
      </c>
      <c r="K41" s="987">
        <f>'Datos Gastos Fijos'!L22*(1+'G.F. 1'!$B$4)*(1+$B$4)^2</f>
        <v>0</v>
      </c>
      <c r="L41" s="987">
        <f>'Datos Gastos Fijos'!M22*(1+'G.F. 1'!$B$4)*(1+$B$4)^2</f>
        <v>0</v>
      </c>
      <c r="M41" s="987">
        <f>'Datos Gastos Fijos'!N22*(1+'G.F. 1'!$B$4)*(1+$B$4)^2</f>
        <v>0</v>
      </c>
      <c r="N41" s="987">
        <f>'Datos Gastos Fijos'!O22*(1+'G.F. 1'!$B$4)*(1+$B$4)^2</f>
        <v>0</v>
      </c>
      <c r="O41" s="987">
        <f t="shared" si="6"/>
        <v>0</v>
      </c>
      <c r="P41" s="805">
        <f t="shared" si="7"/>
        <v>0</v>
      </c>
    </row>
    <row r="42" spans="1:16" ht="18" thickBot="1" x14ac:dyDescent="0.35">
      <c r="A42" s="824" t="str">
        <f>'G.F. 0'!A42</f>
        <v>Arrendamientos</v>
      </c>
      <c r="B42" s="810">
        <f>'G.F. 1'!B42*(1+$B$4)^2</f>
        <v>0</v>
      </c>
      <c r="C42" s="987">
        <f>'Datos Gastos Fijos'!D23*(1+'G.F. 1'!$B$4)*(1+$B$4)^2</f>
        <v>0</v>
      </c>
      <c r="D42" s="987">
        <f>'Datos Gastos Fijos'!E23*(1+'G.F. 1'!$B$4)*(1+$B$4)^2</f>
        <v>0</v>
      </c>
      <c r="E42" s="987">
        <f>'Datos Gastos Fijos'!F23*(1+'G.F. 1'!$B$4)*(1+$B$4)^2</f>
        <v>0</v>
      </c>
      <c r="F42" s="987">
        <f>'Datos Gastos Fijos'!G23*(1+'G.F. 1'!$B$4)*(1+$B$4)^2</f>
        <v>0</v>
      </c>
      <c r="G42" s="987">
        <f>'Datos Gastos Fijos'!H23*(1+'G.F. 1'!$B$4)*(1+$B$4)^2</f>
        <v>0</v>
      </c>
      <c r="H42" s="987">
        <f>'Datos Gastos Fijos'!I23*(1+'G.F. 1'!$B$4)*(1+$B$4)^2</f>
        <v>0</v>
      </c>
      <c r="I42" s="987">
        <f>'Datos Gastos Fijos'!J23*(1+'G.F. 1'!$B$4)*(1+$B$4)^2</f>
        <v>0</v>
      </c>
      <c r="J42" s="987">
        <f>'Datos Gastos Fijos'!K23*(1+'G.F. 1'!$B$4)*(1+$B$4)^2</f>
        <v>0</v>
      </c>
      <c r="K42" s="987">
        <f>'Datos Gastos Fijos'!L23*(1+'G.F. 1'!$B$4)*(1+$B$4)^2</f>
        <v>0</v>
      </c>
      <c r="L42" s="987">
        <f>'Datos Gastos Fijos'!M23*(1+'G.F. 1'!$B$4)*(1+$B$4)^2</f>
        <v>0</v>
      </c>
      <c r="M42" s="987">
        <f>'Datos Gastos Fijos'!N23*(1+'G.F. 1'!$B$4)*(1+$B$4)^2</f>
        <v>0</v>
      </c>
      <c r="N42" s="987">
        <f>'Datos Gastos Fijos'!O23*(1+'G.F. 1'!$B$4)*(1+$B$4)^2</f>
        <v>0</v>
      </c>
      <c r="O42" s="987">
        <f t="shared" si="6"/>
        <v>0</v>
      </c>
      <c r="P42" s="805">
        <f t="shared" si="7"/>
        <v>0</v>
      </c>
    </row>
    <row r="43" spans="1:16" ht="18" thickBot="1" x14ac:dyDescent="0.35">
      <c r="A43" s="824" t="str">
        <f>'G.F. 0'!A43</f>
        <v>Transporte</v>
      </c>
      <c r="B43" s="810">
        <f>'G.F. 1'!B43*(1+$B$4)^2</f>
        <v>0</v>
      </c>
      <c r="C43" s="987">
        <f>'Datos Gastos Fijos'!D24*(1+'G.F. 1'!$B$4)*(1+$B$4)^2</f>
        <v>0</v>
      </c>
      <c r="D43" s="987">
        <f>'Datos Gastos Fijos'!E24*(1+'G.F. 1'!$B$4)*(1+$B$4)^2</f>
        <v>0</v>
      </c>
      <c r="E43" s="987">
        <f>'Datos Gastos Fijos'!F24*(1+'G.F. 1'!$B$4)*(1+$B$4)^2</f>
        <v>0</v>
      </c>
      <c r="F43" s="987">
        <f>'Datos Gastos Fijos'!G24*(1+'G.F. 1'!$B$4)*(1+$B$4)^2</f>
        <v>0</v>
      </c>
      <c r="G43" s="987">
        <f>'Datos Gastos Fijos'!H24*(1+'G.F. 1'!$B$4)*(1+$B$4)^2</f>
        <v>0</v>
      </c>
      <c r="H43" s="987">
        <f>'Datos Gastos Fijos'!I24*(1+'G.F. 1'!$B$4)*(1+$B$4)^2</f>
        <v>0</v>
      </c>
      <c r="I43" s="987">
        <f>'Datos Gastos Fijos'!J24*(1+'G.F. 1'!$B$4)*(1+$B$4)^2</f>
        <v>0</v>
      </c>
      <c r="J43" s="987">
        <f>'Datos Gastos Fijos'!K24*(1+'G.F. 1'!$B$4)*(1+$B$4)^2</f>
        <v>0</v>
      </c>
      <c r="K43" s="987">
        <f>'Datos Gastos Fijos'!L24*(1+'G.F. 1'!$B$4)*(1+$B$4)^2</f>
        <v>0</v>
      </c>
      <c r="L43" s="987">
        <f>'Datos Gastos Fijos'!M24*(1+'G.F. 1'!$B$4)*(1+$B$4)^2</f>
        <v>0</v>
      </c>
      <c r="M43" s="987">
        <f>'Datos Gastos Fijos'!N24*(1+'G.F. 1'!$B$4)*(1+$B$4)^2</f>
        <v>0</v>
      </c>
      <c r="N43" s="987">
        <f>'Datos Gastos Fijos'!O24*(1+'G.F. 1'!$B$4)*(1+$B$4)^2</f>
        <v>0</v>
      </c>
      <c r="O43" s="987">
        <f t="shared" si="6"/>
        <v>0</v>
      </c>
      <c r="P43" s="805">
        <f t="shared" si="7"/>
        <v>0</v>
      </c>
    </row>
    <row r="44" spans="1:16" ht="18" thickBot="1" x14ac:dyDescent="0.35">
      <c r="A44" s="824" t="str">
        <f>'G.F. 0'!A44</f>
        <v>Mantenimiento y reparación</v>
      </c>
      <c r="B44" s="810">
        <f>'G.F. 1'!B44*(1+$B$4)^2</f>
        <v>0</v>
      </c>
      <c r="C44" s="987">
        <f>'Datos Gastos Fijos'!D25*(1+'G.F. 1'!$B$4)*(1+$B$4)^2</f>
        <v>0</v>
      </c>
      <c r="D44" s="987">
        <f>'Datos Gastos Fijos'!E25*(1+'G.F. 1'!$B$4)*(1+$B$4)^2</f>
        <v>0</v>
      </c>
      <c r="E44" s="987">
        <f>'Datos Gastos Fijos'!F25*(1+'G.F. 1'!$B$4)*(1+$B$4)^2</f>
        <v>0</v>
      </c>
      <c r="F44" s="987">
        <f>'Datos Gastos Fijos'!G25*(1+'G.F. 1'!$B$4)*(1+$B$4)^2</f>
        <v>0</v>
      </c>
      <c r="G44" s="987">
        <f>'Datos Gastos Fijos'!H25*(1+'G.F. 1'!$B$4)*(1+$B$4)^2</f>
        <v>0</v>
      </c>
      <c r="H44" s="987">
        <f>'Datos Gastos Fijos'!I25*(1+'G.F. 1'!$B$4)*(1+$B$4)^2</f>
        <v>0</v>
      </c>
      <c r="I44" s="987">
        <f>'Datos Gastos Fijos'!J25*(1+'G.F. 1'!$B$4)*(1+$B$4)^2</f>
        <v>0</v>
      </c>
      <c r="J44" s="987">
        <f>'Datos Gastos Fijos'!K25*(1+'G.F. 1'!$B$4)*(1+$B$4)^2</f>
        <v>0</v>
      </c>
      <c r="K44" s="987">
        <f>'Datos Gastos Fijos'!L25*(1+'G.F. 1'!$B$4)*(1+$B$4)^2</f>
        <v>0</v>
      </c>
      <c r="L44" s="987">
        <f>'Datos Gastos Fijos'!M25*(1+'G.F. 1'!$B$4)*(1+$B$4)^2</f>
        <v>0</v>
      </c>
      <c r="M44" s="987">
        <f>'Datos Gastos Fijos'!N25*(1+'G.F. 1'!$B$4)*(1+$B$4)^2</f>
        <v>0</v>
      </c>
      <c r="N44" s="987">
        <f>'Datos Gastos Fijos'!O25*(1+'G.F. 1'!$B$4)*(1+$B$4)^2</f>
        <v>0</v>
      </c>
      <c r="O44" s="987">
        <f t="shared" si="6"/>
        <v>0</v>
      </c>
      <c r="P44" s="805">
        <f t="shared" si="7"/>
        <v>0</v>
      </c>
    </row>
    <row r="45" spans="1:16" ht="18" thickBot="1" x14ac:dyDescent="0.35">
      <c r="A45" s="824" t="str">
        <f>'G.F. 0'!A45</f>
        <v>Otros gastos imprevistos</v>
      </c>
      <c r="B45" s="810">
        <f>'G.F. 1'!B45*(1+$B$4)^2</f>
        <v>0</v>
      </c>
      <c r="C45" s="987">
        <f>'Datos Gastos Fijos'!D26*(1+'G.F. 1'!$B$4)*(1+$B$4)^2</f>
        <v>0</v>
      </c>
      <c r="D45" s="987">
        <f>'Datos Gastos Fijos'!E26*(1+'G.F. 1'!$B$4)*(1+$B$4)^2</f>
        <v>0</v>
      </c>
      <c r="E45" s="987">
        <f>'Datos Gastos Fijos'!F26*(1+'G.F. 1'!$B$4)*(1+$B$4)^2</f>
        <v>0</v>
      </c>
      <c r="F45" s="987">
        <f>'Datos Gastos Fijos'!G26*(1+'G.F. 1'!$B$4)*(1+$B$4)^2</f>
        <v>0</v>
      </c>
      <c r="G45" s="987">
        <f>'Datos Gastos Fijos'!H26*(1+'G.F. 1'!$B$4)*(1+$B$4)^2</f>
        <v>0</v>
      </c>
      <c r="H45" s="987">
        <f>'Datos Gastos Fijos'!I26*(1+'G.F. 1'!$B$4)*(1+$B$4)^2</f>
        <v>0</v>
      </c>
      <c r="I45" s="987">
        <f>'Datos Gastos Fijos'!J26*(1+'G.F. 1'!$B$4)*(1+$B$4)^2</f>
        <v>0</v>
      </c>
      <c r="J45" s="987">
        <f>'Datos Gastos Fijos'!K26*(1+'G.F. 1'!$B$4)*(1+$B$4)^2</f>
        <v>0</v>
      </c>
      <c r="K45" s="987">
        <f>'Datos Gastos Fijos'!L26*(1+'G.F. 1'!$B$4)*(1+$B$4)^2</f>
        <v>0</v>
      </c>
      <c r="L45" s="987">
        <f>'Datos Gastos Fijos'!M26*(1+'G.F. 1'!$B$4)*(1+$B$4)^2</f>
        <v>0</v>
      </c>
      <c r="M45" s="987">
        <f>'Datos Gastos Fijos'!N26*(1+'G.F. 1'!$B$4)*(1+$B$4)^2</f>
        <v>0</v>
      </c>
      <c r="N45" s="987">
        <f>'Datos Gastos Fijos'!O26*(1+'G.F. 1'!$B$4)*(1+$B$4)^2</f>
        <v>0</v>
      </c>
      <c r="O45" s="987">
        <f t="shared" si="6"/>
        <v>0</v>
      </c>
      <c r="P45" s="805">
        <f t="shared" si="7"/>
        <v>0</v>
      </c>
    </row>
    <row r="46" spans="1:16" ht="18" thickBot="1" x14ac:dyDescent="0.35">
      <c r="A46" s="825" t="s">
        <v>25</v>
      </c>
      <c r="B46" s="638"/>
      <c r="C46" s="468">
        <f t="shared" ref="C46:O46" si="8">SUM(C27:C45)</f>
        <v>0</v>
      </c>
      <c r="D46" s="638">
        <f t="shared" si="8"/>
        <v>0</v>
      </c>
      <c r="E46" s="638">
        <f t="shared" si="8"/>
        <v>0</v>
      </c>
      <c r="F46" s="638">
        <f t="shared" si="8"/>
        <v>0</v>
      </c>
      <c r="G46" s="638">
        <f t="shared" si="8"/>
        <v>0</v>
      </c>
      <c r="H46" s="638">
        <f t="shared" si="8"/>
        <v>0</v>
      </c>
      <c r="I46" s="638">
        <f t="shared" si="8"/>
        <v>0</v>
      </c>
      <c r="J46" s="638">
        <f t="shared" si="8"/>
        <v>0</v>
      </c>
      <c r="K46" s="638">
        <f t="shared" si="8"/>
        <v>0</v>
      </c>
      <c r="L46" s="638">
        <f t="shared" si="8"/>
        <v>0</v>
      </c>
      <c r="M46" s="638">
        <f t="shared" si="8"/>
        <v>0</v>
      </c>
      <c r="N46" s="638">
        <f t="shared" si="8"/>
        <v>0</v>
      </c>
      <c r="O46" s="638">
        <f t="shared" si="8"/>
        <v>0</v>
      </c>
      <c r="P46" s="820">
        <f t="shared" si="7"/>
        <v>0</v>
      </c>
    </row>
    <row r="47" spans="1:16" ht="18.75" thickTop="1" thickBot="1" x14ac:dyDescent="0.35">
      <c r="A47" s="446"/>
      <c r="B47" s="826"/>
      <c r="C47" s="827"/>
      <c r="D47" s="827"/>
      <c r="E47" s="827"/>
      <c r="F47" s="827"/>
      <c r="G47" s="827"/>
      <c r="H47" s="827"/>
      <c r="I47" s="827"/>
      <c r="J47" s="827"/>
      <c r="K47" s="827"/>
      <c r="L47" s="827"/>
      <c r="M47" s="827"/>
      <c r="N47" s="827"/>
      <c r="O47" s="828"/>
      <c r="P47" s="829"/>
    </row>
    <row r="48" spans="1:16" ht="18" thickBot="1" x14ac:dyDescent="0.35">
      <c r="B48" s="830" t="s">
        <v>865</v>
      </c>
      <c r="C48" s="831">
        <f t="shared" ref="C48:O48" si="9">C24+C46</f>
        <v>1579.3389440000001</v>
      </c>
      <c r="D48" s="831">
        <f t="shared" si="9"/>
        <v>1579.3389440000001</v>
      </c>
      <c r="E48" s="831">
        <f t="shared" si="9"/>
        <v>1579.3389440000001</v>
      </c>
      <c r="F48" s="832">
        <f t="shared" si="9"/>
        <v>1579.3389440000001</v>
      </c>
      <c r="G48" s="832">
        <f t="shared" si="9"/>
        <v>1579.3389440000001</v>
      </c>
      <c r="H48" s="832">
        <f t="shared" si="9"/>
        <v>1579.3389440000001</v>
      </c>
      <c r="I48" s="832">
        <f t="shared" si="9"/>
        <v>1579.3389440000001</v>
      </c>
      <c r="J48" s="832">
        <f t="shared" si="9"/>
        <v>1579.3389440000001</v>
      </c>
      <c r="K48" s="832">
        <f t="shared" si="9"/>
        <v>1579.3389440000001</v>
      </c>
      <c r="L48" s="832">
        <f t="shared" si="9"/>
        <v>1579.3389440000001</v>
      </c>
      <c r="M48" s="832">
        <f t="shared" si="9"/>
        <v>1579.3389440000001</v>
      </c>
      <c r="N48" s="832">
        <f t="shared" si="9"/>
        <v>1579.3389440000001</v>
      </c>
      <c r="O48" s="832">
        <f t="shared" si="9"/>
        <v>18952.067327999997</v>
      </c>
      <c r="P48" s="833">
        <f>O48/$O$48</f>
        <v>1</v>
      </c>
    </row>
    <row r="49" spans="1:15" ht="16.5" customHeight="1" thickTop="1" thickBot="1" x14ac:dyDescent="0.35">
      <c r="F49" s="834"/>
      <c r="G49" s="834"/>
      <c r="H49" s="834"/>
      <c r="I49" s="834"/>
      <c r="J49" s="834"/>
      <c r="K49" s="834"/>
      <c r="L49" s="834"/>
      <c r="M49" s="834"/>
      <c r="N49" s="834"/>
      <c r="O49" s="834"/>
    </row>
    <row r="50" spans="1:15" ht="18.75" thickTop="1" thickBot="1" x14ac:dyDescent="0.35">
      <c r="A50" s="835" t="s">
        <v>957</v>
      </c>
      <c r="B50" s="836">
        <f>Parametros!$F$33</f>
        <v>0.21</v>
      </c>
      <c r="C50" s="837">
        <f t="shared" ref="C50:N50" si="10">$B50*SUM(C31:C45)</f>
        <v>0</v>
      </c>
      <c r="D50" s="837">
        <f t="shared" si="10"/>
        <v>0</v>
      </c>
      <c r="E50" s="837">
        <f t="shared" si="10"/>
        <v>0</v>
      </c>
      <c r="F50" s="838">
        <f t="shared" si="10"/>
        <v>0</v>
      </c>
      <c r="G50" s="838">
        <f t="shared" si="10"/>
        <v>0</v>
      </c>
      <c r="H50" s="838">
        <f t="shared" si="10"/>
        <v>0</v>
      </c>
      <c r="I50" s="838">
        <f t="shared" si="10"/>
        <v>0</v>
      </c>
      <c r="J50" s="838">
        <f t="shared" si="10"/>
        <v>0</v>
      </c>
      <c r="K50" s="838">
        <f t="shared" si="10"/>
        <v>0</v>
      </c>
      <c r="L50" s="838">
        <f t="shared" si="10"/>
        <v>0</v>
      </c>
      <c r="M50" s="838">
        <f t="shared" si="10"/>
        <v>0</v>
      </c>
      <c r="N50" s="838">
        <f t="shared" si="10"/>
        <v>0</v>
      </c>
      <c r="O50" s="839">
        <f>SUM(C50:N50)</f>
        <v>0</v>
      </c>
    </row>
    <row r="51" spans="1:15" ht="18" thickTop="1" x14ac:dyDescent="0.3"/>
  </sheetData>
  <sheetProtection sheet="1" objects="1" scenarios="1" formatCells="0" formatColumns="0"/>
  <phoneticPr fontId="13" type="noConversion"/>
  <conditionalFormatting sqref="C9:N9 C11:N12 C14:N16 C18:N19 C21:N22">
    <cfRule type="expression" dxfId="21" priority="2" stopIfTrue="1">
      <formula>C9=""</formula>
    </cfRule>
  </conditionalFormatting>
  <conditionalFormatting sqref="C27:N45">
    <cfRule type="expression" dxfId="20" priority="1" stopIfTrue="1">
      <formula>C$9=""</formula>
    </cfRule>
  </conditionalFormatting>
  <printOptions horizontalCentered="1"/>
  <pageMargins left="0.75" right="0.75" top="0.41" bottom="0.52" header="0" footer="0"/>
  <pageSetup paperSize="9" scale="62" orientation="landscape" horizontalDpi="300"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Hoja46">
    <tabColor rgb="FF7CC9D0"/>
    <pageSetUpPr fitToPage="1"/>
  </sheetPr>
  <dimension ref="A1:P51"/>
  <sheetViews>
    <sheetView showGridLines="0" workbookViewId="0"/>
  </sheetViews>
  <sheetFormatPr baseColWidth="10" defaultRowHeight="17.25" x14ac:dyDescent="0.3"/>
  <cols>
    <col min="1" max="1" width="26.75" style="307" bestFit="1" customWidth="1"/>
    <col min="2" max="2" width="9.25" style="307" customWidth="1"/>
    <col min="3" max="3" width="11.125" style="307" bestFit="1" customWidth="1"/>
    <col min="4" max="4" width="11.625" style="307" customWidth="1"/>
    <col min="5" max="5" width="11.125" style="307" bestFit="1" customWidth="1"/>
    <col min="6" max="6" width="12.75" style="307" customWidth="1"/>
    <col min="7" max="7" width="12.875" style="307" customWidth="1"/>
    <col min="8" max="10" width="11.125" style="307" bestFit="1" customWidth="1"/>
    <col min="11" max="11" width="11.75" style="307" bestFit="1" customWidth="1"/>
    <col min="12" max="14" width="11.125" style="307" bestFit="1" customWidth="1"/>
    <col min="15" max="15" width="12" style="307" bestFit="1" customWidth="1"/>
    <col min="16" max="16" width="8.625" style="307" customWidth="1"/>
    <col min="17" max="16384" width="11" style="307"/>
  </cols>
  <sheetData>
    <row r="1" spans="1:16" ht="27.75" x14ac:dyDescent="0.45">
      <c r="A1" s="408" t="s">
        <v>456</v>
      </c>
      <c r="B1" s="445"/>
      <c r="C1" s="446"/>
      <c r="D1" s="446"/>
      <c r="E1" s="446"/>
      <c r="G1" s="948">
        <f>'Datos Básicos'!F16</f>
        <v>4</v>
      </c>
      <c r="H1" s="470">
        <f>'Datos Básicos'!D17+2</f>
        <v>2030</v>
      </c>
    </row>
    <row r="2" spans="1:16" ht="27.75" x14ac:dyDescent="0.45">
      <c r="A2" s="408">
        <f>'Datos Básicos'!B8</f>
        <v>0</v>
      </c>
      <c r="B2" s="445"/>
      <c r="C2" s="446"/>
      <c r="D2" s="446"/>
      <c r="E2" s="446"/>
      <c r="F2" s="446"/>
      <c r="G2" s="446"/>
      <c r="H2" s="446"/>
    </row>
    <row r="3" spans="1:16" x14ac:dyDescent="0.3">
      <c r="D3" s="446"/>
      <c r="E3" s="446"/>
      <c r="F3" s="446"/>
      <c r="G3" s="446"/>
      <c r="H3" s="446"/>
    </row>
    <row r="4" spans="1:16" x14ac:dyDescent="0.3">
      <c r="A4" s="794" t="s">
        <v>478</v>
      </c>
      <c r="B4" s="986">
        <f>Parametros!F14</f>
        <v>0.02</v>
      </c>
      <c r="C4" s="398"/>
      <c r="D4" s="398"/>
      <c r="E4" s="398"/>
      <c r="F4" s="398"/>
      <c r="G4" s="398"/>
      <c r="H4" s="398"/>
    </row>
    <row r="5" spans="1:16" x14ac:dyDescent="0.3">
      <c r="B5" s="398"/>
      <c r="C5" s="398"/>
      <c r="D5" s="398"/>
      <c r="E5" s="398"/>
      <c r="F5" s="398"/>
      <c r="G5" s="398"/>
      <c r="H5" s="398"/>
    </row>
    <row r="6" spans="1:16" ht="18" thickBot="1" x14ac:dyDescent="0.35">
      <c r="C6" s="446"/>
      <c r="D6" s="446"/>
      <c r="E6" s="446"/>
      <c r="F6" s="446"/>
      <c r="G6" s="446"/>
      <c r="H6" s="446"/>
    </row>
    <row r="7" spans="1:16" ht="18.75" thickTop="1" thickBot="1" x14ac:dyDescent="0.35">
      <c r="B7" s="795" t="s">
        <v>958</v>
      </c>
      <c r="C7" s="447" t="str">
        <f>'Datos Gastos Fijos'!D7</f>
        <v>enero</v>
      </c>
      <c r="D7" s="447" t="str">
        <f>'Datos Gastos Fijos'!E7</f>
        <v>febrero</v>
      </c>
      <c r="E7" s="447" t="str">
        <f>'Datos Gastos Fijos'!F7</f>
        <v>marzo</v>
      </c>
      <c r="F7" s="447" t="str">
        <f>'Datos Gastos Fijos'!G7</f>
        <v>abril</v>
      </c>
      <c r="G7" s="447" t="str">
        <f>'Datos Gastos Fijos'!H7</f>
        <v>mayo</v>
      </c>
      <c r="H7" s="447" t="str">
        <f>'Datos Gastos Fijos'!I7</f>
        <v>junio</v>
      </c>
      <c r="I7" s="447" t="str">
        <f>'Datos Gastos Fijos'!J7</f>
        <v>julio</v>
      </c>
      <c r="J7" s="447" t="str">
        <f>'Datos Gastos Fijos'!K7</f>
        <v>agosto</v>
      </c>
      <c r="K7" s="447" t="str">
        <f>'Datos Gastos Fijos'!L7</f>
        <v>septiembre</v>
      </c>
      <c r="L7" s="447" t="str">
        <f>'Datos Gastos Fijos'!M7</f>
        <v>octubre</v>
      </c>
      <c r="M7" s="447" t="str">
        <f>'Datos Gastos Fijos'!N7</f>
        <v>noviembre</v>
      </c>
      <c r="N7" s="447" t="str">
        <f>'Datos Gastos Fijos'!O7</f>
        <v>diciembre</v>
      </c>
      <c r="O7" s="447" t="s">
        <v>865</v>
      </c>
      <c r="P7" s="448" t="s">
        <v>886</v>
      </c>
    </row>
    <row r="8" spans="1:16" ht="18.75" thickTop="1" thickBot="1" x14ac:dyDescent="0.35">
      <c r="A8" s="796" t="s">
        <v>22</v>
      </c>
      <c r="B8" s="797"/>
      <c r="C8" s="797"/>
      <c r="D8" s="797"/>
      <c r="E8" s="797"/>
      <c r="F8" s="797"/>
      <c r="G8" s="797"/>
      <c r="H8" s="797"/>
      <c r="I8" s="797"/>
      <c r="J8" s="797"/>
      <c r="K8" s="797"/>
      <c r="L8" s="797"/>
      <c r="M8" s="797"/>
      <c r="N8" s="797"/>
      <c r="O8" s="637"/>
      <c r="P8" s="798"/>
    </row>
    <row r="9" spans="1:16" ht="18" thickBot="1" x14ac:dyDescent="0.35">
      <c r="A9" s="799" t="s">
        <v>722</v>
      </c>
      <c r="B9" s="410" t="s">
        <v>184</v>
      </c>
      <c r="C9" s="800">
        <f>Plantilla!C60</f>
        <v>1</v>
      </c>
      <c r="D9" s="800">
        <f>Plantilla!D60</f>
        <v>1</v>
      </c>
      <c r="E9" s="800">
        <f>Plantilla!E60</f>
        <v>1</v>
      </c>
      <c r="F9" s="800">
        <f>Plantilla!F60</f>
        <v>1</v>
      </c>
      <c r="G9" s="800">
        <f>Plantilla!G60</f>
        <v>1</v>
      </c>
      <c r="H9" s="800">
        <f>Plantilla!H60</f>
        <v>1</v>
      </c>
      <c r="I9" s="800">
        <f>Plantilla!I60</f>
        <v>1</v>
      </c>
      <c r="J9" s="800">
        <f>Plantilla!J60</f>
        <v>1</v>
      </c>
      <c r="K9" s="800">
        <f>Plantilla!K60</f>
        <v>1</v>
      </c>
      <c r="L9" s="800">
        <f>Plantilla!L60</f>
        <v>1</v>
      </c>
      <c r="M9" s="800">
        <f>Plantilla!M60</f>
        <v>1</v>
      </c>
      <c r="N9" s="800">
        <f>Plantilla!N60</f>
        <v>1</v>
      </c>
      <c r="O9" s="801">
        <f>AVERAGE(C9:N9)</f>
        <v>1</v>
      </c>
      <c r="P9" s="798"/>
    </row>
    <row r="10" spans="1:16" ht="18" thickBot="1" x14ac:dyDescent="0.35">
      <c r="A10" s="799"/>
      <c r="B10" s="802"/>
      <c r="C10" s="803"/>
      <c r="D10" s="803"/>
      <c r="E10" s="803"/>
      <c r="F10" s="803"/>
      <c r="G10" s="803"/>
      <c r="H10" s="803"/>
      <c r="I10" s="803"/>
      <c r="J10" s="803"/>
      <c r="K10" s="803"/>
      <c r="L10" s="803"/>
      <c r="M10" s="803"/>
      <c r="N10" s="803"/>
      <c r="O10" s="804"/>
      <c r="P10" s="805"/>
    </row>
    <row r="11" spans="1:16" ht="18" thickBot="1" x14ac:dyDescent="0.35">
      <c r="A11" s="799" t="s">
        <v>723</v>
      </c>
      <c r="B11" s="806">
        <f>'RR HH'!F15</f>
        <v>1428.3973017600003</v>
      </c>
      <c r="C11" s="642">
        <f t="shared" ref="C11:N11" si="0">$B11*C9</f>
        <v>1428.3973017600003</v>
      </c>
      <c r="D11" s="642">
        <f t="shared" si="0"/>
        <v>1428.3973017600003</v>
      </c>
      <c r="E11" s="642">
        <f t="shared" si="0"/>
        <v>1428.3973017600003</v>
      </c>
      <c r="F11" s="642">
        <f t="shared" si="0"/>
        <v>1428.3973017600003</v>
      </c>
      <c r="G11" s="642">
        <f t="shared" si="0"/>
        <v>1428.3973017600003</v>
      </c>
      <c r="H11" s="642">
        <f t="shared" si="0"/>
        <v>1428.3973017600003</v>
      </c>
      <c r="I11" s="642">
        <f t="shared" si="0"/>
        <v>1428.3973017600003</v>
      </c>
      <c r="J11" s="642">
        <f t="shared" si="0"/>
        <v>1428.3973017600003</v>
      </c>
      <c r="K11" s="642">
        <f t="shared" si="0"/>
        <v>1428.3973017600003</v>
      </c>
      <c r="L11" s="642">
        <f t="shared" si="0"/>
        <v>1428.3973017600003</v>
      </c>
      <c r="M11" s="642">
        <f t="shared" si="0"/>
        <v>1428.3973017600003</v>
      </c>
      <c r="N11" s="642">
        <f t="shared" si="0"/>
        <v>1428.3973017600003</v>
      </c>
      <c r="O11" s="642">
        <f>SUM(C11:N11)</f>
        <v>17140.767621120005</v>
      </c>
      <c r="P11" s="805">
        <f>O11/$O$48</f>
        <v>0.87402382705904191</v>
      </c>
    </row>
    <row r="12" spans="1:16" ht="18" thickBot="1" x14ac:dyDescent="0.35">
      <c r="A12" s="799" t="s">
        <v>724</v>
      </c>
      <c r="B12" s="807">
        <f>'RR HH'!F22</f>
        <v>0.8</v>
      </c>
      <c r="C12" s="642">
        <v>0</v>
      </c>
      <c r="D12" s="642">
        <f>IF(E9="","",IF('RR HH'!$B$20=6,$B11*E9*$B12,0))</f>
        <v>0</v>
      </c>
      <c r="E12" s="642">
        <f>IF(F9="","",IF('RR HH'!$B$20=4,$B11*F9*$B12,0))</f>
        <v>0</v>
      </c>
      <c r="F12" s="642">
        <f>IF(G9="","",IF(OR('RR HH'!$B$20=3,'RR HH'!$B$20=6),$B11*G9*$B12,0))</f>
        <v>0</v>
      </c>
      <c r="G12" s="642">
        <v>0</v>
      </c>
      <c r="H12" s="642">
        <f>IF(I9="","",IF(OR('RR HH'!$B$20=2,'RR HH'!$B$20=4,'RR HH'!$B$20=6),$B11*I9*$B12,0))</f>
        <v>0</v>
      </c>
      <c r="I12" s="642">
        <v>0</v>
      </c>
      <c r="J12" s="642">
        <f>IF(K9="","",IF(OR('RR HH'!$B$20=3,'RR HH'!$B$20=6),$B11*K9*$B12,0))</f>
        <v>0</v>
      </c>
      <c r="K12" s="642">
        <f>IF(L9="","",IF('RR HH'!$B$20=4,$B11*L9*$B12,0))</f>
        <v>0</v>
      </c>
      <c r="L12" s="642">
        <f>IF(M9="","",IF('RR HH'!$B$20=6,$B11*M9*$B12,0))</f>
        <v>0</v>
      </c>
      <c r="M12" s="642">
        <v>0</v>
      </c>
      <c r="N12" s="642">
        <f>IF(O9="","",IF(OR('RR HH'!$B$20=1,'RR HH'!$B$20=2,'RR HH'!$B$20=3,'RR HH'!$B$20=4,'RR HH'!$B$20=6),$B11*O9*$B12,0))</f>
        <v>0</v>
      </c>
      <c r="O12" s="642">
        <f>SUM(C12:N12)</f>
        <v>0</v>
      </c>
      <c r="P12" s="805">
        <f>O12/$O$48</f>
        <v>0</v>
      </c>
    </row>
    <row r="13" spans="1:16" ht="18" thickBot="1" x14ac:dyDescent="0.35">
      <c r="A13" s="808"/>
      <c r="B13" s="637"/>
      <c r="C13" s="797"/>
      <c r="D13" s="797"/>
      <c r="E13" s="797"/>
      <c r="F13" s="797"/>
      <c r="G13" s="797"/>
      <c r="H13" s="797"/>
      <c r="I13" s="797"/>
      <c r="J13" s="797"/>
      <c r="K13" s="797"/>
      <c r="L13" s="797"/>
      <c r="M13" s="797"/>
      <c r="N13" s="797"/>
      <c r="O13" s="637"/>
      <c r="P13" s="805"/>
    </row>
    <row r="14" spans="1:16" ht="18" thickBot="1" x14ac:dyDescent="0.35">
      <c r="A14" s="799" t="s">
        <v>23</v>
      </c>
      <c r="B14" s="809"/>
      <c r="C14" s="800">
        <f>Plantilla!C61</f>
        <v>0</v>
      </c>
      <c r="D14" s="800">
        <f>Plantilla!D61</f>
        <v>0</v>
      </c>
      <c r="E14" s="800">
        <f>Plantilla!E61</f>
        <v>0</v>
      </c>
      <c r="F14" s="800">
        <f>Plantilla!F61</f>
        <v>0</v>
      </c>
      <c r="G14" s="800">
        <f>Plantilla!G61</f>
        <v>0</v>
      </c>
      <c r="H14" s="800">
        <f>Plantilla!H61</f>
        <v>0</v>
      </c>
      <c r="I14" s="800">
        <f>Plantilla!I61</f>
        <v>0</v>
      </c>
      <c r="J14" s="800">
        <f>Plantilla!J61</f>
        <v>0</v>
      </c>
      <c r="K14" s="800">
        <f>Plantilla!K61</f>
        <v>0</v>
      </c>
      <c r="L14" s="800">
        <f>Plantilla!L61</f>
        <v>0</v>
      </c>
      <c r="M14" s="800">
        <f>Plantilla!M61</f>
        <v>0</v>
      </c>
      <c r="N14" s="800">
        <f>Plantilla!N61</f>
        <v>0</v>
      </c>
      <c r="O14" s="801">
        <f>AVERAGE(C14:N14)</f>
        <v>0</v>
      </c>
      <c r="P14" s="805"/>
    </row>
    <row r="15" spans="1:16" ht="18" thickBot="1" x14ac:dyDescent="0.35">
      <c r="A15" s="799" t="s">
        <v>725</v>
      </c>
      <c r="B15" s="810">
        <f>'RR HH'!F16</f>
        <v>0</v>
      </c>
      <c r="C15" s="636">
        <f t="shared" ref="C15:N15" si="1">$B15*C14</f>
        <v>0</v>
      </c>
      <c r="D15" s="636">
        <f t="shared" si="1"/>
        <v>0</v>
      </c>
      <c r="E15" s="636">
        <f t="shared" si="1"/>
        <v>0</v>
      </c>
      <c r="F15" s="636">
        <f t="shared" si="1"/>
        <v>0</v>
      </c>
      <c r="G15" s="642">
        <f t="shared" si="1"/>
        <v>0</v>
      </c>
      <c r="H15" s="642">
        <f t="shared" si="1"/>
        <v>0</v>
      </c>
      <c r="I15" s="642">
        <f t="shared" si="1"/>
        <v>0</v>
      </c>
      <c r="J15" s="642">
        <f t="shared" si="1"/>
        <v>0</v>
      </c>
      <c r="K15" s="642">
        <f t="shared" si="1"/>
        <v>0</v>
      </c>
      <c r="L15" s="642">
        <f t="shared" si="1"/>
        <v>0</v>
      </c>
      <c r="M15" s="642">
        <f t="shared" si="1"/>
        <v>0</v>
      </c>
      <c r="N15" s="642">
        <f t="shared" si="1"/>
        <v>0</v>
      </c>
      <c r="O15" s="642">
        <f>SUM(C15:N15)</f>
        <v>0</v>
      </c>
      <c r="P15" s="805">
        <f>O15/$O$48</f>
        <v>0</v>
      </c>
    </row>
    <row r="16" spans="1:16" ht="18" thickBot="1" x14ac:dyDescent="0.35">
      <c r="A16" s="799" t="s">
        <v>726</v>
      </c>
      <c r="B16" s="807">
        <f>'RR HH'!F23</f>
        <v>0.8</v>
      </c>
      <c r="C16" s="636">
        <v>0</v>
      </c>
      <c r="D16" s="636">
        <f>IF(E14="","",IF('RR HH'!$F$21=6,$B15*E14*$B16,0))</f>
        <v>0</v>
      </c>
      <c r="E16" s="636">
        <f>IF(F14="","",IF('RR HH'!$F$21=4,$B15*F14*$B16,0))</f>
        <v>0</v>
      </c>
      <c r="F16" s="636">
        <f>IF(G14="","",IF(OR('RR HH'!$F$21=3,'RR HH'!$F$21=6),$B15*G14*$B16,0))</f>
        <v>0</v>
      </c>
      <c r="G16" s="642">
        <v>0</v>
      </c>
      <c r="H16" s="642">
        <f>IF(I14="","",IF(OR('RR HH'!$F$21=2,'RR HH'!$F$21=4,'RR HH'!$F$21=6),$B15*I14*$B16,0))</f>
        <v>0</v>
      </c>
      <c r="I16" s="642">
        <v>0</v>
      </c>
      <c r="J16" s="642">
        <f>IF(K14="","",IF(OR('RR HH'!$F$21=3,'RR HH'!$F$21=6),$B15*K14*$B16,0))</f>
        <v>0</v>
      </c>
      <c r="K16" s="642">
        <f>IF(L14="","",IF('RR HH'!$F$21=4,$B15*L14*$B16,0))</f>
        <v>0</v>
      </c>
      <c r="L16" s="642">
        <f>IF(M14="","",IF('RR HH'!$F$21=6,$B15*M14*$B16,0))</f>
        <v>0</v>
      </c>
      <c r="M16" s="642">
        <v>0</v>
      </c>
      <c r="N16" s="642">
        <f>IF(O14="","",IF(OR('RR HH'!$F$21=1,'RR HH'!$F$21=2,'RR HH'!$F$21=3,'RR HH'!$F$21=4,'RR HH'!$F$21=6),$B15*O14*$B16,0))</f>
        <v>0</v>
      </c>
      <c r="O16" s="642">
        <f>SUM(C16:N16)</f>
        <v>0</v>
      </c>
      <c r="P16" s="805">
        <f>O16/$O$48</f>
        <v>0</v>
      </c>
    </row>
    <row r="17" spans="1:16" ht="18" thickBot="1" x14ac:dyDescent="0.35">
      <c r="A17" s="808"/>
      <c r="B17" s="637"/>
      <c r="C17" s="811"/>
      <c r="D17" s="811"/>
      <c r="E17" s="811"/>
      <c r="F17" s="811"/>
      <c r="G17" s="811"/>
      <c r="H17" s="811"/>
      <c r="I17" s="811"/>
      <c r="J17" s="811"/>
      <c r="K17" s="811"/>
      <c r="L17" s="811"/>
      <c r="M17" s="811"/>
      <c r="N17" s="811"/>
      <c r="O17" s="637"/>
      <c r="P17" s="805"/>
    </row>
    <row r="18" spans="1:16" ht="18" thickBot="1" x14ac:dyDescent="0.35">
      <c r="A18" s="812" t="s">
        <v>727</v>
      </c>
      <c r="B18" s="807">
        <f>'RR HH'!$F$27</f>
        <v>0.32</v>
      </c>
      <c r="C18" s="642">
        <f t="shared" ref="C18:N18" si="2">$B18*C15</f>
        <v>0</v>
      </c>
      <c r="D18" s="642">
        <f t="shared" si="2"/>
        <v>0</v>
      </c>
      <c r="E18" s="642">
        <f t="shared" si="2"/>
        <v>0</v>
      </c>
      <c r="F18" s="642">
        <f t="shared" si="2"/>
        <v>0</v>
      </c>
      <c r="G18" s="642">
        <f t="shared" si="2"/>
        <v>0</v>
      </c>
      <c r="H18" s="642">
        <f t="shared" si="2"/>
        <v>0</v>
      </c>
      <c r="I18" s="642">
        <f t="shared" si="2"/>
        <v>0</v>
      </c>
      <c r="J18" s="642">
        <f t="shared" si="2"/>
        <v>0</v>
      </c>
      <c r="K18" s="642">
        <f t="shared" si="2"/>
        <v>0</v>
      </c>
      <c r="L18" s="642">
        <f t="shared" si="2"/>
        <v>0</v>
      </c>
      <c r="M18" s="642">
        <f t="shared" si="2"/>
        <v>0</v>
      </c>
      <c r="N18" s="642">
        <f t="shared" si="2"/>
        <v>0</v>
      </c>
      <c r="O18" s="642">
        <f>SUM(C18:N18)</f>
        <v>0</v>
      </c>
      <c r="P18" s="805">
        <f>O18/$O$48</f>
        <v>0</v>
      </c>
    </row>
    <row r="19" spans="1:16" ht="18" thickBot="1" x14ac:dyDescent="0.35">
      <c r="A19" s="812" t="s">
        <v>728</v>
      </c>
      <c r="B19" s="810">
        <f>'RR HH'!$F$28</f>
        <v>205.88</v>
      </c>
      <c r="C19" s="642">
        <f t="shared" ref="C19:N19" si="3">$B19*C9</f>
        <v>205.88</v>
      </c>
      <c r="D19" s="642">
        <f t="shared" si="3"/>
        <v>205.88</v>
      </c>
      <c r="E19" s="642">
        <f t="shared" si="3"/>
        <v>205.88</v>
      </c>
      <c r="F19" s="642">
        <f t="shared" si="3"/>
        <v>205.88</v>
      </c>
      <c r="G19" s="642">
        <f t="shared" si="3"/>
        <v>205.88</v>
      </c>
      <c r="H19" s="642">
        <f t="shared" si="3"/>
        <v>205.88</v>
      </c>
      <c r="I19" s="642">
        <f t="shared" si="3"/>
        <v>205.88</v>
      </c>
      <c r="J19" s="642">
        <f t="shared" si="3"/>
        <v>205.88</v>
      </c>
      <c r="K19" s="642">
        <f t="shared" si="3"/>
        <v>205.88</v>
      </c>
      <c r="L19" s="642">
        <f t="shared" si="3"/>
        <v>205.88</v>
      </c>
      <c r="M19" s="642">
        <f t="shared" si="3"/>
        <v>205.88</v>
      </c>
      <c r="N19" s="642">
        <f t="shared" si="3"/>
        <v>205.88</v>
      </c>
      <c r="O19" s="642">
        <f>SUM(C19:N19)</f>
        <v>2470.5600000000009</v>
      </c>
      <c r="P19" s="805">
        <f>O19/$O$48</f>
        <v>0.12597617294095803</v>
      </c>
    </row>
    <row r="20" spans="1:16" ht="18" thickBot="1" x14ac:dyDescent="0.35">
      <c r="A20" s="694"/>
      <c r="B20" s="637"/>
      <c r="C20" s="797"/>
      <c r="D20" s="797"/>
      <c r="E20" s="797"/>
      <c r="F20" s="797"/>
      <c r="G20" s="797"/>
      <c r="H20" s="797"/>
      <c r="I20" s="797"/>
      <c r="J20" s="797"/>
      <c r="K20" s="797"/>
      <c r="L20" s="797"/>
      <c r="M20" s="797"/>
      <c r="N20" s="797"/>
      <c r="O20" s="637"/>
      <c r="P20" s="805"/>
    </row>
    <row r="21" spans="1:16" ht="18" thickBot="1" x14ac:dyDescent="0.35">
      <c r="A21" s="812" t="s">
        <v>729</v>
      </c>
      <c r="B21" s="813">
        <f>'G.F. 1'!B21*(1+$B$4)^3</f>
        <v>6.4945929599999994</v>
      </c>
      <c r="C21" s="642">
        <f>$B21*ABS(Plantilla!C33)</f>
        <v>0</v>
      </c>
      <c r="D21" s="642">
        <f>$B21*ABS(Plantilla!D33)</f>
        <v>0</v>
      </c>
      <c r="E21" s="642">
        <f>$B21*ABS(Plantilla!E33)</f>
        <v>0</v>
      </c>
      <c r="F21" s="642">
        <f>$B21*ABS(Plantilla!F33)</f>
        <v>0</v>
      </c>
      <c r="G21" s="642">
        <f>$B21*ABS(Plantilla!G33)</f>
        <v>0</v>
      </c>
      <c r="H21" s="642">
        <f>$B21*ABS(Plantilla!H33)</f>
        <v>0</v>
      </c>
      <c r="I21" s="642">
        <f>$B21*ABS(Plantilla!I33)</f>
        <v>0</v>
      </c>
      <c r="J21" s="642">
        <f>$B21*ABS(Plantilla!J33)</f>
        <v>0</v>
      </c>
      <c r="K21" s="642">
        <f>$B21*ABS(Plantilla!K33)</f>
        <v>0</v>
      </c>
      <c r="L21" s="642">
        <f>$B21*ABS(Plantilla!L33)</f>
        <v>0</v>
      </c>
      <c r="M21" s="642">
        <f>$B21*ABS(Plantilla!M33)</f>
        <v>0</v>
      </c>
      <c r="N21" s="642">
        <f>$B21*ABS(Plantilla!N33)</f>
        <v>0</v>
      </c>
      <c r="O21" s="642">
        <f>SUM(C21:N21)</f>
        <v>0</v>
      </c>
      <c r="P21" s="805">
        <f>O21/$O$48</f>
        <v>0</v>
      </c>
    </row>
    <row r="22" spans="1:16" ht="18" thickBot="1" x14ac:dyDescent="0.35">
      <c r="A22" s="812" t="s">
        <v>730</v>
      </c>
      <c r="B22" s="813">
        <f>'G.F. 1'!B22*(1+$B$4)^3</f>
        <v>19.483778879999999</v>
      </c>
      <c r="C22" s="642">
        <f>$B22*ABS(Plantilla!C35)</f>
        <v>0</v>
      </c>
      <c r="D22" s="642">
        <f>$B22*ABS(Plantilla!D35)</f>
        <v>0</v>
      </c>
      <c r="E22" s="642">
        <f>$B22*ABS(Plantilla!E35)</f>
        <v>0</v>
      </c>
      <c r="F22" s="642">
        <f>$B22*ABS(Plantilla!F35)</f>
        <v>0</v>
      </c>
      <c r="G22" s="642">
        <f>$B22*ABS(Plantilla!G35)</f>
        <v>0</v>
      </c>
      <c r="H22" s="642">
        <f>$B22*ABS(Plantilla!H35)</f>
        <v>0</v>
      </c>
      <c r="I22" s="642">
        <f>$B22*ABS(Plantilla!I35)</f>
        <v>0</v>
      </c>
      <c r="J22" s="642">
        <f>$B22*ABS(Plantilla!J35)</f>
        <v>0</v>
      </c>
      <c r="K22" s="642">
        <f>$B22*ABS(Plantilla!K35)</f>
        <v>0</v>
      </c>
      <c r="L22" s="642">
        <f>$B22*ABS(Plantilla!L35)</f>
        <v>0</v>
      </c>
      <c r="M22" s="642">
        <f>$B22*ABS(Plantilla!M35)</f>
        <v>0</v>
      </c>
      <c r="N22" s="642">
        <f>$B22*ABS(Plantilla!N35)</f>
        <v>0</v>
      </c>
      <c r="O22" s="642">
        <f>SUM(C22:N22)</f>
        <v>0</v>
      </c>
      <c r="P22" s="805">
        <f>O22/$O$48</f>
        <v>0</v>
      </c>
    </row>
    <row r="23" spans="1:16" ht="18" thickBot="1" x14ac:dyDescent="0.35">
      <c r="A23" s="694"/>
      <c r="B23" s="814"/>
      <c r="C23" s="637"/>
      <c r="D23" s="797"/>
      <c r="E23" s="797"/>
      <c r="F23" s="797"/>
      <c r="G23" s="797"/>
      <c r="H23" s="797"/>
      <c r="I23" s="797"/>
      <c r="J23" s="797"/>
      <c r="K23" s="797"/>
      <c r="L23" s="797"/>
      <c r="M23" s="797"/>
      <c r="N23" s="797"/>
      <c r="O23" s="637"/>
      <c r="P23" s="805"/>
    </row>
    <row r="24" spans="1:16" ht="18" thickBot="1" x14ac:dyDescent="0.35">
      <c r="A24" s="815" t="s">
        <v>24</v>
      </c>
      <c r="B24" s="816"/>
      <c r="C24" s="817">
        <f t="shared" ref="C24:N24" si="4">SUM(C11:C12,C15:C19,C21:C22)</f>
        <v>1634.2773017600002</v>
      </c>
      <c r="D24" s="818">
        <f t="shared" si="4"/>
        <v>1634.2773017600002</v>
      </c>
      <c r="E24" s="818">
        <f t="shared" si="4"/>
        <v>1634.2773017600002</v>
      </c>
      <c r="F24" s="818">
        <f t="shared" si="4"/>
        <v>1634.2773017600002</v>
      </c>
      <c r="G24" s="819">
        <f t="shared" si="4"/>
        <v>1634.2773017600002</v>
      </c>
      <c r="H24" s="819">
        <f t="shared" si="4"/>
        <v>1634.2773017600002</v>
      </c>
      <c r="I24" s="819">
        <f t="shared" si="4"/>
        <v>1634.2773017600002</v>
      </c>
      <c r="J24" s="819">
        <f t="shared" si="4"/>
        <v>1634.2773017600002</v>
      </c>
      <c r="K24" s="819">
        <f t="shared" si="4"/>
        <v>1634.2773017600002</v>
      </c>
      <c r="L24" s="819">
        <f t="shared" si="4"/>
        <v>1634.2773017600002</v>
      </c>
      <c r="M24" s="819">
        <f t="shared" si="4"/>
        <v>1634.2773017600002</v>
      </c>
      <c r="N24" s="819">
        <f t="shared" si="4"/>
        <v>1634.2773017600002</v>
      </c>
      <c r="O24" s="468">
        <f>SUM(C24:N24)</f>
        <v>19611.327621120006</v>
      </c>
      <c r="P24" s="820">
        <f>O24/$O$48</f>
        <v>1</v>
      </c>
    </row>
    <row r="25" spans="1:16" ht="18" thickBot="1" x14ac:dyDescent="0.35">
      <c r="A25" s="694"/>
      <c r="B25" s="639"/>
      <c r="C25" s="639"/>
      <c r="D25" s="639"/>
      <c r="E25" s="639"/>
      <c r="F25" s="639"/>
      <c r="G25" s="639"/>
      <c r="H25" s="639"/>
      <c r="I25" s="639"/>
      <c r="J25" s="639"/>
      <c r="K25" s="639"/>
      <c r="L25" s="639"/>
      <c r="M25" s="639"/>
      <c r="N25" s="639"/>
      <c r="O25" s="639"/>
      <c r="P25" s="821"/>
    </row>
    <row r="26" spans="1:16" ht="18.75" thickTop="1" thickBot="1" x14ac:dyDescent="0.35">
      <c r="A26" s="822" t="s">
        <v>985</v>
      </c>
      <c r="B26" s="795" t="s">
        <v>958</v>
      </c>
      <c r="C26" s="447" t="str">
        <f t="shared" ref="C26:N26" si="5">C7</f>
        <v>enero</v>
      </c>
      <c r="D26" s="447" t="str">
        <f t="shared" si="5"/>
        <v>febrero</v>
      </c>
      <c r="E26" s="447" t="str">
        <f t="shared" si="5"/>
        <v>marzo</v>
      </c>
      <c r="F26" s="447" t="str">
        <f t="shared" si="5"/>
        <v>abril</v>
      </c>
      <c r="G26" s="447" t="str">
        <f t="shared" si="5"/>
        <v>mayo</v>
      </c>
      <c r="H26" s="447" t="str">
        <f t="shared" si="5"/>
        <v>junio</v>
      </c>
      <c r="I26" s="447" t="str">
        <f t="shared" si="5"/>
        <v>julio</v>
      </c>
      <c r="J26" s="447" t="str">
        <f t="shared" si="5"/>
        <v>agosto</v>
      </c>
      <c r="K26" s="447" t="str">
        <f t="shared" si="5"/>
        <v>septiembre</v>
      </c>
      <c r="L26" s="447" t="str">
        <f t="shared" si="5"/>
        <v>octubre</v>
      </c>
      <c r="M26" s="447" t="str">
        <f t="shared" si="5"/>
        <v>noviembre</v>
      </c>
      <c r="N26" s="447" t="str">
        <f t="shared" si="5"/>
        <v>diciembre</v>
      </c>
      <c r="O26" s="447" t="s">
        <v>865</v>
      </c>
      <c r="P26" s="823" t="s">
        <v>886</v>
      </c>
    </row>
    <row r="27" spans="1:16" ht="18" thickBot="1" x14ac:dyDescent="0.35">
      <c r="A27" s="824" t="str">
        <f>'G.F. 0'!A27</f>
        <v>Tributos: IAE, IBI, ...</v>
      </c>
      <c r="B27" s="810">
        <f>'G.F. 1'!B27*(1+$B$4)^3</f>
        <v>0</v>
      </c>
      <c r="C27" s="987">
        <f>'Datos Gastos Fijos'!D8*(1+'G.F. 1'!$B$4)*(1+$B$4)^3</f>
        <v>0</v>
      </c>
      <c r="D27" s="987">
        <f>'Datos Gastos Fijos'!E8*(1+'G.F. 1'!$B$4)*(1+$B$4)^3</f>
        <v>0</v>
      </c>
      <c r="E27" s="987">
        <f>'Datos Gastos Fijos'!F8*(1+'G.F. 1'!$B$4)*(1+$B$4)^3</f>
        <v>0</v>
      </c>
      <c r="F27" s="987">
        <f>'Datos Gastos Fijos'!G8*(1+'G.F. 1'!$B$4)*(1+$B$4)^3</f>
        <v>0</v>
      </c>
      <c r="G27" s="987">
        <f>'Datos Gastos Fijos'!H8*(1+'G.F. 1'!$B$4)*(1+$B$4)^3</f>
        <v>0</v>
      </c>
      <c r="H27" s="987">
        <f>'Datos Gastos Fijos'!I8*(1+'G.F. 1'!$B$4)*(1+$B$4)^3</f>
        <v>0</v>
      </c>
      <c r="I27" s="987">
        <f>'Datos Gastos Fijos'!J8*(1+'G.F. 1'!$B$4)*(1+$B$4)^3</f>
        <v>0</v>
      </c>
      <c r="J27" s="987">
        <f>'Datos Gastos Fijos'!K8*(1+'G.F. 1'!$B$4)*(1+$B$4)^3</f>
        <v>0</v>
      </c>
      <c r="K27" s="987">
        <f>'Datos Gastos Fijos'!L8*(1+'G.F. 1'!$B$4)*(1+$B$4)^3</f>
        <v>0</v>
      </c>
      <c r="L27" s="987">
        <f>'Datos Gastos Fijos'!M8*(1+'G.F. 1'!$B$4)*(1+$B$4)^3</f>
        <v>0</v>
      </c>
      <c r="M27" s="987">
        <f>'Datos Gastos Fijos'!N8*(1+'G.F. 1'!$B$4)*(1+$B$4)^3</f>
        <v>0</v>
      </c>
      <c r="N27" s="987">
        <f>'Datos Gastos Fijos'!O8*(1+'G.F. 1'!$B$4)*(1+$B$4)^3</f>
        <v>0</v>
      </c>
      <c r="O27" s="987">
        <f t="shared" ref="O27:O45" si="6">SUM(C27:N27)</f>
        <v>0</v>
      </c>
      <c r="P27" s="805">
        <f t="shared" ref="P27:P46" si="7">O27/$O$48</f>
        <v>0</v>
      </c>
    </row>
    <row r="28" spans="1:16" ht="18" thickBot="1" x14ac:dyDescent="0.35">
      <c r="A28" s="824" t="str">
        <f>'G.F. 0'!A28</f>
        <v>Otras gastos fijos (SIN IVA)</v>
      </c>
      <c r="B28" s="810">
        <f>'G.F. 1'!B28*(1+$B$4)^3</f>
        <v>0</v>
      </c>
      <c r="C28" s="987">
        <f>'Datos Gastos Fijos'!D9*(1+'G.F. 1'!$B$4)*(1+$B$4)^3</f>
        <v>0</v>
      </c>
      <c r="D28" s="987">
        <f>'Datos Gastos Fijos'!E9*(1+'G.F. 1'!$B$4)*(1+$B$4)^3</f>
        <v>0</v>
      </c>
      <c r="E28" s="987">
        <f>'Datos Gastos Fijos'!F9*(1+'G.F. 1'!$B$4)*(1+$B$4)^3</f>
        <v>0</v>
      </c>
      <c r="F28" s="987">
        <f>'Datos Gastos Fijos'!G9*(1+'G.F. 1'!$B$4)*(1+$B$4)^3</f>
        <v>0</v>
      </c>
      <c r="G28" s="987">
        <f>'Datos Gastos Fijos'!H9*(1+'G.F. 1'!$B$4)*(1+$B$4)^3</f>
        <v>0</v>
      </c>
      <c r="H28" s="987">
        <f>'Datos Gastos Fijos'!I9*(1+'G.F. 1'!$B$4)*(1+$B$4)^3</f>
        <v>0</v>
      </c>
      <c r="I28" s="987">
        <f>'Datos Gastos Fijos'!J9*(1+'G.F. 1'!$B$4)*(1+$B$4)^3</f>
        <v>0</v>
      </c>
      <c r="J28" s="987">
        <f>'Datos Gastos Fijos'!K9*(1+'G.F. 1'!$B$4)*(1+$B$4)^3</f>
        <v>0</v>
      </c>
      <c r="K28" s="987">
        <f>'Datos Gastos Fijos'!L9*(1+'G.F. 1'!$B$4)*(1+$B$4)^3</f>
        <v>0</v>
      </c>
      <c r="L28" s="987">
        <f>'Datos Gastos Fijos'!M9*(1+'G.F. 1'!$B$4)*(1+$B$4)^3</f>
        <v>0</v>
      </c>
      <c r="M28" s="987">
        <f>'Datos Gastos Fijos'!N9*(1+'G.F. 1'!$B$4)*(1+$B$4)^3</f>
        <v>0</v>
      </c>
      <c r="N28" s="987">
        <f>'Datos Gastos Fijos'!O9*(1+'G.F. 1'!$B$4)*(1+$B$4)^3</f>
        <v>0</v>
      </c>
      <c r="O28" s="987">
        <f t="shared" si="6"/>
        <v>0</v>
      </c>
      <c r="P28" s="805">
        <f t="shared" si="7"/>
        <v>0</v>
      </c>
    </row>
    <row r="29" spans="1:16" ht="18" thickBot="1" x14ac:dyDescent="0.35">
      <c r="A29" s="824" t="str">
        <f>'G.F. 0'!A29</f>
        <v>Primas de Seguros</v>
      </c>
      <c r="B29" s="810">
        <f>'G.F. 1'!B29*(1+$B$4)^3</f>
        <v>0</v>
      </c>
      <c r="C29" s="987">
        <f>'Datos Gastos Fijos'!D10*(1+'G.F. 1'!$B$4)*(1+$B$4)^3</f>
        <v>0</v>
      </c>
      <c r="D29" s="987">
        <f>'Datos Gastos Fijos'!E10*(1+'G.F. 1'!$B$4)*(1+$B$4)^3</f>
        <v>0</v>
      </c>
      <c r="E29" s="987">
        <f>'Datos Gastos Fijos'!F10*(1+'G.F. 1'!$B$4)*(1+$B$4)^3</f>
        <v>0</v>
      </c>
      <c r="F29" s="987">
        <f>'Datos Gastos Fijos'!G10*(1+'G.F. 1'!$B$4)*(1+$B$4)^3</f>
        <v>0</v>
      </c>
      <c r="G29" s="987">
        <f>'Datos Gastos Fijos'!H10*(1+'G.F. 1'!$B$4)*(1+$B$4)^3</f>
        <v>0</v>
      </c>
      <c r="H29" s="987">
        <f>'Datos Gastos Fijos'!I10*(1+'G.F. 1'!$B$4)*(1+$B$4)^3</f>
        <v>0</v>
      </c>
      <c r="I29" s="987">
        <f>'Datos Gastos Fijos'!J10*(1+'G.F. 1'!$B$4)*(1+$B$4)^3</f>
        <v>0</v>
      </c>
      <c r="J29" s="987">
        <f>'Datos Gastos Fijos'!K10*(1+'G.F. 1'!$B$4)*(1+$B$4)^3</f>
        <v>0</v>
      </c>
      <c r="K29" s="987">
        <f>'Datos Gastos Fijos'!L10*(1+'G.F. 1'!$B$4)*(1+$B$4)^3</f>
        <v>0</v>
      </c>
      <c r="L29" s="987">
        <f>'Datos Gastos Fijos'!M10*(1+'G.F. 1'!$B$4)*(1+$B$4)^3</f>
        <v>0</v>
      </c>
      <c r="M29" s="987">
        <f>'Datos Gastos Fijos'!N10*(1+'G.F. 1'!$B$4)*(1+$B$4)^3</f>
        <v>0</v>
      </c>
      <c r="N29" s="987">
        <f>'Datos Gastos Fijos'!O10*(1+'G.F. 1'!$B$4)*(1+$B$4)^3</f>
        <v>0</v>
      </c>
      <c r="O29" s="987">
        <f t="shared" si="6"/>
        <v>0</v>
      </c>
      <c r="P29" s="805">
        <f t="shared" si="7"/>
        <v>0</v>
      </c>
    </row>
    <row r="30" spans="1:16" ht="18" thickBot="1" x14ac:dyDescent="0.35">
      <c r="A30" s="824" t="str">
        <f>'G.F. 0'!A30</f>
        <v>Colegio/ Asociación profesional</v>
      </c>
      <c r="B30" s="810">
        <f>'G.F. 1'!B30*(1+$B$4)^3</f>
        <v>0</v>
      </c>
      <c r="C30" s="987">
        <f>'Datos Gastos Fijos'!D11*(1+'G.F. 1'!$B$4)*(1+$B$4)^3</f>
        <v>0</v>
      </c>
      <c r="D30" s="987">
        <f>'Datos Gastos Fijos'!E11*(1+'G.F. 1'!$B$4)*(1+$B$4)^3</f>
        <v>0</v>
      </c>
      <c r="E30" s="987">
        <f>'Datos Gastos Fijos'!F11*(1+'G.F. 1'!$B$4)*(1+$B$4)^3</f>
        <v>0</v>
      </c>
      <c r="F30" s="987">
        <f>'Datos Gastos Fijos'!G11*(1+'G.F. 1'!$B$4)*(1+$B$4)^3</f>
        <v>0</v>
      </c>
      <c r="G30" s="987">
        <f>'Datos Gastos Fijos'!H11*(1+'G.F. 1'!$B$4)*(1+$B$4)^3</f>
        <v>0</v>
      </c>
      <c r="H30" s="987">
        <f>'Datos Gastos Fijos'!I11*(1+'G.F. 1'!$B$4)*(1+$B$4)^3</f>
        <v>0</v>
      </c>
      <c r="I30" s="987">
        <f>'Datos Gastos Fijos'!J11*(1+'G.F. 1'!$B$4)*(1+$B$4)^3</f>
        <v>0</v>
      </c>
      <c r="J30" s="987">
        <f>'Datos Gastos Fijos'!K11*(1+'G.F. 1'!$B$4)*(1+$B$4)^3</f>
        <v>0</v>
      </c>
      <c r="K30" s="987">
        <f>'Datos Gastos Fijos'!L11*(1+'G.F. 1'!$B$4)*(1+$B$4)^3</f>
        <v>0</v>
      </c>
      <c r="L30" s="987">
        <f>'Datos Gastos Fijos'!M11*(1+'G.F. 1'!$B$4)*(1+$B$4)^3</f>
        <v>0</v>
      </c>
      <c r="M30" s="987">
        <f>'Datos Gastos Fijos'!N11*(1+'G.F. 1'!$B$4)*(1+$B$4)^3</f>
        <v>0</v>
      </c>
      <c r="N30" s="987">
        <f>'Datos Gastos Fijos'!O11*(1+'G.F. 1'!$B$4)*(1+$B$4)^3</f>
        <v>0</v>
      </c>
      <c r="O30" s="987">
        <f t="shared" si="6"/>
        <v>0</v>
      </c>
      <c r="P30" s="805">
        <f t="shared" si="7"/>
        <v>0</v>
      </c>
    </row>
    <row r="31" spans="1:16" ht="18" thickBot="1" x14ac:dyDescent="0.35">
      <c r="A31" s="824" t="str">
        <f>'G.F. 0'!A31</f>
        <v>Electricidad</v>
      </c>
      <c r="B31" s="810">
        <f>'G.F. 1'!B31*(1+$B$4)^3</f>
        <v>0</v>
      </c>
      <c r="C31" s="987">
        <f>'Datos Gastos Fijos'!D12*(1+'G.F. 1'!$B$4)*(1+$B$4)^3</f>
        <v>0</v>
      </c>
      <c r="D31" s="987">
        <f>'Datos Gastos Fijos'!E12*(1+'G.F. 1'!$B$4)*(1+$B$4)^3</f>
        <v>0</v>
      </c>
      <c r="E31" s="987">
        <f>'Datos Gastos Fijos'!F12*(1+'G.F. 1'!$B$4)*(1+$B$4)^3</f>
        <v>0</v>
      </c>
      <c r="F31" s="987">
        <f>'Datos Gastos Fijos'!G12*(1+'G.F. 1'!$B$4)*(1+$B$4)^3</f>
        <v>0</v>
      </c>
      <c r="G31" s="987">
        <f>'Datos Gastos Fijos'!H12*(1+'G.F. 1'!$B$4)*(1+$B$4)^3</f>
        <v>0</v>
      </c>
      <c r="H31" s="987">
        <f>'Datos Gastos Fijos'!I12*(1+'G.F. 1'!$B$4)*(1+$B$4)^3</f>
        <v>0</v>
      </c>
      <c r="I31" s="987">
        <f>'Datos Gastos Fijos'!J12*(1+'G.F. 1'!$B$4)*(1+$B$4)^3</f>
        <v>0</v>
      </c>
      <c r="J31" s="987">
        <f>'Datos Gastos Fijos'!K12*(1+'G.F. 1'!$B$4)*(1+$B$4)^3</f>
        <v>0</v>
      </c>
      <c r="K31" s="987">
        <f>'Datos Gastos Fijos'!L12*(1+'G.F. 1'!$B$4)*(1+$B$4)^3</f>
        <v>0</v>
      </c>
      <c r="L31" s="987">
        <f>'Datos Gastos Fijos'!M12*(1+'G.F. 1'!$B$4)*(1+$B$4)^3</f>
        <v>0</v>
      </c>
      <c r="M31" s="987">
        <f>'Datos Gastos Fijos'!N12*(1+'G.F. 1'!$B$4)*(1+$B$4)^3</f>
        <v>0</v>
      </c>
      <c r="N31" s="987">
        <f>'Datos Gastos Fijos'!O12*(1+'G.F. 1'!$B$4)*(1+$B$4)^3</f>
        <v>0</v>
      </c>
      <c r="O31" s="987">
        <f t="shared" si="6"/>
        <v>0</v>
      </c>
      <c r="P31" s="805">
        <f t="shared" si="7"/>
        <v>0</v>
      </c>
    </row>
    <row r="32" spans="1:16" ht="18" thickBot="1" x14ac:dyDescent="0.35">
      <c r="A32" s="824" t="str">
        <f>'G.F. 0'!A32</f>
        <v>Otros suministros (agua, gas, etc.)</v>
      </c>
      <c r="B32" s="810">
        <f>'G.F. 1'!B32*(1+$B$4)^3</f>
        <v>0</v>
      </c>
      <c r="C32" s="987">
        <f>'Datos Gastos Fijos'!D13*(1+'G.F. 1'!$B$4)*(1+$B$4)^3</f>
        <v>0</v>
      </c>
      <c r="D32" s="987">
        <f>'Datos Gastos Fijos'!E13*(1+'G.F. 1'!$B$4)*(1+$B$4)^3</f>
        <v>0</v>
      </c>
      <c r="E32" s="987">
        <f>'Datos Gastos Fijos'!F13*(1+'G.F. 1'!$B$4)*(1+$B$4)^3</f>
        <v>0</v>
      </c>
      <c r="F32" s="987">
        <f>'Datos Gastos Fijos'!G13*(1+'G.F. 1'!$B$4)*(1+$B$4)^3</f>
        <v>0</v>
      </c>
      <c r="G32" s="987">
        <f>'Datos Gastos Fijos'!H13*(1+'G.F. 1'!$B$4)*(1+$B$4)^3</f>
        <v>0</v>
      </c>
      <c r="H32" s="987">
        <f>'Datos Gastos Fijos'!I13*(1+'G.F. 1'!$B$4)*(1+$B$4)^3</f>
        <v>0</v>
      </c>
      <c r="I32" s="987">
        <f>'Datos Gastos Fijos'!J13*(1+'G.F. 1'!$B$4)*(1+$B$4)^3</f>
        <v>0</v>
      </c>
      <c r="J32" s="987">
        <f>'Datos Gastos Fijos'!K13*(1+'G.F. 1'!$B$4)*(1+$B$4)^3</f>
        <v>0</v>
      </c>
      <c r="K32" s="987">
        <f>'Datos Gastos Fijos'!L13*(1+'G.F. 1'!$B$4)*(1+$B$4)^3</f>
        <v>0</v>
      </c>
      <c r="L32" s="987">
        <f>'Datos Gastos Fijos'!M13*(1+'G.F. 1'!$B$4)*(1+$B$4)^3</f>
        <v>0</v>
      </c>
      <c r="M32" s="987">
        <f>'Datos Gastos Fijos'!N13*(1+'G.F. 1'!$B$4)*(1+$B$4)^3</f>
        <v>0</v>
      </c>
      <c r="N32" s="987">
        <f>'Datos Gastos Fijos'!O13*(1+'G.F. 1'!$B$4)*(1+$B$4)^3</f>
        <v>0</v>
      </c>
      <c r="O32" s="987">
        <f t="shared" si="6"/>
        <v>0</v>
      </c>
      <c r="P32" s="805">
        <f t="shared" si="7"/>
        <v>0</v>
      </c>
    </row>
    <row r="33" spans="1:16" ht="18" thickBot="1" x14ac:dyDescent="0.35">
      <c r="A33" s="824" t="str">
        <f>'G.F. 0'!A33</f>
        <v>Teléfono</v>
      </c>
      <c r="B33" s="810">
        <f>'G.F. 1'!B33*(1+$B$4)^3</f>
        <v>0</v>
      </c>
      <c r="C33" s="987">
        <f>'Datos Gastos Fijos'!D14*(1+'G.F. 1'!$B$4)*(1+$B$4)^3</f>
        <v>0</v>
      </c>
      <c r="D33" s="987">
        <f>'Datos Gastos Fijos'!E14*(1+'G.F. 1'!$B$4)*(1+$B$4)^3</f>
        <v>0</v>
      </c>
      <c r="E33" s="987">
        <f>'Datos Gastos Fijos'!F14*(1+'G.F. 1'!$B$4)*(1+$B$4)^3</f>
        <v>0</v>
      </c>
      <c r="F33" s="987">
        <f>'Datos Gastos Fijos'!G14*(1+'G.F. 1'!$B$4)*(1+$B$4)^3</f>
        <v>0</v>
      </c>
      <c r="G33" s="987">
        <f>'Datos Gastos Fijos'!H14*(1+'G.F. 1'!$B$4)*(1+$B$4)^3</f>
        <v>0</v>
      </c>
      <c r="H33" s="987">
        <f>'Datos Gastos Fijos'!I14*(1+'G.F. 1'!$B$4)*(1+$B$4)^3</f>
        <v>0</v>
      </c>
      <c r="I33" s="987">
        <f>'Datos Gastos Fijos'!J14*(1+'G.F. 1'!$B$4)*(1+$B$4)^3</f>
        <v>0</v>
      </c>
      <c r="J33" s="987">
        <f>'Datos Gastos Fijos'!K14*(1+'G.F. 1'!$B$4)*(1+$B$4)^3</f>
        <v>0</v>
      </c>
      <c r="K33" s="987">
        <f>'Datos Gastos Fijos'!L14*(1+'G.F. 1'!$B$4)*(1+$B$4)^3</f>
        <v>0</v>
      </c>
      <c r="L33" s="987">
        <f>'Datos Gastos Fijos'!M14*(1+'G.F. 1'!$B$4)*(1+$B$4)^3</f>
        <v>0</v>
      </c>
      <c r="M33" s="987">
        <f>'Datos Gastos Fijos'!N14*(1+'G.F. 1'!$B$4)*(1+$B$4)^3</f>
        <v>0</v>
      </c>
      <c r="N33" s="987">
        <f>'Datos Gastos Fijos'!O14*(1+'G.F. 1'!$B$4)*(1+$B$4)^3</f>
        <v>0</v>
      </c>
      <c r="O33" s="987">
        <f t="shared" si="6"/>
        <v>0</v>
      </c>
      <c r="P33" s="805">
        <f t="shared" si="7"/>
        <v>0</v>
      </c>
    </row>
    <row r="34" spans="1:16" ht="18" thickBot="1" x14ac:dyDescent="0.35">
      <c r="A34" s="824" t="str">
        <f>'G.F. 0'!A34</f>
        <v>Teléfono móviles</v>
      </c>
      <c r="B34" s="810">
        <f>'G.F. 1'!B34*(1+$B$4)^3</f>
        <v>0</v>
      </c>
      <c r="C34" s="987">
        <f>'Datos Gastos Fijos'!D15*(1+'G.F. 1'!$B$4)*(1+$B$4)^3</f>
        <v>0</v>
      </c>
      <c r="D34" s="987">
        <f>'Datos Gastos Fijos'!E15*(1+'G.F. 1'!$B$4)*(1+$B$4)^3</f>
        <v>0</v>
      </c>
      <c r="E34" s="987">
        <f>'Datos Gastos Fijos'!F15*(1+'G.F. 1'!$B$4)*(1+$B$4)^3</f>
        <v>0</v>
      </c>
      <c r="F34" s="987">
        <f>'Datos Gastos Fijos'!G15*(1+'G.F. 1'!$B$4)*(1+$B$4)^3</f>
        <v>0</v>
      </c>
      <c r="G34" s="987">
        <f>'Datos Gastos Fijos'!H15*(1+'G.F. 1'!$B$4)*(1+$B$4)^3</f>
        <v>0</v>
      </c>
      <c r="H34" s="987">
        <f>'Datos Gastos Fijos'!I15*(1+'G.F. 1'!$B$4)*(1+$B$4)^3</f>
        <v>0</v>
      </c>
      <c r="I34" s="987">
        <f>'Datos Gastos Fijos'!J15*(1+'G.F. 1'!$B$4)*(1+$B$4)^3</f>
        <v>0</v>
      </c>
      <c r="J34" s="987">
        <f>'Datos Gastos Fijos'!K15*(1+'G.F. 1'!$B$4)*(1+$B$4)^3</f>
        <v>0</v>
      </c>
      <c r="K34" s="987">
        <f>'Datos Gastos Fijos'!L15*(1+'G.F. 1'!$B$4)*(1+$B$4)^3</f>
        <v>0</v>
      </c>
      <c r="L34" s="987">
        <f>'Datos Gastos Fijos'!M15*(1+'G.F. 1'!$B$4)*(1+$B$4)^3</f>
        <v>0</v>
      </c>
      <c r="M34" s="987">
        <f>'Datos Gastos Fijos'!N15*(1+'G.F. 1'!$B$4)*(1+$B$4)^3</f>
        <v>0</v>
      </c>
      <c r="N34" s="987">
        <f>'Datos Gastos Fijos'!O15*(1+'G.F. 1'!$B$4)*(1+$B$4)^3</f>
        <v>0</v>
      </c>
      <c r="O34" s="987">
        <f t="shared" si="6"/>
        <v>0</v>
      </c>
      <c r="P34" s="805">
        <f t="shared" si="7"/>
        <v>0</v>
      </c>
    </row>
    <row r="35" spans="1:16" ht="18" thickBot="1" x14ac:dyDescent="0.35">
      <c r="A35" s="824" t="str">
        <f>'Datos Gastos Fijos'!A16</f>
        <v>Conexión a Internet (tarifa plana)</v>
      </c>
      <c r="B35" s="810">
        <f>'G.F. 1'!B35*(1+$B$4)^3</f>
        <v>0</v>
      </c>
      <c r="C35" s="987">
        <f>'Datos Gastos Fijos'!D16*(1+'G.F. 1'!$B$4)*(1+$B$4)^3</f>
        <v>0</v>
      </c>
      <c r="D35" s="987">
        <f>'Datos Gastos Fijos'!E16*(1+'G.F. 1'!$B$4)*(1+$B$4)^3</f>
        <v>0</v>
      </c>
      <c r="E35" s="987">
        <f>'Datos Gastos Fijos'!F16*(1+'G.F. 1'!$B$4)*(1+$B$4)^3</f>
        <v>0</v>
      </c>
      <c r="F35" s="987">
        <f>'Datos Gastos Fijos'!G16*(1+'G.F. 1'!$B$4)*(1+$B$4)^3</f>
        <v>0</v>
      </c>
      <c r="G35" s="987">
        <f>'Datos Gastos Fijos'!H16*(1+'G.F. 1'!$B$4)*(1+$B$4)^3</f>
        <v>0</v>
      </c>
      <c r="H35" s="987">
        <f>'Datos Gastos Fijos'!I16*(1+'G.F. 1'!$B$4)*(1+$B$4)^3</f>
        <v>0</v>
      </c>
      <c r="I35" s="987">
        <f>'Datos Gastos Fijos'!J16*(1+'G.F. 1'!$B$4)*(1+$B$4)^3</f>
        <v>0</v>
      </c>
      <c r="J35" s="987">
        <f>'Datos Gastos Fijos'!K16*(1+'G.F. 1'!$B$4)*(1+$B$4)^3</f>
        <v>0</v>
      </c>
      <c r="K35" s="987">
        <f>'Datos Gastos Fijos'!L16*(1+'G.F. 1'!$B$4)*(1+$B$4)^3</f>
        <v>0</v>
      </c>
      <c r="L35" s="987">
        <f>'Datos Gastos Fijos'!M16*(1+'G.F. 1'!$B$4)*(1+$B$4)^3</f>
        <v>0</v>
      </c>
      <c r="M35" s="987">
        <f>'Datos Gastos Fijos'!N16*(1+'G.F. 1'!$B$4)*(1+$B$4)^3</f>
        <v>0</v>
      </c>
      <c r="N35" s="987">
        <f>'Datos Gastos Fijos'!O16*(1+'G.F. 1'!$B$4)*(1+$B$4)^3</f>
        <v>0</v>
      </c>
      <c r="O35" s="987">
        <f t="shared" si="6"/>
        <v>0</v>
      </c>
      <c r="P35" s="805">
        <f t="shared" si="7"/>
        <v>0</v>
      </c>
    </row>
    <row r="36" spans="1:16" ht="18" thickBot="1" x14ac:dyDescent="0.35">
      <c r="A36" s="824" t="str">
        <f>'Datos Gastos Fijos'!A17</f>
        <v>Página Web (Host, mantenimiento, etc)</v>
      </c>
      <c r="B36" s="810">
        <f>'G.F. 1'!B36*(1+$B$4)^3</f>
        <v>0</v>
      </c>
      <c r="C36" s="987">
        <f>'Datos Gastos Fijos'!D17*(1+'G.F. 1'!$B$4)*(1+$B$4)^3</f>
        <v>0</v>
      </c>
      <c r="D36" s="987">
        <f>'Datos Gastos Fijos'!E17*(1+'G.F. 1'!$B$4)*(1+$B$4)^3</f>
        <v>0</v>
      </c>
      <c r="E36" s="987">
        <f>'Datos Gastos Fijos'!F17*(1+'G.F. 1'!$B$4)*(1+$B$4)^3</f>
        <v>0</v>
      </c>
      <c r="F36" s="987">
        <f>'Datos Gastos Fijos'!G17*(1+'G.F. 1'!$B$4)*(1+$B$4)^3</f>
        <v>0</v>
      </c>
      <c r="G36" s="987">
        <f>'Datos Gastos Fijos'!H17*(1+'G.F. 1'!$B$4)*(1+$B$4)^3</f>
        <v>0</v>
      </c>
      <c r="H36" s="987">
        <f>'Datos Gastos Fijos'!I17*(1+'G.F. 1'!$B$4)*(1+$B$4)^3</f>
        <v>0</v>
      </c>
      <c r="I36" s="987">
        <f>'Datos Gastos Fijos'!J17*(1+'G.F. 1'!$B$4)*(1+$B$4)^3</f>
        <v>0</v>
      </c>
      <c r="J36" s="987">
        <f>'Datos Gastos Fijos'!K17*(1+'G.F. 1'!$B$4)*(1+$B$4)^3</f>
        <v>0</v>
      </c>
      <c r="K36" s="987">
        <f>'Datos Gastos Fijos'!L17*(1+'G.F. 1'!$B$4)*(1+$B$4)^3</f>
        <v>0</v>
      </c>
      <c r="L36" s="987">
        <f>'Datos Gastos Fijos'!M17*(1+'G.F. 1'!$B$4)*(1+$B$4)^3</f>
        <v>0</v>
      </c>
      <c r="M36" s="987">
        <f>'Datos Gastos Fijos'!N17*(1+'G.F. 1'!$B$4)*(1+$B$4)^3</f>
        <v>0</v>
      </c>
      <c r="N36" s="987">
        <f>'Datos Gastos Fijos'!O17*(1+'G.F. 1'!$B$4)*(1+$B$4)^3</f>
        <v>0</v>
      </c>
      <c r="O36" s="987">
        <f t="shared" si="6"/>
        <v>0</v>
      </c>
      <c r="P36" s="805">
        <f t="shared" si="7"/>
        <v>0</v>
      </c>
    </row>
    <row r="37" spans="1:16" ht="18" thickBot="1" x14ac:dyDescent="0.35">
      <c r="A37" s="824" t="str">
        <f>'Datos Gastos Fijos'!A18</f>
        <v>Compañía de seguridad / Alarma</v>
      </c>
      <c r="B37" s="810">
        <f>'G.F. 1'!B37*(1+$B$4)^3</f>
        <v>0</v>
      </c>
      <c r="C37" s="987">
        <f>'Datos Gastos Fijos'!D18*(1+'G.F. 1'!$B$4)*(1+$B$4)^3</f>
        <v>0</v>
      </c>
      <c r="D37" s="987">
        <f>'Datos Gastos Fijos'!E18*(1+'G.F. 1'!$B$4)*(1+$B$4)^3</f>
        <v>0</v>
      </c>
      <c r="E37" s="987">
        <f>'Datos Gastos Fijos'!F18*(1+'G.F. 1'!$B$4)*(1+$B$4)^3</f>
        <v>0</v>
      </c>
      <c r="F37" s="987">
        <f>'Datos Gastos Fijos'!G18*(1+'G.F. 1'!$B$4)*(1+$B$4)^3</f>
        <v>0</v>
      </c>
      <c r="G37" s="987">
        <f>'Datos Gastos Fijos'!H18*(1+'G.F. 1'!$B$4)*(1+$B$4)^3</f>
        <v>0</v>
      </c>
      <c r="H37" s="987">
        <f>'Datos Gastos Fijos'!I18*(1+'G.F. 1'!$B$4)*(1+$B$4)^3</f>
        <v>0</v>
      </c>
      <c r="I37" s="987">
        <f>'Datos Gastos Fijos'!J18*(1+'G.F. 1'!$B$4)*(1+$B$4)^3</f>
        <v>0</v>
      </c>
      <c r="J37" s="987">
        <f>'Datos Gastos Fijos'!K18*(1+'G.F. 1'!$B$4)*(1+$B$4)^3</f>
        <v>0</v>
      </c>
      <c r="K37" s="987">
        <f>'Datos Gastos Fijos'!L18*(1+'G.F. 1'!$B$4)*(1+$B$4)^3</f>
        <v>0</v>
      </c>
      <c r="L37" s="987">
        <f>'Datos Gastos Fijos'!M18*(1+'G.F. 1'!$B$4)*(1+$B$4)^3</f>
        <v>0</v>
      </c>
      <c r="M37" s="987">
        <f>'Datos Gastos Fijos'!N18*(1+'G.F. 1'!$B$4)*(1+$B$4)^3</f>
        <v>0</v>
      </c>
      <c r="N37" s="987">
        <f>'Datos Gastos Fijos'!O18*(1+'G.F. 1'!$B$4)*(1+$B$4)^3</f>
        <v>0</v>
      </c>
      <c r="O37" s="987">
        <f t="shared" si="6"/>
        <v>0</v>
      </c>
      <c r="P37" s="805">
        <f t="shared" si="7"/>
        <v>0</v>
      </c>
    </row>
    <row r="38" spans="1:16" ht="18" thickBot="1" x14ac:dyDescent="0.35">
      <c r="A38" s="824" t="str">
        <f>'G.F. 0'!A38</f>
        <v>Material de oficina</v>
      </c>
      <c r="B38" s="810">
        <f>'G.F. 1'!B38*(1+$B$4)^3</f>
        <v>0</v>
      </c>
      <c r="C38" s="987">
        <f>'Datos Gastos Fijos'!D19*(1+'G.F. 1'!$B$4)*(1+$B$4)^3</f>
        <v>0</v>
      </c>
      <c r="D38" s="987">
        <f>'Datos Gastos Fijos'!E19*(1+'G.F. 1'!$B$4)*(1+$B$4)^3</f>
        <v>0</v>
      </c>
      <c r="E38" s="987">
        <f>'Datos Gastos Fijos'!F19*(1+'G.F. 1'!$B$4)*(1+$B$4)^3</f>
        <v>0</v>
      </c>
      <c r="F38" s="987">
        <f>'Datos Gastos Fijos'!G19*(1+'G.F. 1'!$B$4)*(1+$B$4)^3</f>
        <v>0</v>
      </c>
      <c r="G38" s="987">
        <f>'Datos Gastos Fijos'!H19*(1+'G.F. 1'!$B$4)*(1+$B$4)^3</f>
        <v>0</v>
      </c>
      <c r="H38" s="987">
        <f>'Datos Gastos Fijos'!I19*(1+'G.F. 1'!$B$4)*(1+$B$4)^3</f>
        <v>0</v>
      </c>
      <c r="I38" s="987">
        <f>'Datos Gastos Fijos'!J19*(1+'G.F. 1'!$B$4)*(1+$B$4)^3</f>
        <v>0</v>
      </c>
      <c r="J38" s="987">
        <f>'Datos Gastos Fijos'!K19*(1+'G.F. 1'!$B$4)*(1+$B$4)^3</f>
        <v>0</v>
      </c>
      <c r="K38" s="987">
        <f>'Datos Gastos Fijos'!L19*(1+'G.F. 1'!$B$4)*(1+$B$4)^3</f>
        <v>0</v>
      </c>
      <c r="L38" s="987">
        <f>'Datos Gastos Fijos'!M19*(1+'G.F. 1'!$B$4)*(1+$B$4)^3</f>
        <v>0</v>
      </c>
      <c r="M38" s="987">
        <f>'Datos Gastos Fijos'!N19*(1+'G.F. 1'!$B$4)*(1+$B$4)^3</f>
        <v>0</v>
      </c>
      <c r="N38" s="987">
        <f>'Datos Gastos Fijos'!O19*(1+'G.F. 1'!$B$4)*(1+$B$4)^3</f>
        <v>0</v>
      </c>
      <c r="O38" s="987">
        <f t="shared" si="6"/>
        <v>0</v>
      </c>
      <c r="P38" s="805">
        <f t="shared" si="7"/>
        <v>0</v>
      </c>
    </row>
    <row r="39" spans="1:16" ht="18" thickBot="1" x14ac:dyDescent="0.35">
      <c r="A39" s="824" t="str">
        <f>'G.F. 0'!A39</f>
        <v>Publicidad y propaganda</v>
      </c>
      <c r="B39" s="810">
        <f>'G.F. 1'!B39*(1+$B$4)^3</f>
        <v>0</v>
      </c>
      <c r="C39" s="987">
        <f>'Datos Gastos Fijos'!D20*(1+'G.F. 1'!$B$4)*(1+$B$4)^3</f>
        <v>0</v>
      </c>
      <c r="D39" s="987">
        <f>'Datos Gastos Fijos'!E20*(1+'G.F. 1'!$B$4)*(1+$B$4)^3</f>
        <v>0</v>
      </c>
      <c r="E39" s="987">
        <f>'Datos Gastos Fijos'!F20*(1+'G.F. 1'!$B$4)*(1+$B$4)^3</f>
        <v>0</v>
      </c>
      <c r="F39" s="987">
        <f>'Datos Gastos Fijos'!G20*(1+'G.F. 1'!$B$4)*(1+$B$4)^3</f>
        <v>0</v>
      </c>
      <c r="G39" s="987">
        <f>'Datos Gastos Fijos'!H20*(1+'G.F. 1'!$B$4)*(1+$B$4)^3</f>
        <v>0</v>
      </c>
      <c r="H39" s="987">
        <f>'Datos Gastos Fijos'!I20*(1+'G.F. 1'!$B$4)*(1+$B$4)^3</f>
        <v>0</v>
      </c>
      <c r="I39" s="987">
        <f>'Datos Gastos Fijos'!J20*(1+'G.F. 1'!$B$4)*(1+$B$4)^3</f>
        <v>0</v>
      </c>
      <c r="J39" s="987">
        <f>'Datos Gastos Fijos'!K20*(1+'G.F. 1'!$B$4)*(1+$B$4)^3</f>
        <v>0</v>
      </c>
      <c r="K39" s="987">
        <f>'Datos Gastos Fijos'!L20*(1+'G.F. 1'!$B$4)*(1+$B$4)^3</f>
        <v>0</v>
      </c>
      <c r="L39" s="987">
        <f>'Datos Gastos Fijos'!M20*(1+'G.F. 1'!$B$4)*(1+$B$4)^3</f>
        <v>0</v>
      </c>
      <c r="M39" s="987">
        <f>'Datos Gastos Fijos'!N20*(1+'G.F. 1'!$B$4)*(1+$B$4)^3</f>
        <v>0</v>
      </c>
      <c r="N39" s="987">
        <f>'Datos Gastos Fijos'!O20*(1+'G.F. 1'!$B$4)*(1+$B$4)^3</f>
        <v>0</v>
      </c>
      <c r="O39" s="987">
        <f t="shared" si="6"/>
        <v>0</v>
      </c>
      <c r="P39" s="805">
        <f t="shared" si="7"/>
        <v>0</v>
      </c>
    </row>
    <row r="40" spans="1:16" ht="18" thickBot="1" x14ac:dyDescent="0.35">
      <c r="A40" s="824" t="s">
        <v>41</v>
      </c>
      <c r="B40" s="810">
        <f>'G.F. 1'!B40*(1+$B$4)^3</f>
        <v>0</v>
      </c>
      <c r="C40" s="987">
        <f>'Datos Gastos Fijos'!D21*(1+'G.F. 1'!$B$4)*(1+$B$4)^3</f>
        <v>0</v>
      </c>
      <c r="D40" s="987">
        <f>'Datos Gastos Fijos'!E21*(1+'G.F. 1'!$B$4)*(1+$B$4)^3</f>
        <v>0</v>
      </c>
      <c r="E40" s="987">
        <f>'Datos Gastos Fijos'!F21*(1+'G.F. 1'!$B$4)*(1+$B$4)^3</f>
        <v>0</v>
      </c>
      <c r="F40" s="987">
        <f>'Datos Gastos Fijos'!G21*(1+'G.F. 1'!$B$4)*(1+$B$4)^3</f>
        <v>0</v>
      </c>
      <c r="G40" s="987">
        <f>'Datos Gastos Fijos'!H21*(1+'G.F. 1'!$B$4)*(1+$B$4)^3</f>
        <v>0</v>
      </c>
      <c r="H40" s="987">
        <f>'Datos Gastos Fijos'!I21*(1+'G.F. 1'!$B$4)*(1+$B$4)^3</f>
        <v>0</v>
      </c>
      <c r="I40" s="987">
        <f>'Datos Gastos Fijos'!J21*(1+'G.F. 1'!$B$4)*(1+$B$4)^3</f>
        <v>0</v>
      </c>
      <c r="J40" s="987">
        <f>'Datos Gastos Fijos'!K21*(1+'G.F. 1'!$B$4)*(1+$B$4)^3</f>
        <v>0</v>
      </c>
      <c r="K40" s="987">
        <f>'Datos Gastos Fijos'!L21*(1+'G.F. 1'!$B$4)*(1+$B$4)^3</f>
        <v>0</v>
      </c>
      <c r="L40" s="987">
        <f>'Datos Gastos Fijos'!M21*(1+'G.F. 1'!$B$4)*(1+$B$4)^3</f>
        <v>0</v>
      </c>
      <c r="M40" s="987">
        <f>'Datos Gastos Fijos'!N21*(1+'G.F. 1'!$B$4)*(1+$B$4)^3</f>
        <v>0</v>
      </c>
      <c r="N40" s="987">
        <f>'Datos Gastos Fijos'!O21*(1+'G.F. 1'!$B$4)*(1+$B$4)^3</f>
        <v>0</v>
      </c>
      <c r="O40" s="987">
        <f t="shared" si="6"/>
        <v>0</v>
      </c>
      <c r="P40" s="805">
        <f t="shared" si="7"/>
        <v>0</v>
      </c>
    </row>
    <row r="41" spans="1:16" ht="18" thickBot="1" x14ac:dyDescent="0.35">
      <c r="A41" s="824" t="str">
        <f>'G.F. 0'!A41</f>
        <v>Asesoría</v>
      </c>
      <c r="B41" s="810">
        <f>'G.F. 1'!B41*(1+$B$4)^3</f>
        <v>0</v>
      </c>
      <c r="C41" s="987">
        <f>'Datos Gastos Fijos'!D22*(1+'G.F. 1'!$B$4)*(1+$B$4)^3</f>
        <v>0</v>
      </c>
      <c r="D41" s="987">
        <f>'Datos Gastos Fijos'!E22*(1+'G.F. 1'!$B$4)*(1+$B$4)^3</f>
        <v>0</v>
      </c>
      <c r="E41" s="987">
        <f>'Datos Gastos Fijos'!F22*(1+'G.F. 1'!$B$4)*(1+$B$4)^3</f>
        <v>0</v>
      </c>
      <c r="F41" s="987">
        <f>'Datos Gastos Fijos'!G22*(1+'G.F. 1'!$B$4)*(1+$B$4)^3</f>
        <v>0</v>
      </c>
      <c r="G41" s="987">
        <f>'Datos Gastos Fijos'!H22*(1+'G.F. 1'!$B$4)*(1+$B$4)^3</f>
        <v>0</v>
      </c>
      <c r="H41" s="987">
        <f>'Datos Gastos Fijos'!I22*(1+'G.F. 1'!$B$4)*(1+$B$4)^3</f>
        <v>0</v>
      </c>
      <c r="I41" s="987">
        <f>'Datos Gastos Fijos'!J22*(1+'G.F. 1'!$B$4)*(1+$B$4)^3</f>
        <v>0</v>
      </c>
      <c r="J41" s="987">
        <f>'Datos Gastos Fijos'!K22*(1+'G.F. 1'!$B$4)*(1+$B$4)^3</f>
        <v>0</v>
      </c>
      <c r="K41" s="987">
        <f>'Datos Gastos Fijos'!L22*(1+'G.F. 1'!$B$4)*(1+$B$4)^3</f>
        <v>0</v>
      </c>
      <c r="L41" s="987">
        <f>'Datos Gastos Fijos'!M22*(1+'G.F. 1'!$B$4)*(1+$B$4)^3</f>
        <v>0</v>
      </c>
      <c r="M41" s="987">
        <f>'Datos Gastos Fijos'!N22*(1+'G.F. 1'!$B$4)*(1+$B$4)^3</f>
        <v>0</v>
      </c>
      <c r="N41" s="987">
        <f>'Datos Gastos Fijos'!O22*(1+'G.F. 1'!$B$4)*(1+$B$4)^3</f>
        <v>0</v>
      </c>
      <c r="O41" s="987">
        <f t="shared" si="6"/>
        <v>0</v>
      </c>
      <c r="P41" s="805">
        <f t="shared" si="7"/>
        <v>0</v>
      </c>
    </row>
    <row r="42" spans="1:16" ht="18" thickBot="1" x14ac:dyDescent="0.35">
      <c r="A42" s="824" t="str">
        <f>'G.F. 0'!A42</f>
        <v>Arrendamientos</v>
      </c>
      <c r="B42" s="810">
        <f>'G.F. 1'!B42*(1+$B$4)^3</f>
        <v>0</v>
      </c>
      <c r="C42" s="987">
        <f>'Datos Gastos Fijos'!D23*(1+'G.F. 1'!$B$4)*(1+$B$4)^3</f>
        <v>0</v>
      </c>
      <c r="D42" s="987">
        <f>'Datos Gastos Fijos'!E23*(1+'G.F. 1'!$B$4)*(1+$B$4)^3</f>
        <v>0</v>
      </c>
      <c r="E42" s="987">
        <f>'Datos Gastos Fijos'!F23*(1+'G.F. 1'!$B$4)*(1+$B$4)^3</f>
        <v>0</v>
      </c>
      <c r="F42" s="987">
        <f>'Datos Gastos Fijos'!G23*(1+'G.F. 1'!$B$4)*(1+$B$4)^3</f>
        <v>0</v>
      </c>
      <c r="G42" s="987">
        <f>'Datos Gastos Fijos'!H23*(1+'G.F. 1'!$B$4)*(1+$B$4)^3</f>
        <v>0</v>
      </c>
      <c r="H42" s="987">
        <f>'Datos Gastos Fijos'!I23*(1+'G.F. 1'!$B$4)*(1+$B$4)^3</f>
        <v>0</v>
      </c>
      <c r="I42" s="987">
        <f>'Datos Gastos Fijos'!J23*(1+'G.F. 1'!$B$4)*(1+$B$4)^3</f>
        <v>0</v>
      </c>
      <c r="J42" s="987">
        <f>'Datos Gastos Fijos'!K23*(1+'G.F. 1'!$B$4)*(1+$B$4)^3</f>
        <v>0</v>
      </c>
      <c r="K42" s="987">
        <f>'Datos Gastos Fijos'!L23*(1+'G.F. 1'!$B$4)*(1+$B$4)^3</f>
        <v>0</v>
      </c>
      <c r="L42" s="987">
        <f>'Datos Gastos Fijos'!M23*(1+'G.F. 1'!$B$4)*(1+$B$4)^3</f>
        <v>0</v>
      </c>
      <c r="M42" s="987">
        <f>'Datos Gastos Fijos'!N23*(1+'G.F. 1'!$B$4)*(1+$B$4)^3</f>
        <v>0</v>
      </c>
      <c r="N42" s="987">
        <f>'Datos Gastos Fijos'!O23*(1+'G.F. 1'!$B$4)*(1+$B$4)^3</f>
        <v>0</v>
      </c>
      <c r="O42" s="987">
        <f t="shared" si="6"/>
        <v>0</v>
      </c>
      <c r="P42" s="805">
        <f t="shared" si="7"/>
        <v>0</v>
      </c>
    </row>
    <row r="43" spans="1:16" ht="18" thickBot="1" x14ac:dyDescent="0.35">
      <c r="A43" s="824" t="str">
        <f>'G.F. 0'!A43</f>
        <v>Transporte</v>
      </c>
      <c r="B43" s="810">
        <f>'G.F. 1'!B43*(1+$B$4)^3</f>
        <v>0</v>
      </c>
      <c r="C43" s="987">
        <f>'Datos Gastos Fijos'!D24*(1+'G.F. 1'!$B$4)*(1+$B$4)^3</f>
        <v>0</v>
      </c>
      <c r="D43" s="987">
        <f>'Datos Gastos Fijos'!E24*(1+'G.F. 1'!$B$4)*(1+$B$4)^3</f>
        <v>0</v>
      </c>
      <c r="E43" s="987">
        <f>'Datos Gastos Fijos'!F24*(1+'G.F. 1'!$B$4)*(1+$B$4)^3</f>
        <v>0</v>
      </c>
      <c r="F43" s="987">
        <f>'Datos Gastos Fijos'!G24*(1+'G.F. 1'!$B$4)*(1+$B$4)^3</f>
        <v>0</v>
      </c>
      <c r="G43" s="987">
        <f>'Datos Gastos Fijos'!H24*(1+'G.F. 1'!$B$4)*(1+$B$4)^3</f>
        <v>0</v>
      </c>
      <c r="H43" s="987">
        <f>'Datos Gastos Fijos'!I24*(1+'G.F. 1'!$B$4)*(1+$B$4)^3</f>
        <v>0</v>
      </c>
      <c r="I43" s="987">
        <f>'Datos Gastos Fijos'!J24*(1+'G.F. 1'!$B$4)*(1+$B$4)^3</f>
        <v>0</v>
      </c>
      <c r="J43" s="987">
        <f>'Datos Gastos Fijos'!K24*(1+'G.F. 1'!$B$4)*(1+$B$4)^3</f>
        <v>0</v>
      </c>
      <c r="K43" s="987">
        <f>'Datos Gastos Fijos'!L24*(1+'G.F. 1'!$B$4)*(1+$B$4)^3</f>
        <v>0</v>
      </c>
      <c r="L43" s="987">
        <f>'Datos Gastos Fijos'!M24*(1+'G.F. 1'!$B$4)*(1+$B$4)^3</f>
        <v>0</v>
      </c>
      <c r="M43" s="987">
        <f>'Datos Gastos Fijos'!N24*(1+'G.F. 1'!$B$4)*(1+$B$4)^3</f>
        <v>0</v>
      </c>
      <c r="N43" s="987">
        <f>'Datos Gastos Fijos'!O24*(1+'G.F. 1'!$B$4)*(1+$B$4)^3</f>
        <v>0</v>
      </c>
      <c r="O43" s="987">
        <f t="shared" si="6"/>
        <v>0</v>
      </c>
      <c r="P43" s="805">
        <f t="shared" si="7"/>
        <v>0</v>
      </c>
    </row>
    <row r="44" spans="1:16" ht="18" thickBot="1" x14ac:dyDescent="0.35">
      <c r="A44" s="824" t="str">
        <f>'G.F. 0'!A44</f>
        <v>Mantenimiento y reparación</v>
      </c>
      <c r="B44" s="810">
        <f>'G.F. 1'!B44*(1+$B$4)^3</f>
        <v>0</v>
      </c>
      <c r="C44" s="987">
        <f>'Datos Gastos Fijos'!D25*(1+'G.F. 1'!$B$4)*(1+$B$4)^3</f>
        <v>0</v>
      </c>
      <c r="D44" s="987">
        <f>'Datos Gastos Fijos'!E25*(1+'G.F. 1'!$B$4)*(1+$B$4)^3</f>
        <v>0</v>
      </c>
      <c r="E44" s="987">
        <f>'Datos Gastos Fijos'!F25*(1+'G.F. 1'!$B$4)*(1+$B$4)^3</f>
        <v>0</v>
      </c>
      <c r="F44" s="987">
        <f>'Datos Gastos Fijos'!G25*(1+'G.F. 1'!$B$4)*(1+$B$4)^3</f>
        <v>0</v>
      </c>
      <c r="G44" s="987">
        <f>'Datos Gastos Fijos'!H25*(1+'G.F. 1'!$B$4)*(1+$B$4)^3</f>
        <v>0</v>
      </c>
      <c r="H44" s="987">
        <f>'Datos Gastos Fijos'!I25*(1+'G.F. 1'!$B$4)*(1+$B$4)^3</f>
        <v>0</v>
      </c>
      <c r="I44" s="987">
        <f>'Datos Gastos Fijos'!J25*(1+'G.F. 1'!$B$4)*(1+$B$4)^3</f>
        <v>0</v>
      </c>
      <c r="J44" s="987">
        <f>'Datos Gastos Fijos'!K25*(1+'G.F. 1'!$B$4)*(1+$B$4)^3</f>
        <v>0</v>
      </c>
      <c r="K44" s="987">
        <f>'Datos Gastos Fijos'!L25*(1+'G.F. 1'!$B$4)*(1+$B$4)^3</f>
        <v>0</v>
      </c>
      <c r="L44" s="987">
        <f>'Datos Gastos Fijos'!M25*(1+'G.F. 1'!$B$4)*(1+$B$4)^3</f>
        <v>0</v>
      </c>
      <c r="M44" s="987">
        <f>'Datos Gastos Fijos'!N25*(1+'G.F. 1'!$B$4)*(1+$B$4)^3</f>
        <v>0</v>
      </c>
      <c r="N44" s="987">
        <f>'Datos Gastos Fijos'!O25*(1+'G.F. 1'!$B$4)*(1+$B$4)^3</f>
        <v>0</v>
      </c>
      <c r="O44" s="987">
        <f t="shared" si="6"/>
        <v>0</v>
      </c>
      <c r="P44" s="805">
        <f t="shared" si="7"/>
        <v>0</v>
      </c>
    </row>
    <row r="45" spans="1:16" ht="18" thickBot="1" x14ac:dyDescent="0.35">
      <c r="A45" s="824" t="str">
        <f>'G.F. 0'!A45</f>
        <v>Otros gastos imprevistos</v>
      </c>
      <c r="B45" s="810">
        <f>'G.F. 1'!B45*(1+$B$4)^3</f>
        <v>0</v>
      </c>
      <c r="C45" s="987">
        <f>'Datos Gastos Fijos'!D26*(1+'G.F. 1'!$B$4)*(1+$B$4)^3</f>
        <v>0</v>
      </c>
      <c r="D45" s="987">
        <f>'Datos Gastos Fijos'!E26*(1+'G.F. 1'!$B$4)*(1+$B$4)^3</f>
        <v>0</v>
      </c>
      <c r="E45" s="987">
        <f>'Datos Gastos Fijos'!F26*(1+'G.F. 1'!$B$4)*(1+$B$4)^3</f>
        <v>0</v>
      </c>
      <c r="F45" s="987">
        <f>'Datos Gastos Fijos'!G26*(1+'G.F. 1'!$B$4)*(1+$B$4)^3</f>
        <v>0</v>
      </c>
      <c r="G45" s="987">
        <f>'Datos Gastos Fijos'!H26*(1+'G.F. 1'!$B$4)*(1+$B$4)^3</f>
        <v>0</v>
      </c>
      <c r="H45" s="987">
        <f>'Datos Gastos Fijos'!I26*(1+'G.F. 1'!$B$4)*(1+$B$4)^3</f>
        <v>0</v>
      </c>
      <c r="I45" s="987">
        <f>'Datos Gastos Fijos'!J26*(1+'G.F. 1'!$B$4)*(1+$B$4)^3</f>
        <v>0</v>
      </c>
      <c r="J45" s="987">
        <f>'Datos Gastos Fijos'!K26*(1+'G.F. 1'!$B$4)*(1+$B$4)^3</f>
        <v>0</v>
      </c>
      <c r="K45" s="987">
        <f>'Datos Gastos Fijos'!L26*(1+'G.F. 1'!$B$4)*(1+$B$4)^3</f>
        <v>0</v>
      </c>
      <c r="L45" s="987">
        <f>'Datos Gastos Fijos'!M26*(1+'G.F. 1'!$B$4)*(1+$B$4)^3</f>
        <v>0</v>
      </c>
      <c r="M45" s="987">
        <f>'Datos Gastos Fijos'!N26*(1+'G.F. 1'!$B$4)*(1+$B$4)^3</f>
        <v>0</v>
      </c>
      <c r="N45" s="987">
        <f>'Datos Gastos Fijos'!O26*(1+'G.F. 1'!$B$4)*(1+$B$4)^3</f>
        <v>0</v>
      </c>
      <c r="O45" s="987">
        <f t="shared" si="6"/>
        <v>0</v>
      </c>
      <c r="P45" s="805">
        <f t="shared" si="7"/>
        <v>0</v>
      </c>
    </row>
    <row r="46" spans="1:16" ht="18" thickBot="1" x14ac:dyDescent="0.35">
      <c r="A46" s="825" t="s">
        <v>25</v>
      </c>
      <c r="B46" s="638"/>
      <c r="C46" s="468">
        <f t="shared" ref="C46:O46" si="8">SUM(C27:C45)</f>
        <v>0</v>
      </c>
      <c r="D46" s="638">
        <f t="shared" si="8"/>
        <v>0</v>
      </c>
      <c r="E46" s="638">
        <f t="shared" si="8"/>
        <v>0</v>
      </c>
      <c r="F46" s="638">
        <f t="shared" si="8"/>
        <v>0</v>
      </c>
      <c r="G46" s="638">
        <f t="shared" si="8"/>
        <v>0</v>
      </c>
      <c r="H46" s="638">
        <f t="shared" si="8"/>
        <v>0</v>
      </c>
      <c r="I46" s="638">
        <f t="shared" si="8"/>
        <v>0</v>
      </c>
      <c r="J46" s="638">
        <f t="shared" si="8"/>
        <v>0</v>
      </c>
      <c r="K46" s="638">
        <f t="shared" si="8"/>
        <v>0</v>
      </c>
      <c r="L46" s="638">
        <f t="shared" si="8"/>
        <v>0</v>
      </c>
      <c r="M46" s="638">
        <f t="shared" si="8"/>
        <v>0</v>
      </c>
      <c r="N46" s="638">
        <f t="shared" si="8"/>
        <v>0</v>
      </c>
      <c r="O46" s="638">
        <f t="shared" si="8"/>
        <v>0</v>
      </c>
      <c r="P46" s="820">
        <f t="shared" si="7"/>
        <v>0</v>
      </c>
    </row>
    <row r="47" spans="1:16" ht="18.75" thickTop="1" thickBot="1" x14ac:dyDescent="0.35">
      <c r="A47" s="446"/>
      <c r="B47" s="826"/>
      <c r="C47" s="827"/>
      <c r="D47" s="827"/>
      <c r="E47" s="827"/>
      <c r="F47" s="827"/>
      <c r="G47" s="827"/>
      <c r="H47" s="827"/>
      <c r="I47" s="827"/>
      <c r="J47" s="827"/>
      <c r="K47" s="827"/>
      <c r="L47" s="827"/>
      <c r="M47" s="827"/>
      <c r="N47" s="827"/>
      <c r="O47" s="828"/>
      <c r="P47" s="829"/>
    </row>
    <row r="48" spans="1:16" ht="18" thickBot="1" x14ac:dyDescent="0.35">
      <c r="B48" s="830" t="s">
        <v>865</v>
      </c>
      <c r="C48" s="831">
        <f t="shared" ref="C48:O48" si="9">C24+C46</f>
        <v>1634.2773017600002</v>
      </c>
      <c r="D48" s="831">
        <f t="shared" si="9"/>
        <v>1634.2773017600002</v>
      </c>
      <c r="E48" s="831">
        <f t="shared" si="9"/>
        <v>1634.2773017600002</v>
      </c>
      <c r="F48" s="832">
        <f t="shared" si="9"/>
        <v>1634.2773017600002</v>
      </c>
      <c r="G48" s="832">
        <f t="shared" si="9"/>
        <v>1634.2773017600002</v>
      </c>
      <c r="H48" s="832">
        <f t="shared" si="9"/>
        <v>1634.2773017600002</v>
      </c>
      <c r="I48" s="832">
        <f t="shared" si="9"/>
        <v>1634.2773017600002</v>
      </c>
      <c r="J48" s="832">
        <f t="shared" si="9"/>
        <v>1634.2773017600002</v>
      </c>
      <c r="K48" s="832">
        <f t="shared" si="9"/>
        <v>1634.2773017600002</v>
      </c>
      <c r="L48" s="832">
        <f t="shared" si="9"/>
        <v>1634.2773017600002</v>
      </c>
      <c r="M48" s="832">
        <f t="shared" si="9"/>
        <v>1634.2773017600002</v>
      </c>
      <c r="N48" s="832">
        <f t="shared" si="9"/>
        <v>1634.2773017600002</v>
      </c>
      <c r="O48" s="832">
        <f t="shared" si="9"/>
        <v>19611.327621120006</v>
      </c>
      <c r="P48" s="833">
        <f>O48/$O$48</f>
        <v>1</v>
      </c>
    </row>
    <row r="49" spans="1:15" ht="16.5" customHeight="1" thickTop="1" thickBot="1" x14ac:dyDescent="0.35">
      <c r="F49" s="834"/>
      <c r="G49" s="834"/>
      <c r="H49" s="834"/>
      <c r="I49" s="834"/>
      <c r="J49" s="834"/>
      <c r="K49" s="834"/>
      <c r="L49" s="834"/>
      <c r="M49" s="834"/>
      <c r="N49" s="834"/>
      <c r="O49" s="834"/>
    </row>
    <row r="50" spans="1:15" ht="18.75" thickTop="1" thickBot="1" x14ac:dyDescent="0.35">
      <c r="A50" s="835" t="s">
        <v>957</v>
      </c>
      <c r="B50" s="836">
        <f>Parametros!$F$33</f>
        <v>0.21</v>
      </c>
      <c r="C50" s="837">
        <f t="shared" ref="C50:N50" si="10">$B50*SUM(C31:C45)</f>
        <v>0</v>
      </c>
      <c r="D50" s="837">
        <f t="shared" si="10"/>
        <v>0</v>
      </c>
      <c r="E50" s="837">
        <f t="shared" si="10"/>
        <v>0</v>
      </c>
      <c r="F50" s="838">
        <f t="shared" si="10"/>
        <v>0</v>
      </c>
      <c r="G50" s="838">
        <f t="shared" si="10"/>
        <v>0</v>
      </c>
      <c r="H50" s="838">
        <f t="shared" si="10"/>
        <v>0</v>
      </c>
      <c r="I50" s="838">
        <f t="shared" si="10"/>
        <v>0</v>
      </c>
      <c r="J50" s="838">
        <f t="shared" si="10"/>
        <v>0</v>
      </c>
      <c r="K50" s="838">
        <f t="shared" si="10"/>
        <v>0</v>
      </c>
      <c r="L50" s="838">
        <f t="shared" si="10"/>
        <v>0</v>
      </c>
      <c r="M50" s="838">
        <f t="shared" si="10"/>
        <v>0</v>
      </c>
      <c r="N50" s="838">
        <f t="shared" si="10"/>
        <v>0</v>
      </c>
      <c r="O50" s="839">
        <f>SUM(C50:N50)</f>
        <v>0</v>
      </c>
    </row>
    <row r="51" spans="1:15" ht="18" thickTop="1" x14ac:dyDescent="0.3"/>
  </sheetData>
  <sheetProtection sheet="1" objects="1" scenarios="1" formatCells="0" formatColumns="0"/>
  <phoneticPr fontId="13" type="noConversion"/>
  <conditionalFormatting sqref="C9:N9 C11:N12 C14:N16 C18:N19 C21:N22">
    <cfRule type="expression" dxfId="19" priority="2" stopIfTrue="1">
      <formula>C9=""</formula>
    </cfRule>
  </conditionalFormatting>
  <conditionalFormatting sqref="C27:N45">
    <cfRule type="expression" dxfId="18" priority="1" stopIfTrue="1">
      <formula>C$9=""</formula>
    </cfRule>
  </conditionalFormatting>
  <printOptions horizontalCentered="1"/>
  <pageMargins left="0.75" right="0.75" top="0.47" bottom="0.52" header="0" footer="0"/>
  <pageSetup paperSize="9" scale="62" orientation="landscape" horizontalDpi="300" r:id="rId1"/>
  <headerFooter alignWithMargins="0"/>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Hoja26">
    <tabColor rgb="FF7CC9D0"/>
    <pageSetUpPr fitToPage="1"/>
  </sheetPr>
  <dimension ref="A1:P46"/>
  <sheetViews>
    <sheetView showGridLines="0" workbookViewId="0"/>
  </sheetViews>
  <sheetFormatPr baseColWidth="10" defaultRowHeight="17.25" x14ac:dyDescent="0.3"/>
  <cols>
    <col min="1" max="1" width="26.125" style="307" customWidth="1"/>
    <col min="2" max="2" width="9.125" style="307" customWidth="1"/>
    <col min="3" max="3" width="11" style="307"/>
    <col min="4" max="4" width="10.25" style="307" customWidth="1"/>
    <col min="5" max="5" width="11.625" style="307" customWidth="1"/>
    <col min="6" max="6" width="12.625" style="307" customWidth="1"/>
    <col min="7" max="7" width="11.125" style="307" customWidth="1"/>
    <col min="8" max="8" width="11.625" style="307" customWidth="1"/>
    <col min="9" max="9" width="12" style="307" customWidth="1"/>
    <col min="10" max="11" width="11" style="307"/>
    <col min="12" max="12" width="10.5" style="307" customWidth="1"/>
    <col min="13" max="14" width="11" style="307"/>
    <col min="15" max="15" width="11.75" style="307" bestFit="1" customWidth="1"/>
    <col min="16" max="17" width="8.625" style="307" customWidth="1"/>
    <col min="18" max="18" width="9.875" style="307" customWidth="1"/>
    <col min="19" max="20" width="8.625" style="307" customWidth="1"/>
    <col min="21" max="16384" width="11" style="307"/>
  </cols>
  <sheetData>
    <row r="1" spans="1:16" s="446" customFormat="1" ht="27.75" x14ac:dyDescent="0.45">
      <c r="A1" s="408" t="s">
        <v>457</v>
      </c>
      <c r="B1" s="445"/>
      <c r="F1" s="409" t="str">
        <f>'Datos Básicos'!B16&amp;":"</f>
        <v>Año 0:</v>
      </c>
      <c r="G1" s="470">
        <f>'Datos Básicos'!$B$17</f>
        <v>2026</v>
      </c>
      <c r="O1" s="305"/>
    </row>
    <row r="2" spans="1:16" s="446" customFormat="1" ht="27.75" x14ac:dyDescent="0.45">
      <c r="A2" s="408">
        <f>'Prev.Ventas 0'!A2</f>
        <v>0</v>
      </c>
      <c r="B2" s="445"/>
      <c r="O2" s="305"/>
    </row>
    <row r="3" spans="1:16" ht="18" thickBot="1" x14ac:dyDescent="0.35">
      <c r="A3" s="728"/>
      <c r="B3" s="445"/>
      <c r="C3" s="445"/>
      <c r="D3" s="305"/>
      <c r="E3" s="305"/>
      <c r="F3" s="305"/>
      <c r="G3" s="305"/>
      <c r="H3" s="305"/>
      <c r="I3" s="305"/>
      <c r="J3" s="305"/>
      <c r="K3" s="305"/>
      <c r="L3" s="305"/>
      <c r="M3" s="305"/>
      <c r="N3" s="305"/>
      <c r="O3" s="305"/>
      <c r="P3" s="305"/>
    </row>
    <row r="4" spans="1:16" ht="18.75" thickTop="1" thickBot="1" x14ac:dyDescent="0.35">
      <c r="A4" s="729" t="s">
        <v>267</v>
      </c>
      <c r="B4" s="460"/>
      <c r="C4" s="461" t="str">
        <f>'Datos Gastos Fijos'!D7</f>
        <v>enero</v>
      </c>
      <c r="D4" s="461" t="str">
        <f>'Datos Gastos Fijos'!E7</f>
        <v>febrero</v>
      </c>
      <c r="E4" s="461" t="str">
        <f>'Datos Gastos Fijos'!F7</f>
        <v>marzo</v>
      </c>
      <c r="F4" s="461" t="str">
        <f>'Datos Gastos Fijos'!G7</f>
        <v>abril</v>
      </c>
      <c r="G4" s="461" t="str">
        <f>'Datos Gastos Fijos'!H7</f>
        <v>mayo</v>
      </c>
      <c r="H4" s="461" t="str">
        <f>'Datos Gastos Fijos'!I7</f>
        <v>junio</v>
      </c>
      <c r="I4" s="461" t="str">
        <f>'Datos Gastos Fijos'!J7</f>
        <v>julio</v>
      </c>
      <c r="J4" s="461" t="str">
        <f>'Datos Gastos Fijos'!K7</f>
        <v>agosto</v>
      </c>
      <c r="K4" s="461" t="str">
        <f>'Datos Gastos Fijos'!L7</f>
        <v>septiembre</v>
      </c>
      <c r="L4" s="461" t="str">
        <f>'Datos Gastos Fijos'!M7</f>
        <v>octubre</v>
      </c>
      <c r="M4" s="461" t="str">
        <f>'Datos Gastos Fijos'!N7</f>
        <v>noviembre</v>
      </c>
      <c r="N4" s="461" t="str">
        <f>'Datos Gastos Fijos'!O7</f>
        <v>diciembre</v>
      </c>
      <c r="O4" s="462" t="s">
        <v>865</v>
      </c>
    </row>
    <row r="5" spans="1:16" x14ac:dyDescent="0.3">
      <c r="A5" s="730" t="s">
        <v>265</v>
      </c>
      <c r="B5" s="731"/>
      <c r="C5" s="981">
        <f>SUMPRODUCT(Parametros!$F$24:$F$31,'Prev.Ventas 0'!B31:B38)</f>
        <v>0</v>
      </c>
      <c r="D5" s="979">
        <f>SUMPRODUCT(Parametros!$F$24:$F$31,'Prev.Ventas 0'!C31:C38)</f>
        <v>0</v>
      </c>
      <c r="E5" s="979">
        <f>SUMPRODUCT(Parametros!$F$24:$F$31,'Prev.Ventas 0'!D31:D38)</f>
        <v>0</v>
      </c>
      <c r="F5" s="979">
        <f>SUMPRODUCT(Parametros!$F$24:$F$31,'Prev.Ventas 0'!E31:E38)</f>
        <v>0</v>
      </c>
      <c r="G5" s="979">
        <f>SUMPRODUCT(Parametros!$F$24:$F$31,'Prev.Ventas 0'!F31:F38)</f>
        <v>0</v>
      </c>
      <c r="H5" s="979">
        <f>SUMPRODUCT(Parametros!$F$24:$F$31,'Prev.Ventas 0'!G31:G38)</f>
        <v>0</v>
      </c>
      <c r="I5" s="979">
        <f>SUMPRODUCT(Parametros!$F$24:$F$31,'Prev.Ventas 0'!H31:H38)</f>
        <v>0</v>
      </c>
      <c r="J5" s="979">
        <f>SUMPRODUCT(Parametros!$F$24:$F$31,'Prev.Ventas 0'!I31:I38)</f>
        <v>0</v>
      </c>
      <c r="K5" s="979">
        <f>SUMPRODUCT(Parametros!$F$24:$F$31,'Prev.Ventas 0'!J31:J38)</f>
        <v>0</v>
      </c>
      <c r="L5" s="979">
        <f>SUMPRODUCT(Parametros!$F$24:$F$31,'Prev.Ventas 0'!K31:K38)</f>
        <v>0</v>
      </c>
      <c r="M5" s="979">
        <f>SUMPRODUCT(Parametros!$F$24:$F$31,'Prev.Ventas 0'!L31:L38)</f>
        <v>0</v>
      </c>
      <c r="N5" s="982">
        <f>SUMPRODUCT(Parametros!$F$24:$F$31,'Prev.Ventas 0'!M31:M38)</f>
        <v>0</v>
      </c>
      <c r="O5" s="732">
        <f>SUM(C5:N5)</f>
        <v>0</v>
      </c>
    </row>
    <row r="6" spans="1:16" x14ac:dyDescent="0.3">
      <c r="A6" s="730" t="s">
        <v>991</v>
      </c>
      <c r="B6" s="733"/>
      <c r="C6" s="979">
        <f>'G.F. 0'!C50</f>
        <v>0</v>
      </c>
      <c r="D6" s="979">
        <f>'G.F. 0'!D50</f>
        <v>0</v>
      </c>
      <c r="E6" s="979">
        <f>'G.F. 0'!E50</f>
        <v>0</v>
      </c>
      <c r="F6" s="979">
        <f>'G.F. 0'!F50</f>
        <v>0</v>
      </c>
      <c r="G6" s="979">
        <f>'G.F. 0'!G50</f>
        <v>0</v>
      </c>
      <c r="H6" s="979">
        <f>'G.F. 0'!H50</f>
        <v>0</v>
      </c>
      <c r="I6" s="979">
        <f>'G.F. 0'!I50</f>
        <v>0</v>
      </c>
      <c r="J6" s="979">
        <f>'G.F. 0'!J50</f>
        <v>0</v>
      </c>
      <c r="K6" s="979">
        <f>'G.F. 0'!K50</f>
        <v>0</v>
      </c>
      <c r="L6" s="979">
        <f>'G.F. 0'!L50</f>
        <v>0</v>
      </c>
      <c r="M6" s="979">
        <f>'G.F. 0'!M50</f>
        <v>0</v>
      </c>
      <c r="N6" s="982">
        <f>'G.F. 0'!N50</f>
        <v>0</v>
      </c>
      <c r="O6" s="732">
        <f>SUM(C6:N6)</f>
        <v>0</v>
      </c>
    </row>
    <row r="7" spans="1:16" x14ac:dyDescent="0.3">
      <c r="A7" s="734" t="s">
        <v>1020</v>
      </c>
      <c r="B7" s="735"/>
      <c r="C7" s="979"/>
      <c r="D7" s="979"/>
      <c r="E7" s="979"/>
      <c r="F7" s="979"/>
      <c r="G7" s="979"/>
      <c r="H7" s="979"/>
      <c r="I7" s="979"/>
      <c r="J7" s="979"/>
      <c r="K7" s="979"/>
      <c r="L7" s="979"/>
      <c r="M7" s="979"/>
      <c r="N7" s="982"/>
      <c r="O7" s="732">
        <f>SUM(C7:N7)</f>
        <v>0</v>
      </c>
    </row>
    <row r="8" spans="1:16" ht="18" thickBot="1" x14ac:dyDescent="0.35">
      <c r="A8" s="736" t="s">
        <v>838</v>
      </c>
      <c r="B8" s="737"/>
      <c r="C8" s="983">
        <f>Leasing!B23+Renting!B22</f>
        <v>0</v>
      </c>
      <c r="D8" s="984">
        <f>Leasing!C23+Renting!C22</f>
        <v>0</v>
      </c>
      <c r="E8" s="984">
        <f>Leasing!D23+Renting!D22</f>
        <v>0</v>
      </c>
      <c r="F8" s="984">
        <f>Leasing!E23+Renting!E22</f>
        <v>0</v>
      </c>
      <c r="G8" s="984">
        <f>Leasing!F23+Renting!F22</f>
        <v>0</v>
      </c>
      <c r="H8" s="984">
        <f>Leasing!G23+Renting!G22</f>
        <v>0</v>
      </c>
      <c r="I8" s="984">
        <f>Leasing!H23+Renting!H22</f>
        <v>0</v>
      </c>
      <c r="J8" s="984">
        <f>Leasing!I23+Renting!I22</f>
        <v>0</v>
      </c>
      <c r="K8" s="984">
        <f>Leasing!J23+Renting!J22</f>
        <v>0</v>
      </c>
      <c r="L8" s="984">
        <f>Leasing!K23+Renting!K22</f>
        <v>0</v>
      </c>
      <c r="M8" s="984">
        <f>Leasing!L23+Renting!L22</f>
        <v>0</v>
      </c>
      <c r="N8" s="985">
        <f>Leasing!M23+Renting!M22</f>
        <v>0</v>
      </c>
      <c r="O8" s="738">
        <f>SUM(C8:N8)</f>
        <v>0</v>
      </c>
    </row>
    <row r="9" spans="1:16" ht="18" thickBot="1" x14ac:dyDescent="0.35">
      <c r="A9" s="739"/>
      <c r="B9" s="740" t="s">
        <v>201</v>
      </c>
      <c r="C9" s="741">
        <f t="shared" ref="C9:O9" si="0">SUM(C5:C8)</f>
        <v>0</v>
      </c>
      <c r="D9" s="742">
        <f t="shared" si="0"/>
        <v>0</v>
      </c>
      <c r="E9" s="742">
        <f t="shared" si="0"/>
        <v>0</v>
      </c>
      <c r="F9" s="742">
        <f t="shared" si="0"/>
        <v>0</v>
      </c>
      <c r="G9" s="742">
        <f t="shared" si="0"/>
        <v>0</v>
      </c>
      <c r="H9" s="742">
        <f t="shared" si="0"/>
        <v>0</v>
      </c>
      <c r="I9" s="742">
        <f t="shared" si="0"/>
        <v>0</v>
      </c>
      <c r="J9" s="742">
        <f t="shared" si="0"/>
        <v>0</v>
      </c>
      <c r="K9" s="742">
        <f t="shared" si="0"/>
        <v>0</v>
      </c>
      <c r="L9" s="742">
        <f t="shared" si="0"/>
        <v>0</v>
      </c>
      <c r="M9" s="742">
        <f t="shared" si="0"/>
        <v>0</v>
      </c>
      <c r="N9" s="743">
        <f t="shared" si="0"/>
        <v>0</v>
      </c>
      <c r="O9" s="744">
        <f t="shared" si="0"/>
        <v>0</v>
      </c>
    </row>
    <row r="10" spans="1:16" ht="18.75" thickTop="1" thickBot="1" x14ac:dyDescent="0.35">
      <c r="A10" s="745"/>
      <c r="C10" s="1015">
        <v>1</v>
      </c>
      <c r="D10" s="1015">
        <v>2</v>
      </c>
      <c r="E10" s="1015">
        <v>3</v>
      </c>
      <c r="F10" s="1015">
        <v>4</v>
      </c>
      <c r="G10" s="1015">
        <v>5</v>
      </c>
      <c r="H10" s="1015">
        <v>6</v>
      </c>
      <c r="I10" s="1015">
        <v>7</v>
      </c>
      <c r="J10" s="1015">
        <v>8</v>
      </c>
      <c r="K10" s="1015">
        <v>9</v>
      </c>
      <c r="L10" s="1015">
        <v>10</v>
      </c>
      <c r="M10" s="1015">
        <v>11</v>
      </c>
      <c r="N10" s="1015">
        <v>12</v>
      </c>
      <c r="O10" s="668"/>
    </row>
    <row r="11" spans="1:16" ht="18.75" thickTop="1" thickBot="1" x14ac:dyDescent="0.35">
      <c r="A11" s="746" t="s">
        <v>268</v>
      </c>
      <c r="B11" s="747"/>
      <c r="C11" s="748"/>
      <c r="D11" s="748"/>
      <c r="E11" s="749">
        <f>E42</f>
        <v>1</v>
      </c>
      <c r="F11" s="748"/>
      <c r="G11" s="748"/>
      <c r="H11" s="749">
        <f>H42</f>
        <v>1</v>
      </c>
      <c r="I11" s="748"/>
      <c r="J11" s="748"/>
      <c r="K11" s="749">
        <f>K42</f>
        <v>1</v>
      </c>
      <c r="L11" s="748"/>
      <c r="M11" s="748"/>
      <c r="N11" s="749">
        <f>N42</f>
        <v>1</v>
      </c>
      <c r="O11" s="750"/>
    </row>
    <row r="12" spans="1:16" x14ac:dyDescent="0.3">
      <c r="A12" s="751" t="s">
        <v>200</v>
      </c>
      <c r="B12" s="752"/>
      <c r="C12" s="977">
        <f>$E$11*C9</f>
        <v>0</v>
      </c>
      <c r="D12" s="977">
        <f>$E$11*D9</f>
        <v>0</v>
      </c>
      <c r="E12" s="977">
        <f>$E$11*E9</f>
        <v>0</v>
      </c>
      <c r="F12" s="977">
        <f>$H$11*F9</f>
        <v>0</v>
      </c>
      <c r="G12" s="977">
        <f>$H$11*G9</f>
        <v>0</v>
      </c>
      <c r="H12" s="977">
        <f>$H$11*H9</f>
        <v>0</v>
      </c>
      <c r="I12" s="977">
        <f>$K$11*I9</f>
        <v>0</v>
      </c>
      <c r="J12" s="977">
        <f>$K$11*J9</f>
        <v>0</v>
      </c>
      <c r="K12" s="977">
        <f>$K$11*K9</f>
        <v>0</v>
      </c>
      <c r="L12" s="977">
        <f>$N$11*L9</f>
        <v>0</v>
      </c>
      <c r="M12" s="977">
        <f>$N$11*M9</f>
        <v>0</v>
      </c>
      <c r="N12" s="977">
        <f>$N$11*N9</f>
        <v>0</v>
      </c>
      <c r="O12" s="753">
        <f>SUM(C12:N12)</f>
        <v>0</v>
      </c>
    </row>
    <row r="13" spans="1:16" ht="16.5" customHeight="1" thickBot="1" x14ac:dyDescent="0.35">
      <c r="A13" s="754" t="s">
        <v>202</v>
      </c>
      <c r="B13" s="755"/>
      <c r="C13" s="978">
        <f t="shared" ref="C13:N13" si="1">C9-C12</f>
        <v>0</v>
      </c>
      <c r="D13" s="978">
        <f t="shared" si="1"/>
        <v>0</v>
      </c>
      <c r="E13" s="978">
        <f t="shared" si="1"/>
        <v>0</v>
      </c>
      <c r="F13" s="978">
        <f t="shared" si="1"/>
        <v>0</v>
      </c>
      <c r="G13" s="978">
        <f t="shared" si="1"/>
        <v>0</v>
      </c>
      <c r="H13" s="978">
        <f t="shared" si="1"/>
        <v>0</v>
      </c>
      <c r="I13" s="978">
        <f t="shared" si="1"/>
        <v>0</v>
      </c>
      <c r="J13" s="978">
        <f t="shared" si="1"/>
        <v>0</v>
      </c>
      <c r="K13" s="978">
        <f t="shared" si="1"/>
        <v>0</v>
      </c>
      <c r="L13" s="978">
        <f t="shared" si="1"/>
        <v>0</v>
      </c>
      <c r="M13" s="978">
        <f t="shared" si="1"/>
        <v>0</v>
      </c>
      <c r="N13" s="978">
        <f t="shared" si="1"/>
        <v>0</v>
      </c>
      <c r="O13" s="756">
        <f>SUM(C13:N13)</f>
        <v>0</v>
      </c>
    </row>
    <row r="14" spans="1:16" ht="18" thickTop="1" x14ac:dyDescent="0.3"/>
    <row r="15" spans="1:16" x14ac:dyDescent="0.3">
      <c r="A15" s="303" t="s">
        <v>1051</v>
      </c>
      <c r="B15" s="397" t="str">
        <f>IF(mes0&lt;4,"1T",IF(mes0&lt;7,"2T",IF(mes0&lt;10,"3T","4T")))</f>
        <v>1T</v>
      </c>
      <c r="D15" s="368" t="s">
        <v>8</v>
      </c>
      <c r="E15" s="442" t="str">
        <f>Parametros!$F$35</f>
        <v>No</v>
      </c>
    </row>
    <row r="17" spans="1:15" ht="28.5" thickBot="1" x14ac:dyDescent="0.5">
      <c r="A17" s="408" t="s">
        <v>458</v>
      </c>
      <c r="B17" s="445"/>
      <c r="C17" s="446"/>
      <c r="D17" s="446"/>
      <c r="E17" s="409"/>
      <c r="F17" s="409"/>
    </row>
    <row r="18" spans="1:15" ht="18" thickTop="1" x14ac:dyDescent="0.3">
      <c r="A18" s="757"/>
      <c r="B18" s="758"/>
      <c r="C18" s="758" t="str">
        <f t="shared" ref="C18:N18" si="2">C$4</f>
        <v>enero</v>
      </c>
      <c r="D18" s="758" t="str">
        <f t="shared" si="2"/>
        <v>febrero</v>
      </c>
      <c r="E18" s="758" t="str">
        <f t="shared" si="2"/>
        <v>marzo</v>
      </c>
      <c r="F18" s="758" t="str">
        <f t="shared" si="2"/>
        <v>abril</v>
      </c>
      <c r="G18" s="758" t="str">
        <f t="shared" si="2"/>
        <v>mayo</v>
      </c>
      <c r="H18" s="758" t="str">
        <f t="shared" si="2"/>
        <v>junio</v>
      </c>
      <c r="I18" s="758" t="str">
        <f t="shared" si="2"/>
        <v>julio</v>
      </c>
      <c r="J18" s="758" t="str">
        <f t="shared" si="2"/>
        <v>agosto</v>
      </c>
      <c r="K18" s="758" t="str">
        <f t="shared" si="2"/>
        <v>septiembre</v>
      </c>
      <c r="L18" s="758" t="str">
        <f t="shared" si="2"/>
        <v>octubre</v>
      </c>
      <c r="M18" s="758" t="str">
        <f t="shared" si="2"/>
        <v>noviembre</v>
      </c>
      <c r="N18" s="758" t="str">
        <f t="shared" si="2"/>
        <v>diciembre</v>
      </c>
      <c r="O18" s="759" t="s">
        <v>865</v>
      </c>
    </row>
    <row r="19" spans="1:15" x14ac:dyDescent="0.3">
      <c r="A19" s="727" t="s">
        <v>989</v>
      </c>
      <c r="B19" s="610"/>
      <c r="C19" s="979">
        <f>SUMPRODUCT(Parametros!$E$24:$E$31,'Prev.Ventas 0'!B17:B24)</f>
        <v>0</v>
      </c>
      <c r="D19" s="979">
        <f>SUMPRODUCT(Parametros!$E$24:$E$31,'Prev.Ventas 0'!C17:C24)</f>
        <v>0</v>
      </c>
      <c r="E19" s="979">
        <f>SUMPRODUCT(Parametros!$E$24:$E$31,'Prev.Ventas 0'!D17:D24)</f>
        <v>0</v>
      </c>
      <c r="F19" s="979">
        <f>SUMPRODUCT(Parametros!$E$24:$E$31,'Prev.Ventas 0'!E17:E24)</f>
        <v>0</v>
      </c>
      <c r="G19" s="979">
        <f>SUMPRODUCT(Parametros!$E$24:$E$31,'Prev.Ventas 0'!F17:F24)</f>
        <v>0</v>
      </c>
      <c r="H19" s="979">
        <f>SUMPRODUCT(Parametros!$E$24:$E$31,'Prev.Ventas 0'!G17:G24)</f>
        <v>0</v>
      </c>
      <c r="I19" s="979">
        <f>SUMPRODUCT(Parametros!$E$24:$E$31,'Prev.Ventas 0'!H17:H24)</f>
        <v>0</v>
      </c>
      <c r="J19" s="979">
        <f>SUMPRODUCT(Parametros!$E$24:$E$31,'Prev.Ventas 0'!I17:I24)</f>
        <v>0</v>
      </c>
      <c r="K19" s="979">
        <f>SUMPRODUCT(Parametros!$E$24:$E$31,'Prev.Ventas 0'!J17:J24)</f>
        <v>0</v>
      </c>
      <c r="L19" s="979">
        <f>SUMPRODUCT(Parametros!$E$24:$E$31,'Prev.Ventas 0'!K17:K24)</f>
        <v>0</v>
      </c>
      <c r="M19" s="979">
        <f>SUMPRODUCT(Parametros!$E$24:$E$31,'Prev.Ventas 0'!L17:L24)</f>
        <v>0</v>
      </c>
      <c r="N19" s="979">
        <f>SUMPRODUCT(Parametros!$E$24:$E$31,'Prev.Ventas 0'!M17:M24)</f>
        <v>0</v>
      </c>
      <c r="O19" s="760">
        <f>SUM(C19:N19)</f>
        <v>0</v>
      </c>
    </row>
    <row r="20" spans="1:15" x14ac:dyDescent="0.3">
      <c r="A20" s="727" t="s">
        <v>200</v>
      </c>
      <c r="B20" s="610"/>
      <c r="C20" s="979">
        <f t="shared" ref="C20:N20" si="3">C12</f>
        <v>0</v>
      </c>
      <c r="D20" s="979">
        <f t="shared" si="3"/>
        <v>0</v>
      </c>
      <c r="E20" s="979">
        <f t="shared" si="3"/>
        <v>0</v>
      </c>
      <c r="F20" s="979">
        <f t="shared" si="3"/>
        <v>0</v>
      </c>
      <c r="G20" s="979">
        <f t="shared" si="3"/>
        <v>0</v>
      </c>
      <c r="H20" s="979">
        <f t="shared" si="3"/>
        <v>0</v>
      </c>
      <c r="I20" s="979">
        <f t="shared" si="3"/>
        <v>0</v>
      </c>
      <c r="J20" s="979">
        <f t="shared" si="3"/>
        <v>0</v>
      </c>
      <c r="K20" s="979">
        <f t="shared" si="3"/>
        <v>0</v>
      </c>
      <c r="L20" s="979">
        <f t="shared" si="3"/>
        <v>0</v>
      </c>
      <c r="M20" s="979">
        <f t="shared" si="3"/>
        <v>0</v>
      </c>
      <c r="N20" s="979">
        <f t="shared" si="3"/>
        <v>0</v>
      </c>
      <c r="O20" s="760">
        <f>SUM(C20:N20)</f>
        <v>0</v>
      </c>
    </row>
    <row r="21" spans="1:15" ht="18" thickBot="1" x14ac:dyDescent="0.35">
      <c r="A21" s="727" t="s">
        <v>992</v>
      </c>
      <c r="B21" s="761"/>
      <c r="C21" s="980">
        <f>C19-C20</f>
        <v>0</v>
      </c>
      <c r="D21" s="980">
        <f t="shared" ref="D21:N21" si="4">D19-D20</f>
        <v>0</v>
      </c>
      <c r="E21" s="980">
        <f t="shared" si="4"/>
        <v>0</v>
      </c>
      <c r="F21" s="980">
        <f t="shared" si="4"/>
        <v>0</v>
      </c>
      <c r="G21" s="980">
        <f t="shared" si="4"/>
        <v>0</v>
      </c>
      <c r="H21" s="980">
        <f t="shared" si="4"/>
        <v>0</v>
      </c>
      <c r="I21" s="980">
        <f t="shared" si="4"/>
        <v>0</v>
      </c>
      <c r="J21" s="980">
        <f t="shared" si="4"/>
        <v>0</v>
      </c>
      <c r="K21" s="980">
        <f t="shared" si="4"/>
        <v>0</v>
      </c>
      <c r="L21" s="980">
        <f t="shared" si="4"/>
        <v>0</v>
      </c>
      <c r="M21" s="980">
        <f t="shared" si="4"/>
        <v>0</v>
      </c>
      <c r="N21" s="980">
        <f t="shared" si="4"/>
        <v>0</v>
      </c>
      <c r="O21" s="760">
        <f>SUM(C21:N21)</f>
        <v>0</v>
      </c>
    </row>
    <row r="22" spans="1:15" ht="19.5" customHeight="1" thickTop="1" x14ac:dyDescent="0.3">
      <c r="A22" s="762" t="s">
        <v>997</v>
      </c>
      <c r="B22" s="763"/>
      <c r="C22" s="764">
        <f>IF(mes0=1,-'Inversiones AC'!B17-'Inversiones AC'!B18+'Financiación Inicial'!$B$27,0)</f>
        <v>0</v>
      </c>
      <c r="D22" s="765"/>
      <c r="E22" s="765"/>
      <c r="F22" s="765">
        <f>IF(C22&gt;0,SUM(C21:E21),C22+SUM(C21:E21))+IF(AND(mes0&gt;1,mes0&lt;4),-'Inversiones AC'!$B$17-'Inversiones AC'!$B$18+'Financiación Inicial'!$B$27,0)</f>
        <v>0</v>
      </c>
      <c r="G22" s="765"/>
      <c r="H22" s="765"/>
      <c r="I22" s="765">
        <f>IF(F22&gt;0,SUM(F21:H21),F22+SUM(F21:H21))+IF(AND(mes0&gt;=4,mes0&lt;7),-'Inversiones AC'!$B$17-'Inversiones AC'!$B$18+'Financiación Inicial'!$B$27,0)</f>
        <v>0</v>
      </c>
      <c r="J22" s="765"/>
      <c r="K22" s="765"/>
      <c r="L22" s="765">
        <f>IF(I22&gt;0,SUM(I21:K21),I22+SUM(I21:K21))+IF(AND(mes0&gt;=7,mes0&lt;10),-'Inversiones AC'!$B$17-'Inversiones AC'!$B$18+'Financiación Inicial'!$B$27,0)</f>
        <v>0</v>
      </c>
      <c r="M22" s="765"/>
      <c r="N22" s="765"/>
      <c r="O22" s="766">
        <f>IF(L22&gt;0,SUM(L21:N21),L22+SUM(L21:N21))+IF(mes0&gt;=10,-'Inversiones AC'!$B$17-'Inversiones AC'!$B$18+'Financiación Inicial'!$B$27,0)</f>
        <v>0</v>
      </c>
    </row>
    <row r="23" spans="1:15" ht="10.5" customHeight="1" x14ac:dyDescent="0.3">
      <c r="A23" s="767"/>
      <c r="B23" s="610"/>
      <c r="C23" s="610"/>
      <c r="D23" s="610"/>
      <c r="E23" s="610"/>
      <c r="F23" s="610"/>
      <c r="G23" s="610"/>
      <c r="H23" s="610"/>
      <c r="I23" s="610"/>
      <c r="J23" s="610"/>
      <c r="K23" s="610"/>
      <c r="L23" s="610"/>
      <c r="M23" s="610"/>
      <c r="N23" s="610"/>
      <c r="O23" s="768"/>
    </row>
    <row r="24" spans="1:15" ht="19.5" customHeight="1" thickBot="1" x14ac:dyDescent="0.35">
      <c r="A24" s="769" t="s">
        <v>993</v>
      </c>
      <c r="B24" s="755"/>
      <c r="C24" s="770">
        <f>IF(AND(E15="No",C22&gt;0),C22,0)</f>
        <v>0</v>
      </c>
      <c r="D24" s="771"/>
      <c r="E24" s="771"/>
      <c r="F24" s="771">
        <f>IF(AND(E15="No",F22&gt;0),F22,0)</f>
        <v>0</v>
      </c>
      <c r="G24" s="771"/>
      <c r="H24" s="771"/>
      <c r="I24" s="771">
        <f>IF(AND(E15="No",I22&gt;0),I22,0)</f>
        <v>0</v>
      </c>
      <c r="J24" s="771"/>
      <c r="K24" s="771"/>
      <c r="L24" s="771">
        <f>IF(AND($E$15="No",L22&gt;0),L22,0)</f>
        <v>0</v>
      </c>
      <c r="M24" s="771"/>
      <c r="N24" s="771"/>
      <c r="O24" s="772">
        <f>IF(AND($E$15="No",O22&gt;0),O22,0)</f>
        <v>0</v>
      </c>
    </row>
    <row r="25" spans="1:15" ht="9" customHeight="1" thickTop="1" thickBot="1" x14ac:dyDescent="0.35"/>
    <row r="26" spans="1:15" ht="18.75" thickTop="1" thickBot="1" x14ac:dyDescent="0.35">
      <c r="A26" s="773" t="s">
        <v>7</v>
      </c>
      <c r="B26" s="774"/>
      <c r="C26" s="775">
        <f>IF(AND($E$15="Si",mes0=1),-'Inversiones AC'!B17-'Inversiones AC'!B18+'Financiación Inicial'!$B$27,0)</f>
        <v>0</v>
      </c>
      <c r="D26" s="776"/>
      <c r="E26" s="776"/>
      <c r="F26" s="776">
        <f>IF($E$15="Si",SUM(C21:E21)+IF(AND(mes0&gt;1,mes0&lt;4),-'Inversiones AC'!$B$17-'Inversiones AC'!$B$18+'Financiación Inicial'!$B$27,0),0)</f>
        <v>0</v>
      </c>
      <c r="G26" s="776"/>
      <c r="H26" s="776"/>
      <c r="I26" s="776">
        <f>IF($E$15="Si",SUM(F21:H21)+IF(AND(mes0&gt;=4,mes0&lt;7),-'Inversiones AC'!$B$17-'Inversiones AC'!$B$18+'Financiación Inicial'!$B$27,0),0)</f>
        <v>0</v>
      </c>
      <c r="J26" s="776"/>
      <c r="K26" s="776"/>
      <c r="L26" s="776">
        <f>IF($E$15="Si",SUM(I21:K21)+IF(AND(mes0&gt;=7,mes0&lt;10),-'Inversiones AC'!$B$17-'Inversiones AC'!$B$18+'Financiación Inicial'!$B$27,0),0)</f>
        <v>0</v>
      </c>
      <c r="M26" s="776"/>
      <c r="N26" s="776"/>
      <c r="O26" s="777">
        <f>IF($E$15="Si",SUM(L21:N21)+IF(mes0&gt;=10,-'Inversiones AC'!$B$17-'Inversiones AC'!$B$18+'Financiación Inicial'!$B$27,0),0)</f>
        <v>0</v>
      </c>
    </row>
    <row r="27" spans="1:15" ht="18" thickTop="1" x14ac:dyDescent="0.3"/>
    <row r="29" spans="1:15" ht="28.5" thickBot="1" x14ac:dyDescent="0.5">
      <c r="A29" s="408" t="s">
        <v>459</v>
      </c>
      <c r="D29" s="409"/>
      <c r="E29" s="409"/>
    </row>
    <row r="30" spans="1:15" ht="18.75" thickTop="1" thickBot="1" x14ac:dyDescent="0.35">
      <c r="A30" s="677" t="s">
        <v>995</v>
      </c>
      <c r="B30" s="447" t="s">
        <v>949</v>
      </c>
      <c r="C30" s="460" t="str">
        <f t="shared" ref="C30:N30" si="5">C$4</f>
        <v>enero</v>
      </c>
      <c r="D30" s="461" t="str">
        <f t="shared" si="5"/>
        <v>febrero</v>
      </c>
      <c r="E30" s="461" t="str">
        <f t="shared" si="5"/>
        <v>marzo</v>
      </c>
      <c r="F30" s="461" t="str">
        <f t="shared" si="5"/>
        <v>abril</v>
      </c>
      <c r="G30" s="461" t="str">
        <f t="shared" si="5"/>
        <v>mayo</v>
      </c>
      <c r="H30" s="461" t="str">
        <f t="shared" si="5"/>
        <v>junio</v>
      </c>
      <c r="I30" s="461" t="str">
        <f t="shared" si="5"/>
        <v>julio</v>
      </c>
      <c r="J30" s="461" t="str">
        <f t="shared" si="5"/>
        <v>agosto</v>
      </c>
      <c r="K30" s="461" t="str">
        <f t="shared" si="5"/>
        <v>septiembre</v>
      </c>
      <c r="L30" s="461" t="str">
        <f t="shared" si="5"/>
        <v>octubre</v>
      </c>
      <c r="M30" s="461" t="str">
        <f t="shared" si="5"/>
        <v>noviembre</v>
      </c>
      <c r="N30" s="461" t="str">
        <f t="shared" si="5"/>
        <v>diciembre</v>
      </c>
      <c r="O30" s="462" t="s">
        <v>865</v>
      </c>
    </row>
    <row r="31" spans="1:15" x14ac:dyDescent="0.3">
      <c r="A31" s="696" t="str">
        <f>'Estimacion Ventas'!A12</f>
        <v/>
      </c>
      <c r="B31" s="778">
        <f>Parametros!E24</f>
        <v>0.21</v>
      </c>
      <c r="C31" s="959">
        <f>'Prev.Ventas 0'!B17</f>
        <v>0</v>
      </c>
      <c r="D31" s="959">
        <f>'Prev.Ventas 0'!C17</f>
        <v>0</v>
      </c>
      <c r="E31" s="959">
        <f>'Prev.Ventas 0'!D17</f>
        <v>0</v>
      </c>
      <c r="F31" s="959">
        <f>'Prev.Ventas 0'!E17</f>
        <v>0</v>
      </c>
      <c r="G31" s="959">
        <f>'Prev.Ventas 0'!F17</f>
        <v>0</v>
      </c>
      <c r="H31" s="959">
        <f>'Prev.Ventas 0'!G17</f>
        <v>0</v>
      </c>
      <c r="I31" s="959">
        <f>'Prev.Ventas 0'!H17</f>
        <v>0</v>
      </c>
      <c r="J31" s="959">
        <f>'Prev.Ventas 0'!I17</f>
        <v>0</v>
      </c>
      <c r="K31" s="959">
        <f>'Prev.Ventas 0'!J17</f>
        <v>0</v>
      </c>
      <c r="L31" s="959">
        <f>'Prev.Ventas 0'!K17</f>
        <v>0</v>
      </c>
      <c r="M31" s="959">
        <f>'Prev.Ventas 0'!L17</f>
        <v>0</v>
      </c>
      <c r="N31" s="959">
        <f>'Prev.Ventas 0'!M17</f>
        <v>0</v>
      </c>
      <c r="O31" s="960">
        <f t="shared" ref="O31:O41" si="6">SUM(C31:N31)</f>
        <v>0</v>
      </c>
    </row>
    <row r="32" spans="1:15" x14ac:dyDescent="0.3">
      <c r="A32" s="779" t="str">
        <f>'Estimacion Ventas'!A13</f>
        <v/>
      </c>
      <c r="B32" s="780">
        <f>Parametros!E25</f>
        <v>0.21</v>
      </c>
      <c r="C32" s="961">
        <f>'Prev.Ventas 0'!B18</f>
        <v>0</v>
      </c>
      <c r="D32" s="961">
        <f>'Prev.Ventas 0'!C18</f>
        <v>0</v>
      </c>
      <c r="E32" s="961">
        <f>'Prev.Ventas 0'!D18</f>
        <v>0</v>
      </c>
      <c r="F32" s="961">
        <f>'Prev.Ventas 0'!E18</f>
        <v>0</v>
      </c>
      <c r="G32" s="961">
        <f>'Prev.Ventas 0'!F18</f>
        <v>0</v>
      </c>
      <c r="H32" s="961">
        <f>'Prev.Ventas 0'!G18</f>
        <v>0</v>
      </c>
      <c r="I32" s="961">
        <f>'Prev.Ventas 0'!H18</f>
        <v>0</v>
      </c>
      <c r="J32" s="961">
        <f>'Prev.Ventas 0'!I18</f>
        <v>0</v>
      </c>
      <c r="K32" s="961">
        <f>'Prev.Ventas 0'!J18</f>
        <v>0</v>
      </c>
      <c r="L32" s="961">
        <f>'Prev.Ventas 0'!K18</f>
        <v>0</v>
      </c>
      <c r="M32" s="961">
        <f>'Prev.Ventas 0'!L18</f>
        <v>0</v>
      </c>
      <c r="N32" s="961">
        <f>'Prev.Ventas 0'!M18</f>
        <v>0</v>
      </c>
      <c r="O32" s="962">
        <f t="shared" si="6"/>
        <v>0</v>
      </c>
    </row>
    <row r="33" spans="1:15" x14ac:dyDescent="0.3">
      <c r="A33" s="779" t="str">
        <f>'Estimacion Ventas'!A14</f>
        <v/>
      </c>
      <c r="B33" s="780">
        <f>Parametros!E26</f>
        <v>0.21</v>
      </c>
      <c r="C33" s="961">
        <f>'Prev.Ventas 0'!B19</f>
        <v>0</v>
      </c>
      <c r="D33" s="961">
        <f>'Prev.Ventas 0'!C19</f>
        <v>0</v>
      </c>
      <c r="E33" s="961">
        <f>'Prev.Ventas 0'!D19</f>
        <v>0</v>
      </c>
      <c r="F33" s="961">
        <f>'Prev.Ventas 0'!E19</f>
        <v>0</v>
      </c>
      <c r="G33" s="961">
        <f>'Prev.Ventas 0'!F19</f>
        <v>0</v>
      </c>
      <c r="H33" s="961">
        <f>'Prev.Ventas 0'!G19</f>
        <v>0</v>
      </c>
      <c r="I33" s="961">
        <f>'Prev.Ventas 0'!H19</f>
        <v>0</v>
      </c>
      <c r="J33" s="961">
        <f>'Prev.Ventas 0'!I19</f>
        <v>0</v>
      </c>
      <c r="K33" s="961">
        <f>'Prev.Ventas 0'!J19</f>
        <v>0</v>
      </c>
      <c r="L33" s="961">
        <f>'Prev.Ventas 0'!K19</f>
        <v>0</v>
      </c>
      <c r="M33" s="961">
        <f>'Prev.Ventas 0'!L19</f>
        <v>0</v>
      </c>
      <c r="N33" s="961">
        <f>'Prev.Ventas 0'!M19</f>
        <v>0</v>
      </c>
      <c r="O33" s="962">
        <f t="shared" si="6"/>
        <v>0</v>
      </c>
    </row>
    <row r="34" spans="1:15" x14ac:dyDescent="0.3">
      <c r="A34" s="779" t="str">
        <f>'Estimacion Ventas'!A15</f>
        <v/>
      </c>
      <c r="B34" s="780">
        <f>Parametros!E27</f>
        <v>0.21</v>
      </c>
      <c r="C34" s="961">
        <f>'Prev.Ventas 0'!B20</f>
        <v>0</v>
      </c>
      <c r="D34" s="961">
        <f>'Prev.Ventas 0'!C20</f>
        <v>0</v>
      </c>
      <c r="E34" s="961">
        <f>'Prev.Ventas 0'!D20</f>
        <v>0</v>
      </c>
      <c r="F34" s="961">
        <f>'Prev.Ventas 0'!E20</f>
        <v>0</v>
      </c>
      <c r="G34" s="961">
        <f>'Prev.Ventas 0'!F20</f>
        <v>0</v>
      </c>
      <c r="H34" s="961">
        <f>'Prev.Ventas 0'!G20</f>
        <v>0</v>
      </c>
      <c r="I34" s="961">
        <f>'Prev.Ventas 0'!H20</f>
        <v>0</v>
      </c>
      <c r="J34" s="961">
        <f>'Prev.Ventas 0'!I20</f>
        <v>0</v>
      </c>
      <c r="K34" s="961">
        <f>'Prev.Ventas 0'!J20</f>
        <v>0</v>
      </c>
      <c r="L34" s="961">
        <f>'Prev.Ventas 0'!K20</f>
        <v>0</v>
      </c>
      <c r="M34" s="961">
        <f>'Prev.Ventas 0'!L20</f>
        <v>0</v>
      </c>
      <c r="N34" s="961">
        <f>'Prev.Ventas 0'!M20</f>
        <v>0</v>
      </c>
      <c r="O34" s="962">
        <f t="shared" si="6"/>
        <v>0</v>
      </c>
    </row>
    <row r="35" spans="1:15" x14ac:dyDescent="0.3">
      <c r="A35" s="779" t="str">
        <f>'Estimacion Ventas'!A16</f>
        <v/>
      </c>
      <c r="B35" s="780">
        <f>Parametros!E28</f>
        <v>0.21</v>
      </c>
      <c r="C35" s="961">
        <f>'Prev.Ventas 0'!B21</f>
        <v>0</v>
      </c>
      <c r="D35" s="961">
        <f>'Prev.Ventas 0'!C21</f>
        <v>0</v>
      </c>
      <c r="E35" s="961">
        <f>'Prev.Ventas 0'!D21</f>
        <v>0</v>
      </c>
      <c r="F35" s="961">
        <f>'Prev.Ventas 0'!E21</f>
        <v>0</v>
      </c>
      <c r="G35" s="961">
        <f>'Prev.Ventas 0'!F21</f>
        <v>0</v>
      </c>
      <c r="H35" s="961">
        <f>'Prev.Ventas 0'!G21</f>
        <v>0</v>
      </c>
      <c r="I35" s="961">
        <f>'Prev.Ventas 0'!H21</f>
        <v>0</v>
      </c>
      <c r="J35" s="961">
        <f>'Prev.Ventas 0'!I21</f>
        <v>0</v>
      </c>
      <c r="K35" s="961">
        <f>'Prev.Ventas 0'!J21</f>
        <v>0</v>
      </c>
      <c r="L35" s="961">
        <f>'Prev.Ventas 0'!K21</f>
        <v>0</v>
      </c>
      <c r="M35" s="961">
        <f>'Prev.Ventas 0'!L21</f>
        <v>0</v>
      </c>
      <c r="N35" s="961">
        <f>'Prev.Ventas 0'!M21</f>
        <v>0</v>
      </c>
      <c r="O35" s="962">
        <f t="shared" si="6"/>
        <v>0</v>
      </c>
    </row>
    <row r="36" spans="1:15" x14ac:dyDescent="0.3">
      <c r="A36" s="779" t="str">
        <f>'Estimacion Ventas'!A17</f>
        <v/>
      </c>
      <c r="B36" s="780">
        <f>Parametros!E29</f>
        <v>0</v>
      </c>
      <c r="C36" s="961">
        <f>'Prev.Ventas 0'!B22</f>
        <v>0</v>
      </c>
      <c r="D36" s="961">
        <f>'Prev.Ventas 0'!C22</f>
        <v>0</v>
      </c>
      <c r="E36" s="961">
        <f>'Prev.Ventas 0'!D22</f>
        <v>0</v>
      </c>
      <c r="F36" s="961">
        <f>'Prev.Ventas 0'!E22</f>
        <v>0</v>
      </c>
      <c r="G36" s="961">
        <f>'Prev.Ventas 0'!F22</f>
        <v>0</v>
      </c>
      <c r="H36" s="961">
        <f>'Prev.Ventas 0'!G22</f>
        <v>0</v>
      </c>
      <c r="I36" s="961">
        <f>'Prev.Ventas 0'!H22</f>
        <v>0</v>
      </c>
      <c r="J36" s="961">
        <f>'Prev.Ventas 0'!I22</f>
        <v>0</v>
      </c>
      <c r="K36" s="961">
        <f>'Prev.Ventas 0'!J22</f>
        <v>0</v>
      </c>
      <c r="L36" s="961">
        <f>'Prev.Ventas 0'!K22</f>
        <v>0</v>
      </c>
      <c r="M36" s="961">
        <f>'Prev.Ventas 0'!L22</f>
        <v>0</v>
      </c>
      <c r="N36" s="961">
        <f>'Prev.Ventas 0'!M22</f>
        <v>0</v>
      </c>
      <c r="O36" s="962">
        <f t="shared" si="6"/>
        <v>0</v>
      </c>
    </row>
    <row r="37" spans="1:15" x14ac:dyDescent="0.3">
      <c r="A37" s="779" t="str">
        <f>'Estimacion Ventas'!A18</f>
        <v/>
      </c>
      <c r="B37" s="780">
        <f>Parametros!E30</f>
        <v>0</v>
      </c>
      <c r="C37" s="961">
        <f>'Prev.Ventas 0'!B23</f>
        <v>0</v>
      </c>
      <c r="D37" s="961">
        <f>'Prev.Ventas 0'!C23</f>
        <v>0</v>
      </c>
      <c r="E37" s="961">
        <f>'Prev.Ventas 0'!D23</f>
        <v>0</v>
      </c>
      <c r="F37" s="961">
        <f>'Prev.Ventas 0'!E23</f>
        <v>0</v>
      </c>
      <c r="G37" s="961">
        <f>'Prev.Ventas 0'!F23</f>
        <v>0</v>
      </c>
      <c r="H37" s="961">
        <f>'Prev.Ventas 0'!G23</f>
        <v>0</v>
      </c>
      <c r="I37" s="961">
        <f>'Prev.Ventas 0'!H23</f>
        <v>0</v>
      </c>
      <c r="J37" s="961">
        <f>'Prev.Ventas 0'!I23</f>
        <v>0</v>
      </c>
      <c r="K37" s="961">
        <f>'Prev.Ventas 0'!J23</f>
        <v>0</v>
      </c>
      <c r="L37" s="961">
        <f>'Prev.Ventas 0'!K23</f>
        <v>0</v>
      </c>
      <c r="M37" s="961">
        <f>'Prev.Ventas 0'!L23</f>
        <v>0</v>
      </c>
      <c r="N37" s="961">
        <f>'Prev.Ventas 0'!M23</f>
        <v>0</v>
      </c>
      <c r="O37" s="962">
        <f t="shared" si="6"/>
        <v>0</v>
      </c>
    </row>
    <row r="38" spans="1:15" ht="18" thickBot="1" x14ac:dyDescent="0.35">
      <c r="A38" s="781" t="str">
        <f>'Estimacion Ventas'!A19</f>
        <v/>
      </c>
      <c r="B38" s="782">
        <f>Parametros!E31</f>
        <v>0</v>
      </c>
      <c r="C38" s="963">
        <f>'Prev.Ventas 0'!B24</f>
        <v>0</v>
      </c>
      <c r="D38" s="963">
        <f>'Prev.Ventas 0'!C24</f>
        <v>0</v>
      </c>
      <c r="E38" s="963">
        <f>'Prev.Ventas 0'!D24</f>
        <v>0</v>
      </c>
      <c r="F38" s="963">
        <f>'Prev.Ventas 0'!E24</f>
        <v>0</v>
      </c>
      <c r="G38" s="963">
        <f>'Prev.Ventas 0'!F24</f>
        <v>0</v>
      </c>
      <c r="H38" s="963">
        <f>'Prev.Ventas 0'!G24</f>
        <v>0</v>
      </c>
      <c r="I38" s="963">
        <f>'Prev.Ventas 0'!H24</f>
        <v>0</v>
      </c>
      <c r="J38" s="963">
        <f>'Prev.Ventas 0'!I24</f>
        <v>0</v>
      </c>
      <c r="K38" s="963">
        <f>'Prev.Ventas 0'!J24</f>
        <v>0</v>
      </c>
      <c r="L38" s="963">
        <f>'Prev.Ventas 0'!K24</f>
        <v>0</v>
      </c>
      <c r="M38" s="963">
        <f>'Prev.Ventas 0'!L24</f>
        <v>0</v>
      </c>
      <c r="N38" s="963">
        <f>'Prev.Ventas 0'!M24</f>
        <v>0</v>
      </c>
      <c r="O38" s="964">
        <f t="shared" si="6"/>
        <v>0</v>
      </c>
    </row>
    <row r="39" spans="1:15" ht="18" thickBot="1" x14ac:dyDescent="0.35">
      <c r="A39" s="783" t="s">
        <v>197</v>
      </c>
      <c r="B39" s="443"/>
      <c r="C39" s="965">
        <f>SUMIF($B$31:$B$38,"&lt;&gt;0",C31:C38)</f>
        <v>0</v>
      </c>
      <c r="D39" s="966">
        <f t="shared" ref="D39:N39" si="7">SUMIF($B$31:$B$38,"&lt;&gt;0",D31:D38)</f>
        <v>0</v>
      </c>
      <c r="E39" s="967">
        <f t="shared" si="7"/>
        <v>0</v>
      </c>
      <c r="F39" s="967">
        <f t="shared" si="7"/>
        <v>0</v>
      </c>
      <c r="G39" s="967">
        <f t="shared" si="7"/>
        <v>0</v>
      </c>
      <c r="H39" s="967">
        <f t="shared" si="7"/>
        <v>0</v>
      </c>
      <c r="I39" s="967">
        <f t="shared" si="7"/>
        <v>0</v>
      </c>
      <c r="J39" s="967">
        <f t="shared" si="7"/>
        <v>0</v>
      </c>
      <c r="K39" s="967">
        <f t="shared" si="7"/>
        <v>0</v>
      </c>
      <c r="L39" s="967">
        <f t="shared" si="7"/>
        <v>0</v>
      </c>
      <c r="M39" s="967">
        <f t="shared" si="7"/>
        <v>0</v>
      </c>
      <c r="N39" s="968">
        <f t="shared" si="7"/>
        <v>0</v>
      </c>
      <c r="O39" s="969">
        <f>SUM(C39:N39)</f>
        <v>0</v>
      </c>
    </row>
    <row r="40" spans="1:15" ht="18" thickBot="1" x14ac:dyDescent="0.35">
      <c r="A40" s="783" t="s">
        <v>198</v>
      </c>
      <c r="B40" s="443"/>
      <c r="C40" s="970">
        <f>SUMIF($B$31:$B$38,"=0",C31:C38)</f>
        <v>0</v>
      </c>
      <c r="D40" s="971">
        <f>SUMIF($B$31:$B$38,"=0",D31:D38)</f>
        <v>0</v>
      </c>
      <c r="E40" s="971">
        <f>SUMIF($B$31:$B$38,"=0",E31:E38)</f>
        <v>0</v>
      </c>
      <c r="F40" s="971">
        <f>SUMIF($B$31:$B$38,"=0",F31:F38)</f>
        <v>0</v>
      </c>
      <c r="G40" s="971">
        <f t="shared" ref="G40:N40" si="8">SUMIF($B$31:$B$38,"=0",G31:G38)</f>
        <v>0</v>
      </c>
      <c r="H40" s="971">
        <f t="shared" si="8"/>
        <v>0</v>
      </c>
      <c r="I40" s="971">
        <f t="shared" si="8"/>
        <v>0</v>
      </c>
      <c r="J40" s="971">
        <f t="shared" si="8"/>
        <v>0</v>
      </c>
      <c r="K40" s="971">
        <f t="shared" si="8"/>
        <v>0</v>
      </c>
      <c r="L40" s="971">
        <f t="shared" si="8"/>
        <v>0</v>
      </c>
      <c r="M40" s="971">
        <f t="shared" si="8"/>
        <v>0</v>
      </c>
      <c r="N40" s="972">
        <f t="shared" si="8"/>
        <v>0</v>
      </c>
      <c r="O40" s="973">
        <f t="shared" si="6"/>
        <v>0</v>
      </c>
    </row>
    <row r="41" spans="1:15" ht="18" thickBot="1" x14ac:dyDescent="0.35">
      <c r="A41" s="783" t="s">
        <v>196</v>
      </c>
      <c r="B41" s="443"/>
      <c r="C41" s="974">
        <f t="shared" ref="C41:N41" si="9">C40+C39</f>
        <v>0</v>
      </c>
      <c r="D41" s="975">
        <f t="shared" si="9"/>
        <v>0</v>
      </c>
      <c r="E41" s="975">
        <f t="shared" si="9"/>
        <v>0</v>
      </c>
      <c r="F41" s="975">
        <f t="shared" si="9"/>
        <v>0</v>
      </c>
      <c r="G41" s="975">
        <f t="shared" si="9"/>
        <v>0</v>
      </c>
      <c r="H41" s="975">
        <f t="shared" si="9"/>
        <v>0</v>
      </c>
      <c r="I41" s="975">
        <f t="shared" si="9"/>
        <v>0</v>
      </c>
      <c r="J41" s="975">
        <f t="shared" si="9"/>
        <v>0</v>
      </c>
      <c r="K41" s="975">
        <f t="shared" si="9"/>
        <v>0</v>
      </c>
      <c r="L41" s="975">
        <f t="shared" si="9"/>
        <v>0</v>
      </c>
      <c r="M41" s="975">
        <f t="shared" si="9"/>
        <v>0</v>
      </c>
      <c r="N41" s="976">
        <f t="shared" si="9"/>
        <v>0</v>
      </c>
      <c r="O41" s="973">
        <f t="shared" si="6"/>
        <v>0</v>
      </c>
    </row>
    <row r="42" spans="1:15" ht="18" thickBot="1" x14ac:dyDescent="0.35">
      <c r="A42" s="784" t="s">
        <v>199</v>
      </c>
      <c r="B42" s="785"/>
      <c r="C42" s="786"/>
      <c r="D42" s="787"/>
      <c r="E42" s="786">
        <f>IF(SUM(C41:E41)&lt;0.4,1,SUM(C39:E39)/SUM(C41:E41))</f>
        <v>1</v>
      </c>
      <c r="F42" s="786"/>
      <c r="G42" s="787"/>
      <c r="H42" s="786">
        <f>IF(SUM(F41:H41)&lt;0.4,1,SUM(F39:H39)/SUM(F41:H41))</f>
        <v>1</v>
      </c>
      <c r="I42" s="787"/>
      <c r="J42" s="787"/>
      <c r="K42" s="786">
        <f>IF(SUM(I41:K41)&lt;0.4,1,SUM(I39:K39)/SUM(I41:K41))</f>
        <v>1</v>
      </c>
      <c r="L42" s="787"/>
      <c r="M42" s="788"/>
      <c r="N42" s="789">
        <f>IF(SUM(L41:N41)&lt;0.4,1,SUM(L39:N39)/SUM(L41:N41))</f>
        <v>1</v>
      </c>
      <c r="O42" s="790"/>
    </row>
    <row r="43" spans="1:15" ht="18" thickTop="1" x14ac:dyDescent="0.3"/>
    <row r="46" spans="1:15" x14ac:dyDescent="0.3">
      <c r="A46" s="791"/>
      <c r="C46" s="582"/>
    </row>
  </sheetData>
  <sheetProtection sheet="1" objects="1" scenarios="1" formatCells="0" formatColumns="0"/>
  <phoneticPr fontId="13" type="noConversion"/>
  <conditionalFormatting sqref="C5:N6 C8:N8 C12:N13 C19:N21 C22 F22 I22 L22 C24 F24 I24 L24 C26 F26 I26 L26 C31:N41 E42 H42 K42 N42">
    <cfRule type="expression" dxfId="17" priority="1" stopIfTrue="1">
      <formula>C$10&lt;mes0</formula>
    </cfRule>
  </conditionalFormatting>
  <printOptions horizontalCentered="1"/>
  <pageMargins left="0.57999999999999996" right="0.75" top="0.43" bottom="0.72" header="0" footer="0.37"/>
  <pageSetup paperSize="9" scale="68" orientation="landscape" horizontalDpi="300" r:id="rId1"/>
  <headerFooter alignWithMargins="0"/>
  <legacy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Hoja27">
    <tabColor rgb="FF7CC9D0"/>
    <pageSetUpPr fitToPage="1"/>
  </sheetPr>
  <dimension ref="A1:P43"/>
  <sheetViews>
    <sheetView showGridLines="0" workbookViewId="0"/>
  </sheetViews>
  <sheetFormatPr baseColWidth="10" defaultRowHeight="17.25" x14ac:dyDescent="0.3"/>
  <cols>
    <col min="1" max="1" width="26.125" style="307" customWidth="1"/>
    <col min="2" max="2" width="9.125" style="307" customWidth="1"/>
    <col min="3" max="3" width="13.5" style="307" customWidth="1"/>
    <col min="4" max="5" width="11" style="307"/>
    <col min="6" max="6" width="12.625" style="307" customWidth="1"/>
    <col min="7" max="8" width="11" style="307"/>
    <col min="9" max="9" width="12" style="307" customWidth="1"/>
    <col min="10" max="11" width="11" style="307"/>
    <col min="12" max="12" width="12" style="307" customWidth="1"/>
    <col min="13" max="14" width="11" style="307"/>
    <col min="15" max="15" width="11.75" style="307" bestFit="1" customWidth="1"/>
    <col min="16" max="17" width="8.625" style="307" customWidth="1"/>
    <col min="18" max="18" width="9.875" style="307" customWidth="1"/>
    <col min="19" max="20" width="8.625" style="307" customWidth="1"/>
    <col min="21" max="16384" width="11" style="307"/>
  </cols>
  <sheetData>
    <row r="1" spans="1:16" s="446" customFormat="1" ht="27.75" x14ac:dyDescent="0.45">
      <c r="A1" s="408" t="s">
        <v>457</v>
      </c>
      <c r="B1" s="445"/>
      <c r="F1" s="792">
        <f>'Datos Básicos'!C16</f>
        <v>1</v>
      </c>
      <c r="G1" s="464">
        <f>'Datos Básicos'!$C$17</f>
        <v>2027</v>
      </c>
      <c r="O1" s="305"/>
    </row>
    <row r="2" spans="1:16" s="446" customFormat="1" ht="27.75" x14ac:dyDescent="0.45">
      <c r="A2" s="408">
        <f>'Prev.Ventas 0'!A2</f>
        <v>0</v>
      </c>
      <c r="B2" s="445"/>
      <c r="O2" s="305"/>
    </row>
    <row r="3" spans="1:16" ht="18" thickBot="1" x14ac:dyDescent="0.35">
      <c r="A3" s="728"/>
      <c r="B3" s="445"/>
      <c r="C3" s="445"/>
      <c r="D3" s="305"/>
      <c r="E3" s="305"/>
      <c r="F3" s="305"/>
      <c r="G3" s="305"/>
      <c r="H3" s="305"/>
      <c r="I3" s="305"/>
      <c r="J3" s="305"/>
      <c r="K3" s="305"/>
      <c r="L3" s="305"/>
      <c r="M3" s="305"/>
      <c r="N3" s="305"/>
      <c r="O3" s="305"/>
      <c r="P3" s="305"/>
    </row>
    <row r="4" spans="1:16" ht="18.75" thickTop="1" thickBot="1" x14ac:dyDescent="0.35">
      <c r="A4" s="729" t="s">
        <v>267</v>
      </c>
      <c r="B4" s="460"/>
      <c r="C4" s="461" t="str">
        <f>'Datos Gastos Fijos'!D7</f>
        <v>enero</v>
      </c>
      <c r="D4" s="461" t="str">
        <f>'Datos Gastos Fijos'!E7</f>
        <v>febrero</v>
      </c>
      <c r="E4" s="461" t="str">
        <f>'Datos Gastos Fijos'!F7</f>
        <v>marzo</v>
      </c>
      <c r="F4" s="461" t="str">
        <f>'Datos Gastos Fijos'!G7</f>
        <v>abril</v>
      </c>
      <c r="G4" s="461" t="str">
        <f>'Datos Gastos Fijos'!H7</f>
        <v>mayo</v>
      </c>
      <c r="H4" s="461" t="str">
        <f>'Datos Gastos Fijos'!I7</f>
        <v>junio</v>
      </c>
      <c r="I4" s="461" t="str">
        <f>'Datos Gastos Fijos'!J7</f>
        <v>julio</v>
      </c>
      <c r="J4" s="461" t="str">
        <f>'Datos Gastos Fijos'!K7</f>
        <v>agosto</v>
      </c>
      <c r="K4" s="461" t="str">
        <f>'Datos Gastos Fijos'!L7</f>
        <v>septiembre</v>
      </c>
      <c r="L4" s="461" t="str">
        <f>'Datos Gastos Fijos'!M7</f>
        <v>octubre</v>
      </c>
      <c r="M4" s="461" t="str">
        <f>'Datos Gastos Fijos'!N7</f>
        <v>noviembre</v>
      </c>
      <c r="N4" s="461" t="str">
        <f>'Datos Gastos Fijos'!O7</f>
        <v>diciembre</v>
      </c>
      <c r="O4" s="462" t="s">
        <v>865</v>
      </c>
    </row>
    <row r="5" spans="1:16" x14ac:dyDescent="0.3">
      <c r="A5" s="730" t="s">
        <v>265</v>
      </c>
      <c r="B5" s="731"/>
      <c r="C5" s="981">
        <f>SUMPRODUCT(Parametros!$F$24:$F$31,'Prev.Ventas 1'!B31:B38)</f>
        <v>0</v>
      </c>
      <c r="D5" s="979">
        <f>SUMPRODUCT(Parametros!$F$24:$F$31,'Prev.Ventas 1'!C31:C38)</f>
        <v>0</v>
      </c>
      <c r="E5" s="979">
        <f>SUMPRODUCT(Parametros!$F$24:$F$31,'Prev.Ventas 1'!D31:D38)</f>
        <v>0</v>
      </c>
      <c r="F5" s="979">
        <f>SUMPRODUCT(Parametros!$F$24:$F$31,'Prev.Ventas 1'!E31:E38)</f>
        <v>0</v>
      </c>
      <c r="G5" s="979">
        <f>SUMPRODUCT(Parametros!$F$24:$F$31,'Prev.Ventas 1'!F31:F38)</f>
        <v>0</v>
      </c>
      <c r="H5" s="979">
        <f>SUMPRODUCT(Parametros!$F$24:$F$31,'Prev.Ventas 1'!G31:G38)</f>
        <v>0</v>
      </c>
      <c r="I5" s="979">
        <f>SUMPRODUCT(Parametros!$F$24:$F$31,'Prev.Ventas 1'!H31:H38)</f>
        <v>0</v>
      </c>
      <c r="J5" s="979">
        <f>SUMPRODUCT(Parametros!$F$24:$F$31,'Prev.Ventas 1'!I31:I38)</f>
        <v>0</v>
      </c>
      <c r="K5" s="979">
        <f>SUMPRODUCT(Parametros!$F$24:$F$31,'Prev.Ventas 1'!J31:J38)</f>
        <v>0</v>
      </c>
      <c r="L5" s="979">
        <f>SUMPRODUCT(Parametros!$F$24:$F$31,'Prev.Ventas 1'!K31:K38)</f>
        <v>0</v>
      </c>
      <c r="M5" s="979">
        <f>SUMPRODUCT(Parametros!$F$24:$F$31,'Prev.Ventas 1'!L31:L38)</f>
        <v>0</v>
      </c>
      <c r="N5" s="982">
        <f>SUMPRODUCT(Parametros!$F$24:$F$31,'Prev.Ventas 1'!M31:M38)</f>
        <v>0</v>
      </c>
      <c r="O5" s="732">
        <f>SUM(C5:N5)</f>
        <v>0</v>
      </c>
    </row>
    <row r="6" spans="1:16" x14ac:dyDescent="0.3">
      <c r="A6" s="734" t="s">
        <v>991</v>
      </c>
      <c r="B6" s="733"/>
      <c r="C6" s="979">
        <f>'G.F. 1'!C50</f>
        <v>0</v>
      </c>
      <c r="D6" s="979">
        <f>'G.F. 1'!D50</f>
        <v>0</v>
      </c>
      <c r="E6" s="979">
        <f>'G.F. 1'!E50</f>
        <v>0</v>
      </c>
      <c r="F6" s="979">
        <f>'G.F. 1'!F50</f>
        <v>0</v>
      </c>
      <c r="G6" s="979">
        <f>'G.F. 1'!G50</f>
        <v>0</v>
      </c>
      <c r="H6" s="979">
        <f>'G.F. 1'!H50</f>
        <v>0</v>
      </c>
      <c r="I6" s="979">
        <f>'G.F. 1'!I50</f>
        <v>0</v>
      </c>
      <c r="J6" s="979">
        <f>'G.F. 1'!J50</f>
        <v>0</v>
      </c>
      <c r="K6" s="979">
        <f>'G.F. 1'!K50</f>
        <v>0</v>
      </c>
      <c r="L6" s="979">
        <f>'G.F. 1'!L50</f>
        <v>0</v>
      </c>
      <c r="M6" s="979">
        <f>'G.F. 1'!M50</f>
        <v>0</v>
      </c>
      <c r="N6" s="982">
        <f>'G.F. 1'!N50</f>
        <v>0</v>
      </c>
      <c r="O6" s="732">
        <f>SUM(C6:N6)</f>
        <v>0</v>
      </c>
    </row>
    <row r="7" spans="1:16" x14ac:dyDescent="0.3">
      <c r="A7" s="734" t="s">
        <v>990</v>
      </c>
      <c r="B7" s="735"/>
      <c r="C7" s="979"/>
      <c r="D7" s="979"/>
      <c r="E7" s="979"/>
      <c r="F7" s="979"/>
      <c r="G7" s="979"/>
      <c r="H7" s="979"/>
      <c r="I7" s="979"/>
      <c r="J7" s="979"/>
      <c r="K7" s="979"/>
      <c r="L7" s="979"/>
      <c r="M7" s="979"/>
      <c r="N7" s="982"/>
      <c r="O7" s="732">
        <f>SUM(C7:N7)</f>
        <v>0</v>
      </c>
    </row>
    <row r="8" spans="1:16" ht="18" thickBot="1" x14ac:dyDescent="0.35">
      <c r="A8" s="736" t="s">
        <v>838</v>
      </c>
      <c r="B8" s="737"/>
      <c r="C8" s="983">
        <f>Leasing!B30+Renting!B30</f>
        <v>0</v>
      </c>
      <c r="D8" s="984">
        <f>Leasing!C30+Renting!C30</f>
        <v>0</v>
      </c>
      <c r="E8" s="984">
        <f>Leasing!D30+Renting!D30</f>
        <v>0</v>
      </c>
      <c r="F8" s="984">
        <f>Leasing!E30+Renting!E30</f>
        <v>0</v>
      </c>
      <c r="G8" s="984">
        <f>Leasing!F30+Renting!F30</f>
        <v>0</v>
      </c>
      <c r="H8" s="984">
        <f>Leasing!G30+Renting!G30</f>
        <v>0</v>
      </c>
      <c r="I8" s="984">
        <f>Leasing!H30+Renting!H30</f>
        <v>0</v>
      </c>
      <c r="J8" s="984">
        <f>Leasing!I30+Renting!I30</f>
        <v>0</v>
      </c>
      <c r="K8" s="984">
        <f>Leasing!J30+Renting!J30</f>
        <v>0</v>
      </c>
      <c r="L8" s="984">
        <f>Leasing!K30+Renting!K30</f>
        <v>0</v>
      </c>
      <c r="M8" s="984">
        <f>Leasing!L30+Renting!L30</f>
        <v>0</v>
      </c>
      <c r="N8" s="985">
        <f>Leasing!M30+Renting!M30</f>
        <v>0</v>
      </c>
      <c r="O8" s="738">
        <f>SUM(C8:N8)</f>
        <v>0</v>
      </c>
    </row>
    <row r="9" spans="1:16" ht="18" thickBot="1" x14ac:dyDescent="0.35">
      <c r="A9" s="739"/>
      <c r="B9" s="793" t="s">
        <v>201</v>
      </c>
      <c r="C9" s="741">
        <f t="shared" ref="C9:O9" si="0">SUM(C5:C8)</f>
        <v>0</v>
      </c>
      <c r="D9" s="742">
        <f t="shared" si="0"/>
        <v>0</v>
      </c>
      <c r="E9" s="742">
        <f t="shared" si="0"/>
        <v>0</v>
      </c>
      <c r="F9" s="742">
        <f t="shared" si="0"/>
        <v>0</v>
      </c>
      <c r="G9" s="742">
        <f t="shared" si="0"/>
        <v>0</v>
      </c>
      <c r="H9" s="742">
        <f t="shared" si="0"/>
        <v>0</v>
      </c>
      <c r="I9" s="742">
        <f t="shared" si="0"/>
        <v>0</v>
      </c>
      <c r="J9" s="742">
        <f t="shared" si="0"/>
        <v>0</v>
      </c>
      <c r="K9" s="742">
        <f t="shared" si="0"/>
        <v>0</v>
      </c>
      <c r="L9" s="742">
        <f t="shared" si="0"/>
        <v>0</v>
      </c>
      <c r="M9" s="742">
        <f t="shared" si="0"/>
        <v>0</v>
      </c>
      <c r="N9" s="743">
        <f t="shared" si="0"/>
        <v>0</v>
      </c>
      <c r="O9" s="744">
        <f t="shared" si="0"/>
        <v>0</v>
      </c>
    </row>
    <row r="10" spans="1:16" ht="18.75" thickTop="1" thickBot="1" x14ac:dyDescent="0.35">
      <c r="A10" s="745"/>
      <c r="C10" s="668"/>
      <c r="D10" s="668"/>
      <c r="E10" s="668"/>
      <c r="F10" s="668"/>
      <c r="G10" s="668"/>
      <c r="H10" s="668"/>
      <c r="I10" s="668"/>
      <c r="J10" s="668"/>
      <c r="K10" s="668"/>
      <c r="L10" s="668"/>
      <c r="M10" s="668"/>
      <c r="N10" s="668"/>
      <c r="O10" s="668"/>
    </row>
    <row r="11" spans="1:16" ht="18.75" thickTop="1" thickBot="1" x14ac:dyDescent="0.35">
      <c r="A11" s="746" t="s">
        <v>268</v>
      </c>
      <c r="B11" s="747"/>
      <c r="C11" s="748"/>
      <c r="D11" s="748"/>
      <c r="E11" s="749">
        <f>E42</f>
        <v>1</v>
      </c>
      <c r="F11" s="748"/>
      <c r="G11" s="748"/>
      <c r="H11" s="749">
        <f>H42</f>
        <v>1</v>
      </c>
      <c r="I11" s="748"/>
      <c r="J11" s="748"/>
      <c r="K11" s="749">
        <f>K42</f>
        <v>1</v>
      </c>
      <c r="L11" s="748"/>
      <c r="M11" s="748"/>
      <c r="N11" s="749">
        <f>N42</f>
        <v>1</v>
      </c>
      <c r="O11" s="750"/>
    </row>
    <row r="12" spans="1:16" x14ac:dyDescent="0.3">
      <c r="A12" s="751" t="s">
        <v>200</v>
      </c>
      <c r="B12" s="752"/>
      <c r="C12" s="977">
        <f>$E$11*C9</f>
        <v>0</v>
      </c>
      <c r="D12" s="977">
        <f>$E$11*D9</f>
        <v>0</v>
      </c>
      <c r="E12" s="977">
        <f>$E$11*E9</f>
        <v>0</v>
      </c>
      <c r="F12" s="977">
        <f>$H$11*F9</f>
        <v>0</v>
      </c>
      <c r="G12" s="977">
        <f>$H$11*G9</f>
        <v>0</v>
      </c>
      <c r="H12" s="977">
        <f>$H$11*H9</f>
        <v>0</v>
      </c>
      <c r="I12" s="977">
        <f>$K$11*I9</f>
        <v>0</v>
      </c>
      <c r="J12" s="977">
        <f>$K$11*J9</f>
        <v>0</v>
      </c>
      <c r="K12" s="977">
        <f>$K$11*K9</f>
        <v>0</v>
      </c>
      <c r="L12" s="977">
        <f>$N$11*L9</f>
        <v>0</v>
      </c>
      <c r="M12" s="977">
        <f>$N$11*M9</f>
        <v>0</v>
      </c>
      <c r="N12" s="977">
        <f>$N$11*N9</f>
        <v>0</v>
      </c>
      <c r="O12" s="753">
        <f>SUM(C12:N12)</f>
        <v>0</v>
      </c>
    </row>
    <row r="13" spans="1:16" ht="16.5" customHeight="1" thickBot="1" x14ac:dyDescent="0.35">
      <c r="A13" s="754" t="s">
        <v>202</v>
      </c>
      <c r="B13" s="755"/>
      <c r="C13" s="978">
        <f t="shared" ref="C13:N13" si="1">C9-C12</f>
        <v>0</v>
      </c>
      <c r="D13" s="978">
        <f t="shared" si="1"/>
        <v>0</v>
      </c>
      <c r="E13" s="978">
        <f t="shared" si="1"/>
        <v>0</v>
      </c>
      <c r="F13" s="978">
        <f t="shared" si="1"/>
        <v>0</v>
      </c>
      <c r="G13" s="978">
        <f t="shared" si="1"/>
        <v>0</v>
      </c>
      <c r="H13" s="978">
        <f t="shared" si="1"/>
        <v>0</v>
      </c>
      <c r="I13" s="978">
        <f t="shared" si="1"/>
        <v>0</v>
      </c>
      <c r="J13" s="978">
        <f t="shared" si="1"/>
        <v>0</v>
      </c>
      <c r="K13" s="978">
        <f t="shared" si="1"/>
        <v>0</v>
      </c>
      <c r="L13" s="978">
        <f t="shared" si="1"/>
        <v>0</v>
      </c>
      <c r="M13" s="978">
        <f t="shared" si="1"/>
        <v>0</v>
      </c>
      <c r="N13" s="978">
        <f t="shared" si="1"/>
        <v>0</v>
      </c>
      <c r="O13" s="756">
        <f>SUM(C13:N13)</f>
        <v>0</v>
      </c>
    </row>
    <row r="14" spans="1:16" ht="18" thickTop="1" x14ac:dyDescent="0.3"/>
    <row r="15" spans="1:16" x14ac:dyDescent="0.3">
      <c r="A15" s="303"/>
      <c r="B15" s="303"/>
      <c r="D15" s="368" t="s">
        <v>8</v>
      </c>
      <c r="E15" s="442" t="str">
        <f>Parametros!$F$35</f>
        <v>No</v>
      </c>
    </row>
    <row r="17" spans="1:15" ht="28.5" thickBot="1" x14ac:dyDescent="0.5">
      <c r="A17" s="408" t="s">
        <v>458</v>
      </c>
      <c r="B17" s="445"/>
      <c r="C17" s="446"/>
      <c r="D17" s="446"/>
      <c r="F17" s="409"/>
    </row>
    <row r="18" spans="1:15" ht="18" thickTop="1" x14ac:dyDescent="0.3">
      <c r="A18" s="757"/>
      <c r="B18" s="758"/>
      <c r="C18" s="758" t="str">
        <f t="shared" ref="C18:N18" si="2">C$4</f>
        <v>enero</v>
      </c>
      <c r="D18" s="758" t="str">
        <f t="shared" si="2"/>
        <v>febrero</v>
      </c>
      <c r="E18" s="758" t="str">
        <f t="shared" si="2"/>
        <v>marzo</v>
      </c>
      <c r="F18" s="758" t="str">
        <f t="shared" si="2"/>
        <v>abril</v>
      </c>
      <c r="G18" s="758" t="str">
        <f t="shared" si="2"/>
        <v>mayo</v>
      </c>
      <c r="H18" s="758" t="str">
        <f t="shared" si="2"/>
        <v>junio</v>
      </c>
      <c r="I18" s="758" t="str">
        <f t="shared" si="2"/>
        <v>julio</v>
      </c>
      <c r="J18" s="758" t="str">
        <f t="shared" si="2"/>
        <v>agosto</v>
      </c>
      <c r="K18" s="758" t="str">
        <f t="shared" si="2"/>
        <v>septiembre</v>
      </c>
      <c r="L18" s="758" t="str">
        <f t="shared" si="2"/>
        <v>octubre</v>
      </c>
      <c r="M18" s="758" t="str">
        <f t="shared" si="2"/>
        <v>noviembre</v>
      </c>
      <c r="N18" s="758" t="str">
        <f t="shared" si="2"/>
        <v>diciembre</v>
      </c>
      <c r="O18" s="759" t="s">
        <v>865</v>
      </c>
    </row>
    <row r="19" spans="1:15" x14ac:dyDescent="0.3">
      <c r="A19" s="727" t="s">
        <v>989</v>
      </c>
      <c r="B19" s="610"/>
      <c r="C19" s="979">
        <f>SUMPRODUCT(Parametros!$E$24:$E$31,'Prev.Ventas 1'!B17:B24)</f>
        <v>0</v>
      </c>
      <c r="D19" s="979">
        <f>SUMPRODUCT(Parametros!$E$24:$E$31,'Prev.Ventas 1'!C17:C24)</f>
        <v>0</v>
      </c>
      <c r="E19" s="979">
        <f>SUMPRODUCT(Parametros!$E$24:$E$31,'Prev.Ventas 1'!D17:D24)</f>
        <v>0</v>
      </c>
      <c r="F19" s="979">
        <f>SUMPRODUCT(Parametros!$E$24:$E$31,'Prev.Ventas 1'!E17:E24)</f>
        <v>0</v>
      </c>
      <c r="G19" s="979">
        <f>SUMPRODUCT(Parametros!$E$24:$E$31,'Prev.Ventas 1'!F17:F24)</f>
        <v>0</v>
      </c>
      <c r="H19" s="979">
        <f>SUMPRODUCT(Parametros!$E$24:$E$31,'Prev.Ventas 1'!G17:G24)</f>
        <v>0</v>
      </c>
      <c r="I19" s="979">
        <f>SUMPRODUCT(Parametros!$E$24:$E$31,'Prev.Ventas 1'!H17:H24)</f>
        <v>0</v>
      </c>
      <c r="J19" s="979">
        <f>SUMPRODUCT(Parametros!$E$24:$E$31,'Prev.Ventas 1'!I17:I24)</f>
        <v>0</v>
      </c>
      <c r="K19" s="979">
        <f>SUMPRODUCT(Parametros!$E$24:$E$31,'Prev.Ventas 1'!J17:J24)</f>
        <v>0</v>
      </c>
      <c r="L19" s="979">
        <f>SUMPRODUCT(Parametros!$E$24:$E$31,'Prev.Ventas 1'!K17:K24)</f>
        <v>0</v>
      </c>
      <c r="M19" s="979">
        <f>SUMPRODUCT(Parametros!$E$24:$E$31,'Prev.Ventas 1'!L17:L24)</f>
        <v>0</v>
      </c>
      <c r="N19" s="979">
        <f>SUMPRODUCT(Parametros!$E$24:$E$31,'Prev.Ventas 1'!M17:M24)</f>
        <v>0</v>
      </c>
      <c r="O19" s="760">
        <f>SUM(C19:N19)</f>
        <v>0</v>
      </c>
    </row>
    <row r="20" spans="1:15" x14ac:dyDescent="0.3">
      <c r="A20" s="727" t="s">
        <v>200</v>
      </c>
      <c r="B20" s="610"/>
      <c r="C20" s="979">
        <f t="shared" ref="C20:N20" si="3">C12</f>
        <v>0</v>
      </c>
      <c r="D20" s="979">
        <f t="shared" si="3"/>
        <v>0</v>
      </c>
      <c r="E20" s="979">
        <f t="shared" si="3"/>
        <v>0</v>
      </c>
      <c r="F20" s="979">
        <f t="shared" si="3"/>
        <v>0</v>
      </c>
      <c r="G20" s="979">
        <f t="shared" si="3"/>
        <v>0</v>
      </c>
      <c r="H20" s="979">
        <f t="shared" si="3"/>
        <v>0</v>
      </c>
      <c r="I20" s="979">
        <f t="shared" si="3"/>
        <v>0</v>
      </c>
      <c r="J20" s="979">
        <f t="shared" si="3"/>
        <v>0</v>
      </c>
      <c r="K20" s="979">
        <f t="shared" si="3"/>
        <v>0</v>
      </c>
      <c r="L20" s="979">
        <f t="shared" si="3"/>
        <v>0</v>
      </c>
      <c r="M20" s="979">
        <f t="shared" si="3"/>
        <v>0</v>
      </c>
      <c r="N20" s="979">
        <f t="shared" si="3"/>
        <v>0</v>
      </c>
      <c r="O20" s="760">
        <f>SUM(C20:N20)</f>
        <v>0</v>
      </c>
    </row>
    <row r="21" spans="1:15" ht="18" thickBot="1" x14ac:dyDescent="0.35">
      <c r="A21" s="727" t="s">
        <v>992</v>
      </c>
      <c r="B21" s="761"/>
      <c r="C21" s="980">
        <f t="shared" ref="C21:N21" si="4">C19-C20</f>
        <v>0</v>
      </c>
      <c r="D21" s="980">
        <f t="shared" si="4"/>
        <v>0</v>
      </c>
      <c r="E21" s="980">
        <f t="shared" si="4"/>
        <v>0</v>
      </c>
      <c r="F21" s="980">
        <f t="shared" si="4"/>
        <v>0</v>
      </c>
      <c r="G21" s="980">
        <f t="shared" si="4"/>
        <v>0</v>
      </c>
      <c r="H21" s="980">
        <f t="shared" si="4"/>
        <v>0</v>
      </c>
      <c r="I21" s="980">
        <f t="shared" si="4"/>
        <v>0</v>
      </c>
      <c r="J21" s="980">
        <f t="shared" si="4"/>
        <v>0</v>
      </c>
      <c r="K21" s="980">
        <f t="shared" si="4"/>
        <v>0</v>
      </c>
      <c r="L21" s="980">
        <f t="shared" si="4"/>
        <v>0</v>
      </c>
      <c r="M21" s="980">
        <f t="shared" si="4"/>
        <v>0</v>
      </c>
      <c r="N21" s="980">
        <f t="shared" si="4"/>
        <v>0</v>
      </c>
      <c r="O21" s="760">
        <f>SUM(C21:N21)</f>
        <v>0</v>
      </c>
    </row>
    <row r="22" spans="1:15" ht="19.5" customHeight="1" thickTop="1" x14ac:dyDescent="0.3">
      <c r="A22" s="762" t="s">
        <v>997</v>
      </c>
      <c r="B22" s="763"/>
      <c r="C22" s="764">
        <f>'IVA 0'!O22</f>
        <v>0</v>
      </c>
      <c r="D22" s="765"/>
      <c r="E22" s="765"/>
      <c r="F22" s="765">
        <f>IF(C22&gt;0,SUM(C21:E21),C22+SUM(C21:E21))</f>
        <v>0</v>
      </c>
      <c r="G22" s="765"/>
      <c r="H22" s="765"/>
      <c r="I22" s="765">
        <f>IF(F22&gt;0,SUM(F21:H21),F22+SUM(F21:H21))</f>
        <v>0</v>
      </c>
      <c r="J22" s="765"/>
      <c r="K22" s="765"/>
      <c r="L22" s="765">
        <f>IF(I22&gt;0,SUM(I21:K21),I22+SUM(I21:K21))</f>
        <v>0</v>
      </c>
      <c r="M22" s="765"/>
      <c r="N22" s="765"/>
      <c r="O22" s="766">
        <f>IF(L22&gt;0,SUM(L21:N21),L22+SUM(L21:N21))</f>
        <v>0</v>
      </c>
    </row>
    <row r="23" spans="1:15" ht="10.5" customHeight="1" x14ac:dyDescent="0.3">
      <c r="A23" s="767"/>
      <c r="B23" s="610"/>
      <c r="C23" s="610"/>
      <c r="D23" s="610"/>
      <c r="E23" s="610"/>
      <c r="F23" s="610"/>
      <c r="G23" s="610"/>
      <c r="H23" s="610"/>
      <c r="I23" s="610"/>
      <c r="J23" s="610"/>
      <c r="K23" s="610"/>
      <c r="L23" s="610"/>
      <c r="M23" s="610"/>
      <c r="N23" s="610"/>
      <c r="O23" s="768"/>
    </row>
    <row r="24" spans="1:15" ht="19.5" customHeight="1" thickBot="1" x14ac:dyDescent="0.35">
      <c r="A24" s="769" t="s">
        <v>993</v>
      </c>
      <c r="B24" s="755"/>
      <c r="C24" s="770">
        <f>IF(AND(E15="No",C22&gt;0),C22,0)</f>
        <v>0</v>
      </c>
      <c r="D24" s="771"/>
      <c r="E24" s="771"/>
      <c r="F24" s="771">
        <f>IF(AND(E15="No",F22&gt;0),F22,0)</f>
        <v>0</v>
      </c>
      <c r="G24" s="771"/>
      <c r="H24" s="771"/>
      <c r="I24" s="771">
        <f>IF(AND(E15="No",I22&gt;0),I22,0)</f>
        <v>0</v>
      </c>
      <c r="J24" s="771"/>
      <c r="K24" s="771"/>
      <c r="L24" s="771">
        <f>IF(AND($E$15="No",L22&gt;0),L22,0)</f>
        <v>0</v>
      </c>
      <c r="M24" s="771"/>
      <c r="N24" s="771"/>
      <c r="O24" s="772">
        <f>IF(AND($E$15="No",O22&gt;0),O22,0)</f>
        <v>0</v>
      </c>
    </row>
    <row r="25" spans="1:15" ht="9" customHeight="1" thickTop="1" thickBot="1" x14ac:dyDescent="0.35"/>
    <row r="26" spans="1:15" ht="18.75" thickTop="1" thickBot="1" x14ac:dyDescent="0.35">
      <c r="A26" s="773" t="s">
        <v>7</v>
      </c>
      <c r="B26" s="774"/>
      <c r="C26" s="775">
        <f>'IVA 0'!O26</f>
        <v>0</v>
      </c>
      <c r="D26" s="776"/>
      <c r="E26" s="776"/>
      <c r="F26" s="776">
        <f>IF($E$15="Si",SUM(C21:E21),0)</f>
        <v>0</v>
      </c>
      <c r="G26" s="776"/>
      <c r="H26" s="776"/>
      <c r="I26" s="776">
        <f>IF($E$15="Si",SUM(F21:H21),0)</f>
        <v>0</v>
      </c>
      <c r="J26" s="776"/>
      <c r="K26" s="776"/>
      <c r="L26" s="776">
        <f>IF($E$15="Si",SUM(I21:K21),0)</f>
        <v>0</v>
      </c>
      <c r="M26" s="776"/>
      <c r="N26" s="776"/>
      <c r="O26" s="777">
        <f>IF($E$15="Si",SUM(L21:N21),0)</f>
        <v>0</v>
      </c>
    </row>
    <row r="27" spans="1:15" ht="18" thickTop="1" x14ac:dyDescent="0.3"/>
    <row r="29" spans="1:15" ht="28.5" thickBot="1" x14ac:dyDescent="0.5">
      <c r="A29" s="408" t="s">
        <v>459</v>
      </c>
      <c r="D29" s="409"/>
      <c r="E29" s="409"/>
    </row>
    <row r="30" spans="1:15" ht="18.75" thickTop="1" thickBot="1" x14ac:dyDescent="0.35">
      <c r="A30" s="677" t="s">
        <v>995</v>
      </c>
      <c r="B30" s="447" t="s">
        <v>949</v>
      </c>
      <c r="C30" s="460" t="str">
        <f t="shared" ref="C30:N30" si="5">C$4</f>
        <v>enero</v>
      </c>
      <c r="D30" s="461" t="str">
        <f t="shared" si="5"/>
        <v>febrero</v>
      </c>
      <c r="E30" s="461" t="str">
        <f t="shared" si="5"/>
        <v>marzo</v>
      </c>
      <c r="F30" s="461" t="str">
        <f t="shared" si="5"/>
        <v>abril</v>
      </c>
      <c r="G30" s="461" t="str">
        <f t="shared" si="5"/>
        <v>mayo</v>
      </c>
      <c r="H30" s="461" t="str">
        <f t="shared" si="5"/>
        <v>junio</v>
      </c>
      <c r="I30" s="461" t="str">
        <f t="shared" si="5"/>
        <v>julio</v>
      </c>
      <c r="J30" s="461" t="str">
        <f t="shared" si="5"/>
        <v>agosto</v>
      </c>
      <c r="K30" s="461" t="str">
        <f t="shared" si="5"/>
        <v>septiembre</v>
      </c>
      <c r="L30" s="461" t="str">
        <f t="shared" si="5"/>
        <v>octubre</v>
      </c>
      <c r="M30" s="461" t="str">
        <f t="shared" si="5"/>
        <v>noviembre</v>
      </c>
      <c r="N30" s="461" t="str">
        <f t="shared" si="5"/>
        <v>diciembre</v>
      </c>
      <c r="O30" s="462" t="s">
        <v>865</v>
      </c>
    </row>
    <row r="31" spans="1:15" x14ac:dyDescent="0.3">
      <c r="A31" s="696" t="str">
        <f>'Estimacion Ventas'!A12</f>
        <v/>
      </c>
      <c r="B31" s="778">
        <f>Parametros!E24</f>
        <v>0.21</v>
      </c>
      <c r="C31" s="959">
        <f>'Prev.Ventas 1'!B17</f>
        <v>0</v>
      </c>
      <c r="D31" s="959">
        <f>'Prev.Ventas 1'!C17</f>
        <v>0</v>
      </c>
      <c r="E31" s="959">
        <f>'Prev.Ventas 1'!D17</f>
        <v>0</v>
      </c>
      <c r="F31" s="959">
        <f>'Prev.Ventas 1'!E17</f>
        <v>0</v>
      </c>
      <c r="G31" s="959">
        <f>'Prev.Ventas 1'!F17</f>
        <v>0</v>
      </c>
      <c r="H31" s="959">
        <f>'Prev.Ventas 1'!G17</f>
        <v>0</v>
      </c>
      <c r="I31" s="959">
        <f>'Prev.Ventas 1'!H17</f>
        <v>0</v>
      </c>
      <c r="J31" s="959">
        <f>'Prev.Ventas 1'!I17</f>
        <v>0</v>
      </c>
      <c r="K31" s="959">
        <f>'Prev.Ventas 1'!J17</f>
        <v>0</v>
      </c>
      <c r="L31" s="959">
        <f>'Prev.Ventas 1'!K17</f>
        <v>0</v>
      </c>
      <c r="M31" s="959">
        <f>'Prev.Ventas 1'!L17</f>
        <v>0</v>
      </c>
      <c r="N31" s="959">
        <f>'Prev.Ventas 1'!M17</f>
        <v>0</v>
      </c>
      <c r="O31" s="960">
        <f t="shared" ref="O31:O41" si="6">SUM(C31:N31)</f>
        <v>0</v>
      </c>
    </row>
    <row r="32" spans="1:15" x14ac:dyDescent="0.3">
      <c r="A32" s="779" t="str">
        <f>'Estimacion Ventas'!A13</f>
        <v/>
      </c>
      <c r="B32" s="780">
        <f>Parametros!E25</f>
        <v>0.21</v>
      </c>
      <c r="C32" s="961">
        <f>'Prev.Ventas 1'!B18</f>
        <v>0</v>
      </c>
      <c r="D32" s="961">
        <f>'Prev.Ventas 1'!C18</f>
        <v>0</v>
      </c>
      <c r="E32" s="961">
        <f>'Prev.Ventas 1'!D18</f>
        <v>0</v>
      </c>
      <c r="F32" s="961">
        <f>'Prev.Ventas 1'!E18</f>
        <v>0</v>
      </c>
      <c r="G32" s="961">
        <f>'Prev.Ventas 1'!F18</f>
        <v>0</v>
      </c>
      <c r="H32" s="961">
        <f>'Prev.Ventas 1'!G18</f>
        <v>0</v>
      </c>
      <c r="I32" s="961">
        <f>'Prev.Ventas 1'!H18</f>
        <v>0</v>
      </c>
      <c r="J32" s="961">
        <f>'Prev.Ventas 1'!I18</f>
        <v>0</v>
      </c>
      <c r="K32" s="961">
        <f>'Prev.Ventas 1'!J18</f>
        <v>0</v>
      </c>
      <c r="L32" s="961">
        <f>'Prev.Ventas 1'!K18</f>
        <v>0</v>
      </c>
      <c r="M32" s="961">
        <f>'Prev.Ventas 1'!L18</f>
        <v>0</v>
      </c>
      <c r="N32" s="961">
        <f>'Prev.Ventas 1'!M18</f>
        <v>0</v>
      </c>
      <c r="O32" s="962">
        <f t="shared" si="6"/>
        <v>0</v>
      </c>
    </row>
    <row r="33" spans="1:15" x14ac:dyDescent="0.3">
      <c r="A33" s="779" t="str">
        <f>'Estimacion Ventas'!A14</f>
        <v/>
      </c>
      <c r="B33" s="780">
        <f>Parametros!E26</f>
        <v>0.21</v>
      </c>
      <c r="C33" s="961">
        <f>'Prev.Ventas 1'!B19</f>
        <v>0</v>
      </c>
      <c r="D33" s="961">
        <f>'Prev.Ventas 1'!C19</f>
        <v>0</v>
      </c>
      <c r="E33" s="961">
        <f>'Prev.Ventas 1'!D19</f>
        <v>0</v>
      </c>
      <c r="F33" s="961">
        <f>'Prev.Ventas 1'!E19</f>
        <v>0</v>
      </c>
      <c r="G33" s="961">
        <f>'Prev.Ventas 1'!F19</f>
        <v>0</v>
      </c>
      <c r="H33" s="961">
        <f>'Prev.Ventas 1'!G19</f>
        <v>0</v>
      </c>
      <c r="I33" s="961">
        <f>'Prev.Ventas 1'!H19</f>
        <v>0</v>
      </c>
      <c r="J33" s="961">
        <f>'Prev.Ventas 1'!I19</f>
        <v>0</v>
      </c>
      <c r="K33" s="961">
        <f>'Prev.Ventas 1'!J19</f>
        <v>0</v>
      </c>
      <c r="L33" s="961">
        <f>'Prev.Ventas 1'!K19</f>
        <v>0</v>
      </c>
      <c r="M33" s="961">
        <f>'Prev.Ventas 1'!L19</f>
        <v>0</v>
      </c>
      <c r="N33" s="961">
        <f>'Prev.Ventas 1'!M19</f>
        <v>0</v>
      </c>
      <c r="O33" s="962">
        <f t="shared" si="6"/>
        <v>0</v>
      </c>
    </row>
    <row r="34" spans="1:15" x14ac:dyDescent="0.3">
      <c r="A34" s="779" t="str">
        <f>'Estimacion Ventas'!A15</f>
        <v/>
      </c>
      <c r="B34" s="780">
        <f>Parametros!E27</f>
        <v>0.21</v>
      </c>
      <c r="C34" s="961">
        <f>'Prev.Ventas 1'!B20</f>
        <v>0</v>
      </c>
      <c r="D34" s="961">
        <f>'Prev.Ventas 1'!C20</f>
        <v>0</v>
      </c>
      <c r="E34" s="961">
        <f>'Prev.Ventas 1'!D20</f>
        <v>0</v>
      </c>
      <c r="F34" s="961">
        <f>'Prev.Ventas 1'!E20</f>
        <v>0</v>
      </c>
      <c r="G34" s="961">
        <f>'Prev.Ventas 1'!F20</f>
        <v>0</v>
      </c>
      <c r="H34" s="961">
        <f>'Prev.Ventas 1'!G20</f>
        <v>0</v>
      </c>
      <c r="I34" s="961">
        <f>'Prev.Ventas 1'!H20</f>
        <v>0</v>
      </c>
      <c r="J34" s="961">
        <f>'Prev.Ventas 1'!I20</f>
        <v>0</v>
      </c>
      <c r="K34" s="961">
        <f>'Prev.Ventas 1'!J20</f>
        <v>0</v>
      </c>
      <c r="L34" s="961">
        <f>'Prev.Ventas 1'!K20</f>
        <v>0</v>
      </c>
      <c r="M34" s="961">
        <f>'Prev.Ventas 1'!L20</f>
        <v>0</v>
      </c>
      <c r="N34" s="961">
        <f>'Prev.Ventas 1'!M20</f>
        <v>0</v>
      </c>
      <c r="O34" s="962">
        <f t="shared" si="6"/>
        <v>0</v>
      </c>
    </row>
    <row r="35" spans="1:15" x14ac:dyDescent="0.3">
      <c r="A35" s="779" t="str">
        <f>'Estimacion Ventas'!A16</f>
        <v/>
      </c>
      <c r="B35" s="780">
        <f>Parametros!E28</f>
        <v>0.21</v>
      </c>
      <c r="C35" s="961">
        <f>'Prev.Ventas 1'!B21</f>
        <v>0</v>
      </c>
      <c r="D35" s="961">
        <f>'Prev.Ventas 1'!C21</f>
        <v>0</v>
      </c>
      <c r="E35" s="961">
        <f>'Prev.Ventas 1'!D21</f>
        <v>0</v>
      </c>
      <c r="F35" s="961">
        <f>'Prev.Ventas 1'!E21</f>
        <v>0</v>
      </c>
      <c r="G35" s="961">
        <f>'Prev.Ventas 1'!F21</f>
        <v>0</v>
      </c>
      <c r="H35" s="961">
        <f>'Prev.Ventas 1'!G21</f>
        <v>0</v>
      </c>
      <c r="I35" s="961">
        <f>'Prev.Ventas 1'!H21</f>
        <v>0</v>
      </c>
      <c r="J35" s="961">
        <f>'Prev.Ventas 1'!I21</f>
        <v>0</v>
      </c>
      <c r="K35" s="961">
        <f>'Prev.Ventas 1'!J21</f>
        <v>0</v>
      </c>
      <c r="L35" s="961">
        <f>'Prev.Ventas 1'!K21</f>
        <v>0</v>
      </c>
      <c r="M35" s="961">
        <f>'Prev.Ventas 1'!L21</f>
        <v>0</v>
      </c>
      <c r="N35" s="961">
        <f>'Prev.Ventas 1'!M21</f>
        <v>0</v>
      </c>
      <c r="O35" s="962">
        <f t="shared" si="6"/>
        <v>0</v>
      </c>
    </row>
    <row r="36" spans="1:15" x14ac:dyDescent="0.3">
      <c r="A36" s="779" t="str">
        <f>'Estimacion Ventas'!A17</f>
        <v/>
      </c>
      <c r="B36" s="780">
        <f>Parametros!E29</f>
        <v>0</v>
      </c>
      <c r="C36" s="961">
        <f>'Prev.Ventas 1'!B22</f>
        <v>0</v>
      </c>
      <c r="D36" s="961">
        <f>'Prev.Ventas 1'!C22</f>
        <v>0</v>
      </c>
      <c r="E36" s="961">
        <f>'Prev.Ventas 1'!D22</f>
        <v>0</v>
      </c>
      <c r="F36" s="961">
        <f>'Prev.Ventas 1'!E22</f>
        <v>0</v>
      </c>
      <c r="G36" s="961">
        <f>'Prev.Ventas 1'!F22</f>
        <v>0</v>
      </c>
      <c r="H36" s="961">
        <f>'Prev.Ventas 1'!G22</f>
        <v>0</v>
      </c>
      <c r="I36" s="961">
        <f>'Prev.Ventas 1'!H22</f>
        <v>0</v>
      </c>
      <c r="J36" s="961">
        <f>'Prev.Ventas 1'!I22</f>
        <v>0</v>
      </c>
      <c r="K36" s="961">
        <f>'Prev.Ventas 1'!J22</f>
        <v>0</v>
      </c>
      <c r="L36" s="961">
        <f>'Prev.Ventas 1'!K22</f>
        <v>0</v>
      </c>
      <c r="M36" s="961">
        <f>'Prev.Ventas 1'!L22</f>
        <v>0</v>
      </c>
      <c r="N36" s="961">
        <f>'Prev.Ventas 1'!M22</f>
        <v>0</v>
      </c>
      <c r="O36" s="962">
        <f t="shared" si="6"/>
        <v>0</v>
      </c>
    </row>
    <row r="37" spans="1:15" x14ac:dyDescent="0.3">
      <c r="A37" s="779" t="str">
        <f>'Estimacion Ventas'!A18</f>
        <v/>
      </c>
      <c r="B37" s="780">
        <f>Parametros!E30</f>
        <v>0</v>
      </c>
      <c r="C37" s="961">
        <f>'Prev.Ventas 1'!B23</f>
        <v>0</v>
      </c>
      <c r="D37" s="961">
        <f>'Prev.Ventas 1'!C23</f>
        <v>0</v>
      </c>
      <c r="E37" s="961">
        <f>'Prev.Ventas 1'!D23</f>
        <v>0</v>
      </c>
      <c r="F37" s="961">
        <f>'Prev.Ventas 1'!E23</f>
        <v>0</v>
      </c>
      <c r="G37" s="961">
        <f>'Prev.Ventas 1'!F23</f>
        <v>0</v>
      </c>
      <c r="H37" s="961">
        <f>'Prev.Ventas 1'!G23</f>
        <v>0</v>
      </c>
      <c r="I37" s="961">
        <f>'Prev.Ventas 1'!H23</f>
        <v>0</v>
      </c>
      <c r="J37" s="961">
        <f>'Prev.Ventas 1'!I23</f>
        <v>0</v>
      </c>
      <c r="K37" s="961">
        <f>'Prev.Ventas 1'!J23</f>
        <v>0</v>
      </c>
      <c r="L37" s="961">
        <f>'Prev.Ventas 1'!K23</f>
        <v>0</v>
      </c>
      <c r="M37" s="961">
        <f>'Prev.Ventas 1'!L23</f>
        <v>0</v>
      </c>
      <c r="N37" s="961">
        <f>'Prev.Ventas 1'!M23</f>
        <v>0</v>
      </c>
      <c r="O37" s="962">
        <f t="shared" si="6"/>
        <v>0</v>
      </c>
    </row>
    <row r="38" spans="1:15" ht="18" thickBot="1" x14ac:dyDescent="0.35">
      <c r="A38" s="781" t="str">
        <f>'Estimacion Ventas'!A19</f>
        <v/>
      </c>
      <c r="B38" s="782">
        <f>Parametros!E31</f>
        <v>0</v>
      </c>
      <c r="C38" s="963">
        <f>'Prev.Ventas 1'!B24</f>
        <v>0</v>
      </c>
      <c r="D38" s="963">
        <f>'Prev.Ventas 1'!C24</f>
        <v>0</v>
      </c>
      <c r="E38" s="963">
        <f>'Prev.Ventas 1'!D24</f>
        <v>0</v>
      </c>
      <c r="F38" s="963">
        <f>'Prev.Ventas 1'!E24</f>
        <v>0</v>
      </c>
      <c r="G38" s="963">
        <f>'Prev.Ventas 1'!F24</f>
        <v>0</v>
      </c>
      <c r="H38" s="963">
        <f>'Prev.Ventas 1'!G24</f>
        <v>0</v>
      </c>
      <c r="I38" s="963">
        <f>'Prev.Ventas 1'!H24</f>
        <v>0</v>
      </c>
      <c r="J38" s="963">
        <f>'Prev.Ventas 1'!I24</f>
        <v>0</v>
      </c>
      <c r="K38" s="963">
        <f>'Prev.Ventas 1'!J24</f>
        <v>0</v>
      </c>
      <c r="L38" s="963">
        <f>'Prev.Ventas 1'!K24</f>
        <v>0</v>
      </c>
      <c r="M38" s="963">
        <f>'Prev.Ventas 1'!L24</f>
        <v>0</v>
      </c>
      <c r="N38" s="963">
        <f>'Prev.Ventas 1'!M24</f>
        <v>0</v>
      </c>
      <c r="O38" s="964">
        <f t="shared" si="6"/>
        <v>0</v>
      </c>
    </row>
    <row r="39" spans="1:15" ht="18" thickBot="1" x14ac:dyDescent="0.35">
      <c r="A39" s="783" t="s">
        <v>197</v>
      </c>
      <c r="B39" s="443"/>
      <c r="C39" s="965">
        <f>SUMIF($B$31:$B$38,"&lt;&gt;0",C31:C38)</f>
        <v>0</v>
      </c>
      <c r="D39" s="966">
        <f t="shared" ref="D39:N39" si="7">SUMIF($B$31:$B$38,"&lt;&gt;0",D31:D38)</f>
        <v>0</v>
      </c>
      <c r="E39" s="967">
        <f t="shared" si="7"/>
        <v>0</v>
      </c>
      <c r="F39" s="967">
        <f t="shared" si="7"/>
        <v>0</v>
      </c>
      <c r="G39" s="967">
        <f t="shared" si="7"/>
        <v>0</v>
      </c>
      <c r="H39" s="967">
        <f t="shared" si="7"/>
        <v>0</v>
      </c>
      <c r="I39" s="967">
        <f t="shared" si="7"/>
        <v>0</v>
      </c>
      <c r="J39" s="967">
        <f t="shared" si="7"/>
        <v>0</v>
      </c>
      <c r="K39" s="967">
        <f t="shared" si="7"/>
        <v>0</v>
      </c>
      <c r="L39" s="967">
        <f t="shared" si="7"/>
        <v>0</v>
      </c>
      <c r="M39" s="967">
        <f t="shared" si="7"/>
        <v>0</v>
      </c>
      <c r="N39" s="968">
        <f t="shared" si="7"/>
        <v>0</v>
      </c>
      <c r="O39" s="969">
        <f>SUM(C39:N39)</f>
        <v>0</v>
      </c>
    </row>
    <row r="40" spans="1:15" ht="18" thickBot="1" x14ac:dyDescent="0.35">
      <c r="A40" s="783" t="s">
        <v>198</v>
      </c>
      <c r="B40" s="443"/>
      <c r="C40" s="970">
        <f>SUMIF($B$31:$B$38,"=0",C31:C38)</f>
        <v>0</v>
      </c>
      <c r="D40" s="971">
        <f t="shared" ref="D40:N40" si="8">SUMIF($B$31:$B$38,"=0",D31:D38)</f>
        <v>0</v>
      </c>
      <c r="E40" s="971">
        <f t="shared" si="8"/>
        <v>0</v>
      </c>
      <c r="F40" s="971">
        <f t="shared" si="8"/>
        <v>0</v>
      </c>
      <c r="G40" s="971">
        <f t="shared" si="8"/>
        <v>0</v>
      </c>
      <c r="H40" s="971">
        <f t="shared" si="8"/>
        <v>0</v>
      </c>
      <c r="I40" s="971">
        <f t="shared" si="8"/>
        <v>0</v>
      </c>
      <c r="J40" s="971">
        <f t="shared" si="8"/>
        <v>0</v>
      </c>
      <c r="K40" s="971">
        <f t="shared" si="8"/>
        <v>0</v>
      </c>
      <c r="L40" s="971">
        <f t="shared" si="8"/>
        <v>0</v>
      </c>
      <c r="M40" s="971">
        <f t="shared" si="8"/>
        <v>0</v>
      </c>
      <c r="N40" s="972">
        <f t="shared" si="8"/>
        <v>0</v>
      </c>
      <c r="O40" s="973">
        <f t="shared" si="6"/>
        <v>0</v>
      </c>
    </row>
    <row r="41" spans="1:15" ht="18" thickBot="1" x14ac:dyDescent="0.35">
      <c r="A41" s="783" t="s">
        <v>196</v>
      </c>
      <c r="B41" s="443"/>
      <c r="C41" s="974">
        <f>C40+C39</f>
        <v>0</v>
      </c>
      <c r="D41" s="975">
        <f t="shared" ref="D41:N41" si="9">D40+D39</f>
        <v>0</v>
      </c>
      <c r="E41" s="975">
        <f t="shared" si="9"/>
        <v>0</v>
      </c>
      <c r="F41" s="975">
        <f t="shared" si="9"/>
        <v>0</v>
      </c>
      <c r="G41" s="975">
        <f t="shared" si="9"/>
        <v>0</v>
      </c>
      <c r="H41" s="975">
        <f t="shared" si="9"/>
        <v>0</v>
      </c>
      <c r="I41" s="975">
        <f t="shared" si="9"/>
        <v>0</v>
      </c>
      <c r="J41" s="975">
        <f t="shared" si="9"/>
        <v>0</v>
      </c>
      <c r="K41" s="975">
        <f t="shared" si="9"/>
        <v>0</v>
      </c>
      <c r="L41" s="975">
        <f t="shared" si="9"/>
        <v>0</v>
      </c>
      <c r="M41" s="975">
        <f t="shared" si="9"/>
        <v>0</v>
      </c>
      <c r="N41" s="976">
        <f t="shared" si="9"/>
        <v>0</v>
      </c>
      <c r="O41" s="973">
        <f t="shared" si="6"/>
        <v>0</v>
      </c>
    </row>
    <row r="42" spans="1:15" ht="18" thickBot="1" x14ac:dyDescent="0.35">
      <c r="A42" s="784" t="s">
        <v>199</v>
      </c>
      <c r="B42" s="785"/>
      <c r="C42" s="786"/>
      <c r="D42" s="787"/>
      <c r="E42" s="786">
        <f>IF(SUM(C41:E41)&lt;0.4,1,SUM(C39:E39)/SUM(C41:E41))</f>
        <v>1</v>
      </c>
      <c r="F42" s="786"/>
      <c r="G42" s="787"/>
      <c r="H42" s="786">
        <f>IF(SUM(F41:H41)&lt;0.4,1,SUM(F39:H39)/SUM(F41:H41))</f>
        <v>1</v>
      </c>
      <c r="I42" s="787"/>
      <c r="J42" s="787"/>
      <c r="K42" s="786">
        <f>IF(SUM(I41:K41)&lt;0.4,1,SUM(I39:K39)/SUM(I41:K41))</f>
        <v>1</v>
      </c>
      <c r="L42" s="787"/>
      <c r="M42" s="788"/>
      <c r="N42" s="789">
        <f>IF(SUM(L41:N41)&lt;0.4,1,SUM(L39:N39)/SUM(L41:N41))</f>
        <v>1</v>
      </c>
      <c r="O42" s="790"/>
    </row>
    <row r="43" spans="1:15" ht="18" thickTop="1" x14ac:dyDescent="0.3"/>
  </sheetData>
  <sheetProtection sheet="1" objects="1" scenarios="1" formatCells="0" formatColumns="0"/>
  <phoneticPr fontId="13" type="noConversion"/>
  <conditionalFormatting sqref="C31:N38">
    <cfRule type="expression" dxfId="16" priority="1" stopIfTrue="1">
      <formula>C31=""</formula>
    </cfRule>
  </conditionalFormatting>
  <printOptions horizontalCentered="1"/>
  <pageMargins left="0.57999999999999996" right="0.75" top="0.46" bottom="0.89" header="0" footer="0"/>
  <pageSetup paperSize="9" scale="67" orientation="landscape" horizontalDpi="300" verticalDpi="300" r:id="rId1"/>
  <headerFooter alignWithMargins="0"/>
  <legacy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Hoja28">
    <tabColor rgb="FF7CC9D0"/>
    <pageSetUpPr fitToPage="1"/>
  </sheetPr>
  <dimension ref="A1:P43"/>
  <sheetViews>
    <sheetView showGridLines="0" workbookViewId="0"/>
  </sheetViews>
  <sheetFormatPr baseColWidth="10" defaultRowHeight="17.25" x14ac:dyDescent="0.3"/>
  <cols>
    <col min="1" max="1" width="26.125" style="307" customWidth="1"/>
    <col min="2" max="2" width="9.125" style="307" customWidth="1"/>
    <col min="3" max="3" width="13.5" style="307" customWidth="1"/>
    <col min="4" max="5" width="11" style="307"/>
    <col min="6" max="6" width="12.625" style="307" customWidth="1"/>
    <col min="7" max="8" width="11" style="307"/>
    <col min="9" max="9" width="12" style="307" customWidth="1"/>
    <col min="10" max="11" width="11" style="307"/>
    <col min="12" max="12" width="12" style="307" customWidth="1"/>
    <col min="13" max="14" width="11" style="307"/>
    <col min="15" max="15" width="11.75" style="307" bestFit="1" customWidth="1"/>
    <col min="16" max="17" width="8.625" style="307" customWidth="1"/>
    <col min="18" max="18" width="9.875" style="307" customWidth="1"/>
    <col min="19" max="20" width="8.625" style="307" customWidth="1"/>
    <col min="21" max="16384" width="11" style="307"/>
  </cols>
  <sheetData>
    <row r="1" spans="1:16" s="446" customFormat="1" ht="27.75" x14ac:dyDescent="0.45">
      <c r="A1" s="408" t="s">
        <v>457</v>
      </c>
      <c r="B1" s="445"/>
      <c r="F1" s="792">
        <f>'Datos Básicos'!D16</f>
        <v>2</v>
      </c>
      <c r="G1" s="470">
        <f>'Datos Básicos'!$D$17</f>
        <v>2028</v>
      </c>
      <c r="O1" s="305"/>
    </row>
    <row r="2" spans="1:16" s="446" customFormat="1" ht="27.75" x14ac:dyDescent="0.45">
      <c r="A2" s="408">
        <f>'Prev.Ventas 0'!A2</f>
        <v>0</v>
      </c>
      <c r="B2" s="445"/>
      <c r="O2" s="305"/>
    </row>
    <row r="3" spans="1:16" ht="18" thickBot="1" x14ac:dyDescent="0.35">
      <c r="A3" s="728"/>
      <c r="B3" s="445"/>
      <c r="C3" s="445"/>
      <c r="D3" s="305"/>
      <c r="E3" s="305"/>
      <c r="F3" s="305"/>
      <c r="G3" s="305"/>
      <c r="H3" s="305"/>
      <c r="I3" s="305"/>
      <c r="J3" s="305"/>
      <c r="K3" s="305"/>
      <c r="L3" s="305"/>
      <c r="M3" s="305"/>
      <c r="N3" s="305"/>
      <c r="O3" s="305"/>
      <c r="P3" s="305"/>
    </row>
    <row r="4" spans="1:16" ht="18.75" thickTop="1" thickBot="1" x14ac:dyDescent="0.35">
      <c r="A4" s="729" t="s">
        <v>267</v>
      </c>
      <c r="B4" s="460"/>
      <c r="C4" s="461" t="str">
        <f>'Datos Gastos Fijos'!D7</f>
        <v>enero</v>
      </c>
      <c r="D4" s="461" t="str">
        <f>'Datos Gastos Fijos'!E7</f>
        <v>febrero</v>
      </c>
      <c r="E4" s="461" t="str">
        <f>'Datos Gastos Fijos'!F7</f>
        <v>marzo</v>
      </c>
      <c r="F4" s="461" t="str">
        <f>'Datos Gastos Fijos'!G7</f>
        <v>abril</v>
      </c>
      <c r="G4" s="461" t="str">
        <f>'Datos Gastos Fijos'!H7</f>
        <v>mayo</v>
      </c>
      <c r="H4" s="461" t="str">
        <f>'Datos Gastos Fijos'!I7</f>
        <v>junio</v>
      </c>
      <c r="I4" s="461" t="str">
        <f>'Datos Gastos Fijos'!J7</f>
        <v>julio</v>
      </c>
      <c r="J4" s="461" t="str">
        <f>'Datos Gastos Fijos'!K7</f>
        <v>agosto</v>
      </c>
      <c r="K4" s="461" t="str">
        <f>'Datos Gastos Fijos'!L7</f>
        <v>septiembre</v>
      </c>
      <c r="L4" s="461" t="str">
        <f>'Datos Gastos Fijos'!M7</f>
        <v>octubre</v>
      </c>
      <c r="M4" s="461" t="str">
        <f>'Datos Gastos Fijos'!N7</f>
        <v>noviembre</v>
      </c>
      <c r="N4" s="461" t="str">
        <f>'Datos Gastos Fijos'!O7</f>
        <v>diciembre</v>
      </c>
      <c r="O4" s="462" t="s">
        <v>865</v>
      </c>
    </row>
    <row r="5" spans="1:16" x14ac:dyDescent="0.3">
      <c r="A5" s="730" t="s">
        <v>265</v>
      </c>
      <c r="B5" s="731"/>
      <c r="C5" s="981">
        <f>SUMPRODUCT(Parametros!$F$24:$F$31,'Prev.Ventas 2'!B31:B38)</f>
        <v>0</v>
      </c>
      <c r="D5" s="979">
        <f>SUMPRODUCT(Parametros!$F$24:$F$31,'Prev.Ventas 2'!C31:C38)</f>
        <v>0</v>
      </c>
      <c r="E5" s="979">
        <f>SUMPRODUCT(Parametros!$F$24:$F$31,'Prev.Ventas 2'!D31:D38)</f>
        <v>0</v>
      </c>
      <c r="F5" s="979">
        <f>SUMPRODUCT(Parametros!$F$24:$F$31,'Prev.Ventas 2'!E31:E38)</f>
        <v>0</v>
      </c>
      <c r="G5" s="979">
        <f>SUMPRODUCT(Parametros!$F$24:$F$31,'Prev.Ventas 2'!F31:F38)</f>
        <v>0</v>
      </c>
      <c r="H5" s="979">
        <f>SUMPRODUCT(Parametros!$F$24:$F$31,'Prev.Ventas 2'!G31:G38)</f>
        <v>0</v>
      </c>
      <c r="I5" s="979">
        <f>SUMPRODUCT(Parametros!$F$24:$F$31,'Prev.Ventas 2'!H31:H38)</f>
        <v>0</v>
      </c>
      <c r="J5" s="979">
        <f>SUMPRODUCT(Parametros!$F$24:$F$31,'Prev.Ventas 2'!I31:I38)</f>
        <v>0</v>
      </c>
      <c r="K5" s="979">
        <f>SUMPRODUCT(Parametros!$F$24:$F$31,'Prev.Ventas 2'!J31:J38)</f>
        <v>0</v>
      </c>
      <c r="L5" s="979">
        <f>SUMPRODUCT(Parametros!$F$24:$F$31,'Prev.Ventas 2'!K31:K38)</f>
        <v>0</v>
      </c>
      <c r="M5" s="979">
        <f>SUMPRODUCT(Parametros!$F$24:$F$31,'Prev.Ventas 2'!L31:L38)</f>
        <v>0</v>
      </c>
      <c r="N5" s="982">
        <f>SUMPRODUCT(Parametros!$F$24:$F$31,'Prev.Ventas 2'!M31:M38)</f>
        <v>0</v>
      </c>
      <c r="O5" s="732">
        <f>SUM(C5:N5)</f>
        <v>0</v>
      </c>
    </row>
    <row r="6" spans="1:16" x14ac:dyDescent="0.3">
      <c r="A6" s="734" t="s">
        <v>991</v>
      </c>
      <c r="B6" s="733"/>
      <c r="C6" s="979">
        <f>'G.F. 2'!C50</f>
        <v>0</v>
      </c>
      <c r="D6" s="979">
        <f>'G.F. 2'!D50</f>
        <v>0</v>
      </c>
      <c r="E6" s="979">
        <f>'G.F. 2'!E50</f>
        <v>0</v>
      </c>
      <c r="F6" s="979">
        <f>'G.F. 2'!F50</f>
        <v>0</v>
      </c>
      <c r="G6" s="979">
        <f>'G.F. 2'!G50</f>
        <v>0</v>
      </c>
      <c r="H6" s="979">
        <f>'G.F. 2'!H50</f>
        <v>0</v>
      </c>
      <c r="I6" s="979">
        <f>'G.F. 2'!I50</f>
        <v>0</v>
      </c>
      <c r="J6" s="979">
        <f>'G.F. 2'!J50</f>
        <v>0</v>
      </c>
      <c r="K6" s="979">
        <f>'G.F. 2'!K50</f>
        <v>0</v>
      </c>
      <c r="L6" s="979">
        <f>'G.F. 2'!L50</f>
        <v>0</v>
      </c>
      <c r="M6" s="979">
        <f>'G.F. 2'!M50</f>
        <v>0</v>
      </c>
      <c r="N6" s="982">
        <f>'G.F. 2'!N50</f>
        <v>0</v>
      </c>
      <c r="O6" s="732">
        <f>SUM(C6:N6)</f>
        <v>0</v>
      </c>
    </row>
    <row r="7" spans="1:16" x14ac:dyDescent="0.3">
      <c r="A7" s="734" t="s">
        <v>990</v>
      </c>
      <c r="B7" s="735"/>
      <c r="C7" s="979"/>
      <c r="D7" s="979"/>
      <c r="E7" s="979"/>
      <c r="F7" s="979"/>
      <c r="G7" s="979"/>
      <c r="H7" s="979"/>
      <c r="I7" s="979"/>
      <c r="J7" s="979"/>
      <c r="K7" s="979"/>
      <c r="L7" s="979"/>
      <c r="M7" s="979"/>
      <c r="N7" s="982"/>
      <c r="O7" s="732">
        <f>SUM(C7:N7)</f>
        <v>0</v>
      </c>
    </row>
    <row r="8" spans="1:16" ht="18" thickBot="1" x14ac:dyDescent="0.35">
      <c r="A8" s="736" t="s">
        <v>838</v>
      </c>
      <c r="B8" s="737"/>
      <c r="C8" s="983">
        <f>Leasing!B37+Renting!B38</f>
        <v>0</v>
      </c>
      <c r="D8" s="984">
        <f>Leasing!C37+Renting!C38</f>
        <v>0</v>
      </c>
      <c r="E8" s="984">
        <f>Leasing!D37+Renting!D38</f>
        <v>0</v>
      </c>
      <c r="F8" s="984">
        <f>Leasing!E37+Renting!E38</f>
        <v>0</v>
      </c>
      <c r="G8" s="984">
        <f>Leasing!F37+Renting!F38</f>
        <v>0</v>
      </c>
      <c r="H8" s="984">
        <f>Leasing!G37+Renting!G38</f>
        <v>0</v>
      </c>
      <c r="I8" s="984">
        <f>Leasing!H37+Renting!H38</f>
        <v>0</v>
      </c>
      <c r="J8" s="984">
        <f>Leasing!I37+Renting!I38</f>
        <v>0</v>
      </c>
      <c r="K8" s="984">
        <f>Leasing!J37+Renting!J38</f>
        <v>0</v>
      </c>
      <c r="L8" s="984">
        <f>Leasing!K37+Renting!K38</f>
        <v>0</v>
      </c>
      <c r="M8" s="984">
        <f>Leasing!L37+Renting!L38</f>
        <v>0</v>
      </c>
      <c r="N8" s="985">
        <f>Leasing!M37+Renting!M38</f>
        <v>0</v>
      </c>
      <c r="O8" s="738">
        <f>SUM(C8:N8)</f>
        <v>0</v>
      </c>
    </row>
    <row r="9" spans="1:16" ht="18" thickBot="1" x14ac:dyDescent="0.35">
      <c r="A9" s="739"/>
      <c r="B9" s="793" t="s">
        <v>201</v>
      </c>
      <c r="C9" s="741">
        <f t="shared" ref="C9:O9" si="0">SUM(C5:C8)</f>
        <v>0</v>
      </c>
      <c r="D9" s="742">
        <f t="shared" si="0"/>
        <v>0</v>
      </c>
      <c r="E9" s="742">
        <f t="shared" si="0"/>
        <v>0</v>
      </c>
      <c r="F9" s="742">
        <f t="shared" si="0"/>
        <v>0</v>
      </c>
      <c r="G9" s="742">
        <f t="shared" si="0"/>
        <v>0</v>
      </c>
      <c r="H9" s="742">
        <f t="shared" si="0"/>
        <v>0</v>
      </c>
      <c r="I9" s="742">
        <f t="shared" si="0"/>
        <v>0</v>
      </c>
      <c r="J9" s="742">
        <f t="shared" si="0"/>
        <v>0</v>
      </c>
      <c r="K9" s="742">
        <f t="shared" si="0"/>
        <v>0</v>
      </c>
      <c r="L9" s="742">
        <f t="shared" si="0"/>
        <v>0</v>
      </c>
      <c r="M9" s="742">
        <f t="shared" si="0"/>
        <v>0</v>
      </c>
      <c r="N9" s="743">
        <f t="shared" si="0"/>
        <v>0</v>
      </c>
      <c r="O9" s="744">
        <f t="shared" si="0"/>
        <v>0</v>
      </c>
    </row>
    <row r="10" spans="1:16" ht="18.75" thickTop="1" thickBot="1" x14ac:dyDescent="0.35">
      <c r="A10" s="745"/>
      <c r="C10" s="668"/>
      <c r="D10" s="668"/>
      <c r="E10" s="668"/>
      <c r="F10" s="668"/>
      <c r="G10" s="668"/>
      <c r="H10" s="668"/>
      <c r="I10" s="668"/>
      <c r="J10" s="668"/>
      <c r="K10" s="668"/>
      <c r="L10" s="668"/>
      <c r="M10" s="668"/>
      <c r="N10" s="668"/>
      <c r="O10" s="668"/>
    </row>
    <row r="11" spans="1:16" ht="18.75" thickTop="1" thickBot="1" x14ac:dyDescent="0.35">
      <c r="A11" s="746" t="s">
        <v>268</v>
      </c>
      <c r="B11" s="747"/>
      <c r="C11" s="748"/>
      <c r="D11" s="748"/>
      <c r="E11" s="749">
        <f>E42</f>
        <v>1</v>
      </c>
      <c r="F11" s="748"/>
      <c r="G11" s="748"/>
      <c r="H11" s="749">
        <f>H42</f>
        <v>1</v>
      </c>
      <c r="I11" s="748"/>
      <c r="J11" s="748"/>
      <c r="K11" s="749">
        <f>K42</f>
        <v>1</v>
      </c>
      <c r="L11" s="748"/>
      <c r="M11" s="748"/>
      <c r="N11" s="749">
        <f>N42</f>
        <v>1</v>
      </c>
      <c r="O11" s="750"/>
    </row>
    <row r="12" spans="1:16" x14ac:dyDescent="0.3">
      <c r="A12" s="751" t="s">
        <v>200</v>
      </c>
      <c r="B12" s="752"/>
      <c r="C12" s="977">
        <f>$E$11*C9</f>
        <v>0</v>
      </c>
      <c r="D12" s="977">
        <f>$E$11*D9</f>
        <v>0</v>
      </c>
      <c r="E12" s="977">
        <f>$E$11*E9</f>
        <v>0</v>
      </c>
      <c r="F12" s="977">
        <f>$H$11*F9</f>
        <v>0</v>
      </c>
      <c r="G12" s="977">
        <f>$H$11*G9</f>
        <v>0</v>
      </c>
      <c r="H12" s="977">
        <f>$H$11*H9</f>
        <v>0</v>
      </c>
      <c r="I12" s="977">
        <f>$K$11*I9</f>
        <v>0</v>
      </c>
      <c r="J12" s="977">
        <f>$K$11*J9</f>
        <v>0</v>
      </c>
      <c r="K12" s="977">
        <f>$K$11*K9</f>
        <v>0</v>
      </c>
      <c r="L12" s="977">
        <f>$N$11*L9</f>
        <v>0</v>
      </c>
      <c r="M12" s="977">
        <f>$N$11*M9</f>
        <v>0</v>
      </c>
      <c r="N12" s="977">
        <f>$N$11*N9</f>
        <v>0</v>
      </c>
      <c r="O12" s="753">
        <f>SUM(C12:N12)</f>
        <v>0</v>
      </c>
    </row>
    <row r="13" spans="1:16" ht="16.5" customHeight="1" thickBot="1" x14ac:dyDescent="0.35">
      <c r="A13" s="754" t="s">
        <v>202</v>
      </c>
      <c r="B13" s="755"/>
      <c r="C13" s="978">
        <f t="shared" ref="C13:N13" si="1">C9-C12</f>
        <v>0</v>
      </c>
      <c r="D13" s="978">
        <f t="shared" si="1"/>
        <v>0</v>
      </c>
      <c r="E13" s="978">
        <f t="shared" si="1"/>
        <v>0</v>
      </c>
      <c r="F13" s="978">
        <f t="shared" si="1"/>
        <v>0</v>
      </c>
      <c r="G13" s="978">
        <f t="shared" si="1"/>
        <v>0</v>
      </c>
      <c r="H13" s="978">
        <f t="shared" si="1"/>
        <v>0</v>
      </c>
      <c r="I13" s="978">
        <f t="shared" si="1"/>
        <v>0</v>
      </c>
      <c r="J13" s="978">
        <f t="shared" si="1"/>
        <v>0</v>
      </c>
      <c r="K13" s="978">
        <f t="shared" si="1"/>
        <v>0</v>
      </c>
      <c r="L13" s="978">
        <f t="shared" si="1"/>
        <v>0</v>
      </c>
      <c r="M13" s="978">
        <f t="shared" si="1"/>
        <v>0</v>
      </c>
      <c r="N13" s="978">
        <f t="shared" si="1"/>
        <v>0</v>
      </c>
      <c r="O13" s="756">
        <f>SUM(C13:N13)</f>
        <v>0</v>
      </c>
    </row>
    <row r="14" spans="1:16" ht="18" thickTop="1" x14ac:dyDescent="0.3"/>
    <row r="15" spans="1:16" x14ac:dyDescent="0.3">
      <c r="A15" s="303"/>
      <c r="B15" s="303"/>
      <c r="D15" s="368" t="s">
        <v>8</v>
      </c>
      <c r="E15" s="442" t="str">
        <f>Parametros!$F$35</f>
        <v>No</v>
      </c>
    </row>
    <row r="17" spans="1:15" ht="28.5" thickBot="1" x14ac:dyDescent="0.5">
      <c r="A17" s="408" t="s">
        <v>458</v>
      </c>
      <c r="B17" s="445"/>
      <c r="C17" s="446"/>
      <c r="D17" s="446"/>
      <c r="F17" s="409"/>
    </row>
    <row r="18" spans="1:15" ht="18" thickTop="1" x14ac:dyDescent="0.3">
      <c r="A18" s="757"/>
      <c r="B18" s="758"/>
      <c r="C18" s="758" t="str">
        <f t="shared" ref="C18:N18" si="2">C$4</f>
        <v>enero</v>
      </c>
      <c r="D18" s="758" t="str">
        <f t="shared" si="2"/>
        <v>febrero</v>
      </c>
      <c r="E18" s="758" t="str">
        <f t="shared" si="2"/>
        <v>marzo</v>
      </c>
      <c r="F18" s="758" t="str">
        <f t="shared" si="2"/>
        <v>abril</v>
      </c>
      <c r="G18" s="758" t="str">
        <f t="shared" si="2"/>
        <v>mayo</v>
      </c>
      <c r="H18" s="758" t="str">
        <f t="shared" si="2"/>
        <v>junio</v>
      </c>
      <c r="I18" s="758" t="str">
        <f t="shared" si="2"/>
        <v>julio</v>
      </c>
      <c r="J18" s="758" t="str">
        <f t="shared" si="2"/>
        <v>agosto</v>
      </c>
      <c r="K18" s="758" t="str">
        <f t="shared" si="2"/>
        <v>septiembre</v>
      </c>
      <c r="L18" s="758" t="str">
        <f t="shared" si="2"/>
        <v>octubre</v>
      </c>
      <c r="M18" s="758" t="str">
        <f t="shared" si="2"/>
        <v>noviembre</v>
      </c>
      <c r="N18" s="758" t="str">
        <f t="shared" si="2"/>
        <v>diciembre</v>
      </c>
      <c r="O18" s="759" t="s">
        <v>865</v>
      </c>
    </row>
    <row r="19" spans="1:15" x14ac:dyDescent="0.3">
      <c r="A19" s="727" t="s">
        <v>989</v>
      </c>
      <c r="B19" s="610"/>
      <c r="C19" s="979">
        <f>SUMPRODUCT(Parametros!$E$24:$E$31,'Prev.Ventas 2'!B17:B24)</f>
        <v>0</v>
      </c>
      <c r="D19" s="979">
        <f>SUMPRODUCT(Parametros!$E$24:$E$31,'Prev.Ventas 2'!C17:C24)</f>
        <v>0</v>
      </c>
      <c r="E19" s="979">
        <f>SUMPRODUCT(Parametros!$E$24:$E$31,'Prev.Ventas 2'!D17:D24)</f>
        <v>0</v>
      </c>
      <c r="F19" s="979">
        <f>SUMPRODUCT(Parametros!$E$24:$E$31,'Prev.Ventas 2'!E17:E24)</f>
        <v>0</v>
      </c>
      <c r="G19" s="979">
        <f>SUMPRODUCT(Parametros!$E$24:$E$31,'Prev.Ventas 2'!F17:F24)</f>
        <v>0</v>
      </c>
      <c r="H19" s="979">
        <f>SUMPRODUCT(Parametros!$E$24:$E$31,'Prev.Ventas 2'!G17:G24)</f>
        <v>0</v>
      </c>
      <c r="I19" s="979">
        <f>SUMPRODUCT(Parametros!$E$24:$E$31,'Prev.Ventas 2'!H17:H24)</f>
        <v>0</v>
      </c>
      <c r="J19" s="979">
        <f>SUMPRODUCT(Parametros!$E$24:$E$31,'Prev.Ventas 2'!I17:I24)</f>
        <v>0</v>
      </c>
      <c r="K19" s="979">
        <f>SUMPRODUCT(Parametros!$E$24:$E$31,'Prev.Ventas 2'!J17:J24)</f>
        <v>0</v>
      </c>
      <c r="L19" s="979">
        <f>SUMPRODUCT(Parametros!$E$24:$E$31,'Prev.Ventas 2'!K17:K24)</f>
        <v>0</v>
      </c>
      <c r="M19" s="979">
        <f>SUMPRODUCT(Parametros!$E$24:$E$31,'Prev.Ventas 2'!L17:L24)</f>
        <v>0</v>
      </c>
      <c r="N19" s="979">
        <f>SUMPRODUCT(Parametros!$E$24:$E$31,'Prev.Ventas 2'!M17:M24)</f>
        <v>0</v>
      </c>
      <c r="O19" s="760">
        <f>SUM(C19:N19)</f>
        <v>0</v>
      </c>
    </row>
    <row r="20" spans="1:15" x14ac:dyDescent="0.3">
      <c r="A20" s="727" t="s">
        <v>200</v>
      </c>
      <c r="B20" s="610"/>
      <c r="C20" s="979">
        <f t="shared" ref="C20:N20" si="3">C12</f>
        <v>0</v>
      </c>
      <c r="D20" s="979">
        <f t="shared" si="3"/>
        <v>0</v>
      </c>
      <c r="E20" s="979">
        <f t="shared" si="3"/>
        <v>0</v>
      </c>
      <c r="F20" s="979">
        <f t="shared" si="3"/>
        <v>0</v>
      </c>
      <c r="G20" s="979">
        <f t="shared" si="3"/>
        <v>0</v>
      </c>
      <c r="H20" s="979">
        <f t="shared" si="3"/>
        <v>0</v>
      </c>
      <c r="I20" s="979">
        <f t="shared" si="3"/>
        <v>0</v>
      </c>
      <c r="J20" s="979">
        <f t="shared" si="3"/>
        <v>0</v>
      </c>
      <c r="K20" s="979">
        <f t="shared" si="3"/>
        <v>0</v>
      </c>
      <c r="L20" s="979">
        <f t="shared" si="3"/>
        <v>0</v>
      </c>
      <c r="M20" s="979">
        <f t="shared" si="3"/>
        <v>0</v>
      </c>
      <c r="N20" s="979">
        <f t="shared" si="3"/>
        <v>0</v>
      </c>
      <c r="O20" s="760">
        <f>SUM(C20:N20)</f>
        <v>0</v>
      </c>
    </row>
    <row r="21" spans="1:15" ht="18" thickBot="1" x14ac:dyDescent="0.35">
      <c r="A21" s="727" t="s">
        <v>992</v>
      </c>
      <c r="B21" s="761"/>
      <c r="C21" s="980">
        <f t="shared" ref="C21:N21" si="4">C19-C20</f>
        <v>0</v>
      </c>
      <c r="D21" s="980">
        <f t="shared" si="4"/>
        <v>0</v>
      </c>
      <c r="E21" s="980">
        <f t="shared" si="4"/>
        <v>0</v>
      </c>
      <c r="F21" s="980">
        <f t="shared" si="4"/>
        <v>0</v>
      </c>
      <c r="G21" s="980">
        <f t="shared" si="4"/>
        <v>0</v>
      </c>
      <c r="H21" s="980">
        <f t="shared" si="4"/>
        <v>0</v>
      </c>
      <c r="I21" s="980">
        <f t="shared" si="4"/>
        <v>0</v>
      </c>
      <c r="J21" s="980">
        <f t="shared" si="4"/>
        <v>0</v>
      </c>
      <c r="K21" s="980">
        <f t="shared" si="4"/>
        <v>0</v>
      </c>
      <c r="L21" s="980">
        <f t="shared" si="4"/>
        <v>0</v>
      </c>
      <c r="M21" s="980">
        <f t="shared" si="4"/>
        <v>0</v>
      </c>
      <c r="N21" s="980">
        <f t="shared" si="4"/>
        <v>0</v>
      </c>
      <c r="O21" s="760">
        <f>SUM(C21:N21)</f>
        <v>0</v>
      </c>
    </row>
    <row r="22" spans="1:15" ht="19.5" customHeight="1" thickTop="1" x14ac:dyDescent="0.3">
      <c r="A22" s="762" t="s">
        <v>997</v>
      </c>
      <c r="B22" s="763"/>
      <c r="C22" s="764">
        <f>'IVA 1'!O22</f>
        <v>0</v>
      </c>
      <c r="D22" s="765"/>
      <c r="E22" s="765"/>
      <c r="F22" s="765">
        <f>IF(C22&gt;0,SUM(C21:E21),C22+SUM(C21:E21))</f>
        <v>0</v>
      </c>
      <c r="G22" s="765"/>
      <c r="H22" s="765"/>
      <c r="I22" s="765">
        <f>IF(F22&gt;0,SUM(F21:H21),F22+SUM(F21:H21))</f>
        <v>0</v>
      </c>
      <c r="J22" s="765"/>
      <c r="K22" s="765"/>
      <c r="L22" s="765">
        <f>IF(I22&gt;0,SUM(I21:K21),I22+SUM(I21:K21))</f>
        <v>0</v>
      </c>
      <c r="M22" s="765"/>
      <c r="N22" s="765"/>
      <c r="O22" s="766">
        <f>IF(L22&gt;0,SUM(L21:N21),L22+SUM(L21:N21))</f>
        <v>0</v>
      </c>
    </row>
    <row r="23" spans="1:15" ht="10.5" customHeight="1" x14ac:dyDescent="0.3">
      <c r="A23" s="767"/>
      <c r="B23" s="610"/>
      <c r="C23" s="610"/>
      <c r="D23" s="610"/>
      <c r="E23" s="610"/>
      <c r="F23" s="610"/>
      <c r="G23" s="610"/>
      <c r="H23" s="610"/>
      <c r="I23" s="610"/>
      <c r="J23" s="610"/>
      <c r="K23" s="610"/>
      <c r="L23" s="610"/>
      <c r="M23" s="610"/>
      <c r="N23" s="610"/>
      <c r="O23" s="768"/>
    </row>
    <row r="24" spans="1:15" ht="19.5" customHeight="1" thickBot="1" x14ac:dyDescent="0.35">
      <c r="A24" s="769" t="s">
        <v>993</v>
      </c>
      <c r="B24" s="755"/>
      <c r="C24" s="770">
        <f>IF(AND(E15="No",C22&gt;0),C22,0)</f>
        <v>0</v>
      </c>
      <c r="D24" s="771"/>
      <c r="E24" s="771"/>
      <c r="F24" s="771">
        <f>IF(AND(E15="No",F22&gt;0),F22,0)</f>
        <v>0</v>
      </c>
      <c r="G24" s="771"/>
      <c r="H24" s="771"/>
      <c r="I24" s="771">
        <f>IF(AND(E15="No",I22&gt;0),I22,0)</f>
        <v>0</v>
      </c>
      <c r="J24" s="771"/>
      <c r="K24" s="771"/>
      <c r="L24" s="771">
        <f>IF(AND($E$15="No",L22&gt;0),L22,0)</f>
        <v>0</v>
      </c>
      <c r="M24" s="771"/>
      <c r="N24" s="771"/>
      <c r="O24" s="772">
        <f>IF(AND($E$15="No",O22&gt;0),O22,0)</f>
        <v>0</v>
      </c>
    </row>
    <row r="25" spans="1:15" ht="9" customHeight="1" thickTop="1" thickBot="1" x14ac:dyDescent="0.35"/>
    <row r="26" spans="1:15" ht="18.75" thickTop="1" thickBot="1" x14ac:dyDescent="0.35">
      <c r="A26" s="773" t="s">
        <v>7</v>
      </c>
      <c r="B26" s="774"/>
      <c r="C26" s="775">
        <f>'IVA 1'!O26</f>
        <v>0</v>
      </c>
      <c r="D26" s="776"/>
      <c r="E26" s="776"/>
      <c r="F26" s="776">
        <f>IF($E$15="Si",SUM(C21:E21),0)</f>
        <v>0</v>
      </c>
      <c r="G26" s="776"/>
      <c r="H26" s="776"/>
      <c r="I26" s="776">
        <f>IF($E$15="Si",SUM(F21:H21),0)</f>
        <v>0</v>
      </c>
      <c r="J26" s="776"/>
      <c r="K26" s="776"/>
      <c r="L26" s="776">
        <f>IF($E$15="Si",SUM(I21:K21),0)</f>
        <v>0</v>
      </c>
      <c r="M26" s="776"/>
      <c r="N26" s="776"/>
      <c r="O26" s="777">
        <f>IF($E$15="Si",SUM(L21:N21),0)</f>
        <v>0</v>
      </c>
    </row>
    <row r="27" spans="1:15" ht="18" thickTop="1" x14ac:dyDescent="0.3"/>
    <row r="29" spans="1:15" ht="28.5" thickBot="1" x14ac:dyDescent="0.5">
      <c r="A29" s="408" t="s">
        <v>459</v>
      </c>
      <c r="D29" s="409"/>
      <c r="E29" s="409"/>
    </row>
    <row r="30" spans="1:15" ht="18.75" thickTop="1" thickBot="1" x14ac:dyDescent="0.35">
      <c r="A30" s="677" t="s">
        <v>995</v>
      </c>
      <c r="B30" s="447" t="s">
        <v>949</v>
      </c>
      <c r="C30" s="460" t="str">
        <f t="shared" ref="C30:N30" si="5">C$4</f>
        <v>enero</v>
      </c>
      <c r="D30" s="461" t="str">
        <f t="shared" si="5"/>
        <v>febrero</v>
      </c>
      <c r="E30" s="461" t="str">
        <f t="shared" si="5"/>
        <v>marzo</v>
      </c>
      <c r="F30" s="461" t="str">
        <f t="shared" si="5"/>
        <v>abril</v>
      </c>
      <c r="G30" s="461" t="str">
        <f t="shared" si="5"/>
        <v>mayo</v>
      </c>
      <c r="H30" s="461" t="str">
        <f t="shared" si="5"/>
        <v>junio</v>
      </c>
      <c r="I30" s="461" t="str">
        <f t="shared" si="5"/>
        <v>julio</v>
      </c>
      <c r="J30" s="461" t="str">
        <f t="shared" si="5"/>
        <v>agosto</v>
      </c>
      <c r="K30" s="461" t="str">
        <f t="shared" si="5"/>
        <v>septiembre</v>
      </c>
      <c r="L30" s="461" t="str">
        <f t="shared" si="5"/>
        <v>octubre</v>
      </c>
      <c r="M30" s="461" t="str">
        <f t="shared" si="5"/>
        <v>noviembre</v>
      </c>
      <c r="N30" s="461" t="str">
        <f t="shared" si="5"/>
        <v>diciembre</v>
      </c>
      <c r="O30" s="462" t="s">
        <v>865</v>
      </c>
    </row>
    <row r="31" spans="1:15" x14ac:dyDescent="0.3">
      <c r="A31" s="696" t="str">
        <f>'Estimacion Ventas'!A12</f>
        <v/>
      </c>
      <c r="B31" s="778">
        <f>Parametros!E24</f>
        <v>0.21</v>
      </c>
      <c r="C31" s="959">
        <f>'Prev.Ventas 2'!B17</f>
        <v>0</v>
      </c>
      <c r="D31" s="959">
        <f>'Prev.Ventas 2'!C17</f>
        <v>0</v>
      </c>
      <c r="E31" s="959">
        <f>'Prev.Ventas 2'!D17</f>
        <v>0</v>
      </c>
      <c r="F31" s="959">
        <f>'Prev.Ventas 2'!E17</f>
        <v>0</v>
      </c>
      <c r="G31" s="959">
        <f>'Prev.Ventas 2'!F17</f>
        <v>0</v>
      </c>
      <c r="H31" s="959">
        <f>'Prev.Ventas 2'!G17</f>
        <v>0</v>
      </c>
      <c r="I31" s="959">
        <f>'Prev.Ventas 2'!H17</f>
        <v>0</v>
      </c>
      <c r="J31" s="959">
        <f>'Prev.Ventas 2'!I17</f>
        <v>0</v>
      </c>
      <c r="K31" s="959">
        <f>'Prev.Ventas 2'!J17</f>
        <v>0</v>
      </c>
      <c r="L31" s="959">
        <f>'Prev.Ventas 2'!K17</f>
        <v>0</v>
      </c>
      <c r="M31" s="959">
        <f>'Prev.Ventas 2'!L17</f>
        <v>0</v>
      </c>
      <c r="N31" s="959">
        <f>'Prev.Ventas 2'!M17</f>
        <v>0</v>
      </c>
      <c r="O31" s="960">
        <f t="shared" ref="O31:O41" si="6">SUM(C31:N31)</f>
        <v>0</v>
      </c>
    </row>
    <row r="32" spans="1:15" x14ac:dyDescent="0.3">
      <c r="A32" s="779" t="str">
        <f>'Estimacion Ventas'!A13</f>
        <v/>
      </c>
      <c r="B32" s="780">
        <f>Parametros!E25</f>
        <v>0.21</v>
      </c>
      <c r="C32" s="961">
        <f>'Prev.Ventas 2'!B18</f>
        <v>0</v>
      </c>
      <c r="D32" s="961">
        <f>'Prev.Ventas 2'!C18</f>
        <v>0</v>
      </c>
      <c r="E32" s="961">
        <f>'Prev.Ventas 2'!D18</f>
        <v>0</v>
      </c>
      <c r="F32" s="961">
        <f>'Prev.Ventas 2'!E18</f>
        <v>0</v>
      </c>
      <c r="G32" s="961">
        <f>'Prev.Ventas 2'!F18</f>
        <v>0</v>
      </c>
      <c r="H32" s="961">
        <f>'Prev.Ventas 2'!G18</f>
        <v>0</v>
      </c>
      <c r="I32" s="961">
        <f>'Prev.Ventas 2'!H18</f>
        <v>0</v>
      </c>
      <c r="J32" s="961">
        <f>'Prev.Ventas 2'!I18</f>
        <v>0</v>
      </c>
      <c r="K32" s="961">
        <f>'Prev.Ventas 2'!J18</f>
        <v>0</v>
      </c>
      <c r="L32" s="961">
        <f>'Prev.Ventas 2'!K18</f>
        <v>0</v>
      </c>
      <c r="M32" s="961">
        <f>'Prev.Ventas 2'!L18</f>
        <v>0</v>
      </c>
      <c r="N32" s="961">
        <f>'Prev.Ventas 2'!M18</f>
        <v>0</v>
      </c>
      <c r="O32" s="962">
        <f t="shared" si="6"/>
        <v>0</v>
      </c>
    </row>
    <row r="33" spans="1:15" x14ac:dyDescent="0.3">
      <c r="A33" s="779" t="str">
        <f>'Estimacion Ventas'!A14</f>
        <v/>
      </c>
      <c r="B33" s="780">
        <f>Parametros!E26</f>
        <v>0.21</v>
      </c>
      <c r="C33" s="961">
        <f>'Prev.Ventas 2'!B19</f>
        <v>0</v>
      </c>
      <c r="D33" s="961">
        <f>'Prev.Ventas 2'!C19</f>
        <v>0</v>
      </c>
      <c r="E33" s="961">
        <f>'Prev.Ventas 2'!D19</f>
        <v>0</v>
      </c>
      <c r="F33" s="961">
        <f>'Prev.Ventas 2'!E19</f>
        <v>0</v>
      </c>
      <c r="G33" s="961">
        <f>'Prev.Ventas 2'!F19</f>
        <v>0</v>
      </c>
      <c r="H33" s="961">
        <f>'Prev.Ventas 2'!G19</f>
        <v>0</v>
      </c>
      <c r="I33" s="961">
        <f>'Prev.Ventas 2'!H19</f>
        <v>0</v>
      </c>
      <c r="J33" s="961">
        <f>'Prev.Ventas 2'!I19</f>
        <v>0</v>
      </c>
      <c r="K33" s="961">
        <f>'Prev.Ventas 2'!J19</f>
        <v>0</v>
      </c>
      <c r="L33" s="961">
        <f>'Prev.Ventas 2'!K19</f>
        <v>0</v>
      </c>
      <c r="M33" s="961">
        <f>'Prev.Ventas 2'!L19</f>
        <v>0</v>
      </c>
      <c r="N33" s="961">
        <f>'Prev.Ventas 2'!M19</f>
        <v>0</v>
      </c>
      <c r="O33" s="962">
        <f t="shared" si="6"/>
        <v>0</v>
      </c>
    </row>
    <row r="34" spans="1:15" x14ac:dyDescent="0.3">
      <c r="A34" s="779" t="str">
        <f>'Estimacion Ventas'!A15</f>
        <v/>
      </c>
      <c r="B34" s="780">
        <f>Parametros!E27</f>
        <v>0.21</v>
      </c>
      <c r="C34" s="961">
        <f>'Prev.Ventas 2'!B20</f>
        <v>0</v>
      </c>
      <c r="D34" s="961">
        <f>'Prev.Ventas 2'!C20</f>
        <v>0</v>
      </c>
      <c r="E34" s="961">
        <f>'Prev.Ventas 2'!D20</f>
        <v>0</v>
      </c>
      <c r="F34" s="961">
        <f>'Prev.Ventas 2'!E20</f>
        <v>0</v>
      </c>
      <c r="G34" s="961">
        <f>'Prev.Ventas 2'!F20</f>
        <v>0</v>
      </c>
      <c r="H34" s="961">
        <f>'Prev.Ventas 2'!G20</f>
        <v>0</v>
      </c>
      <c r="I34" s="961">
        <f>'Prev.Ventas 2'!H20</f>
        <v>0</v>
      </c>
      <c r="J34" s="961">
        <f>'Prev.Ventas 2'!I20</f>
        <v>0</v>
      </c>
      <c r="K34" s="961">
        <f>'Prev.Ventas 2'!J20</f>
        <v>0</v>
      </c>
      <c r="L34" s="961">
        <f>'Prev.Ventas 2'!K20</f>
        <v>0</v>
      </c>
      <c r="M34" s="961">
        <f>'Prev.Ventas 2'!L20</f>
        <v>0</v>
      </c>
      <c r="N34" s="961">
        <f>'Prev.Ventas 2'!M20</f>
        <v>0</v>
      </c>
      <c r="O34" s="962">
        <f t="shared" si="6"/>
        <v>0</v>
      </c>
    </row>
    <row r="35" spans="1:15" x14ac:dyDescent="0.3">
      <c r="A35" s="779" t="str">
        <f>'Estimacion Ventas'!A16</f>
        <v/>
      </c>
      <c r="B35" s="780">
        <f>Parametros!E28</f>
        <v>0.21</v>
      </c>
      <c r="C35" s="961">
        <f>'Prev.Ventas 2'!B21</f>
        <v>0</v>
      </c>
      <c r="D35" s="961">
        <f>'Prev.Ventas 2'!C21</f>
        <v>0</v>
      </c>
      <c r="E35" s="961">
        <f>'Prev.Ventas 2'!D21</f>
        <v>0</v>
      </c>
      <c r="F35" s="961">
        <f>'Prev.Ventas 2'!E21</f>
        <v>0</v>
      </c>
      <c r="G35" s="961">
        <f>'Prev.Ventas 2'!F21</f>
        <v>0</v>
      </c>
      <c r="H35" s="961">
        <f>'Prev.Ventas 2'!G21</f>
        <v>0</v>
      </c>
      <c r="I35" s="961">
        <f>'Prev.Ventas 2'!H21</f>
        <v>0</v>
      </c>
      <c r="J35" s="961">
        <f>'Prev.Ventas 2'!I21</f>
        <v>0</v>
      </c>
      <c r="K35" s="961">
        <f>'Prev.Ventas 2'!J21</f>
        <v>0</v>
      </c>
      <c r="L35" s="961">
        <f>'Prev.Ventas 2'!K21</f>
        <v>0</v>
      </c>
      <c r="M35" s="961">
        <f>'Prev.Ventas 2'!L21</f>
        <v>0</v>
      </c>
      <c r="N35" s="961">
        <f>'Prev.Ventas 2'!M21</f>
        <v>0</v>
      </c>
      <c r="O35" s="962">
        <f t="shared" si="6"/>
        <v>0</v>
      </c>
    </row>
    <row r="36" spans="1:15" x14ac:dyDescent="0.3">
      <c r="A36" s="779" t="str">
        <f>'Estimacion Ventas'!A17</f>
        <v/>
      </c>
      <c r="B36" s="780">
        <f>Parametros!E29</f>
        <v>0</v>
      </c>
      <c r="C36" s="961">
        <f>'Prev.Ventas 2'!B22</f>
        <v>0</v>
      </c>
      <c r="D36" s="961">
        <f>'Prev.Ventas 2'!C22</f>
        <v>0</v>
      </c>
      <c r="E36" s="961">
        <f>'Prev.Ventas 2'!D22</f>
        <v>0</v>
      </c>
      <c r="F36" s="961">
        <f>'Prev.Ventas 2'!E22</f>
        <v>0</v>
      </c>
      <c r="G36" s="961">
        <f>'Prev.Ventas 2'!F22</f>
        <v>0</v>
      </c>
      <c r="H36" s="961">
        <f>'Prev.Ventas 2'!G22</f>
        <v>0</v>
      </c>
      <c r="I36" s="961">
        <f>'Prev.Ventas 2'!H22</f>
        <v>0</v>
      </c>
      <c r="J36" s="961">
        <f>'Prev.Ventas 2'!I22</f>
        <v>0</v>
      </c>
      <c r="K36" s="961">
        <f>'Prev.Ventas 2'!J22</f>
        <v>0</v>
      </c>
      <c r="L36" s="961">
        <f>'Prev.Ventas 2'!K22</f>
        <v>0</v>
      </c>
      <c r="M36" s="961">
        <f>'Prev.Ventas 2'!L22</f>
        <v>0</v>
      </c>
      <c r="N36" s="961">
        <f>'Prev.Ventas 2'!M22</f>
        <v>0</v>
      </c>
      <c r="O36" s="962">
        <f t="shared" si="6"/>
        <v>0</v>
      </c>
    </row>
    <row r="37" spans="1:15" x14ac:dyDescent="0.3">
      <c r="A37" s="779" t="str">
        <f>'Estimacion Ventas'!A18</f>
        <v/>
      </c>
      <c r="B37" s="780">
        <f>Parametros!E30</f>
        <v>0</v>
      </c>
      <c r="C37" s="961">
        <f>'Prev.Ventas 2'!B23</f>
        <v>0</v>
      </c>
      <c r="D37" s="961">
        <f>'Prev.Ventas 2'!C23</f>
        <v>0</v>
      </c>
      <c r="E37" s="961">
        <f>'Prev.Ventas 2'!D23</f>
        <v>0</v>
      </c>
      <c r="F37" s="961">
        <f>'Prev.Ventas 2'!E23</f>
        <v>0</v>
      </c>
      <c r="G37" s="961">
        <f>'Prev.Ventas 2'!F23</f>
        <v>0</v>
      </c>
      <c r="H37" s="961">
        <f>'Prev.Ventas 2'!G23</f>
        <v>0</v>
      </c>
      <c r="I37" s="961">
        <f>'Prev.Ventas 2'!H23</f>
        <v>0</v>
      </c>
      <c r="J37" s="961">
        <f>'Prev.Ventas 2'!I23</f>
        <v>0</v>
      </c>
      <c r="K37" s="961">
        <f>'Prev.Ventas 2'!J23</f>
        <v>0</v>
      </c>
      <c r="L37" s="961">
        <f>'Prev.Ventas 2'!K23</f>
        <v>0</v>
      </c>
      <c r="M37" s="961">
        <f>'Prev.Ventas 2'!L23</f>
        <v>0</v>
      </c>
      <c r="N37" s="961">
        <f>'Prev.Ventas 2'!M23</f>
        <v>0</v>
      </c>
      <c r="O37" s="962">
        <f t="shared" si="6"/>
        <v>0</v>
      </c>
    </row>
    <row r="38" spans="1:15" ht="18" thickBot="1" x14ac:dyDescent="0.35">
      <c r="A38" s="781" t="str">
        <f>'Estimacion Ventas'!A19</f>
        <v/>
      </c>
      <c r="B38" s="782">
        <f>Parametros!E31</f>
        <v>0</v>
      </c>
      <c r="C38" s="963">
        <f>'Prev.Ventas 2'!B24</f>
        <v>0</v>
      </c>
      <c r="D38" s="963">
        <f>'Prev.Ventas 2'!C24</f>
        <v>0</v>
      </c>
      <c r="E38" s="963">
        <f>'Prev.Ventas 2'!D24</f>
        <v>0</v>
      </c>
      <c r="F38" s="963">
        <f>'Prev.Ventas 2'!E24</f>
        <v>0</v>
      </c>
      <c r="G38" s="963">
        <f>'Prev.Ventas 2'!F24</f>
        <v>0</v>
      </c>
      <c r="H38" s="963">
        <f>'Prev.Ventas 2'!G24</f>
        <v>0</v>
      </c>
      <c r="I38" s="963">
        <f>'Prev.Ventas 2'!H24</f>
        <v>0</v>
      </c>
      <c r="J38" s="963">
        <f>'Prev.Ventas 2'!I24</f>
        <v>0</v>
      </c>
      <c r="K38" s="963">
        <f>'Prev.Ventas 2'!J24</f>
        <v>0</v>
      </c>
      <c r="L38" s="963">
        <f>'Prev.Ventas 2'!K24</f>
        <v>0</v>
      </c>
      <c r="M38" s="963">
        <f>'Prev.Ventas 2'!L24</f>
        <v>0</v>
      </c>
      <c r="N38" s="963">
        <f>'Prev.Ventas 2'!M24</f>
        <v>0</v>
      </c>
      <c r="O38" s="964">
        <f t="shared" si="6"/>
        <v>0</v>
      </c>
    </row>
    <row r="39" spans="1:15" ht="18" thickBot="1" x14ac:dyDescent="0.35">
      <c r="A39" s="783" t="s">
        <v>197</v>
      </c>
      <c r="B39" s="443"/>
      <c r="C39" s="965">
        <f>SUMIF($B$31:$B$38,"&lt;&gt;0",C31:C38)</f>
        <v>0</v>
      </c>
      <c r="D39" s="966">
        <f t="shared" ref="D39:N39" si="7">SUMIF($B$31:$B$38,"&lt;&gt;0",D31:D38)</f>
        <v>0</v>
      </c>
      <c r="E39" s="967">
        <f t="shared" si="7"/>
        <v>0</v>
      </c>
      <c r="F39" s="967">
        <f t="shared" si="7"/>
        <v>0</v>
      </c>
      <c r="G39" s="967">
        <f t="shared" si="7"/>
        <v>0</v>
      </c>
      <c r="H39" s="967">
        <f t="shared" si="7"/>
        <v>0</v>
      </c>
      <c r="I39" s="967">
        <f t="shared" si="7"/>
        <v>0</v>
      </c>
      <c r="J39" s="967">
        <f t="shared" si="7"/>
        <v>0</v>
      </c>
      <c r="K39" s="967">
        <f t="shared" si="7"/>
        <v>0</v>
      </c>
      <c r="L39" s="967">
        <f t="shared" si="7"/>
        <v>0</v>
      </c>
      <c r="M39" s="967">
        <f t="shared" si="7"/>
        <v>0</v>
      </c>
      <c r="N39" s="968">
        <f t="shared" si="7"/>
        <v>0</v>
      </c>
      <c r="O39" s="969">
        <f>SUM(C39:N39)</f>
        <v>0</v>
      </c>
    </row>
    <row r="40" spans="1:15" ht="18" thickBot="1" x14ac:dyDescent="0.35">
      <c r="A40" s="783" t="s">
        <v>198</v>
      </c>
      <c r="B40" s="443"/>
      <c r="C40" s="970">
        <f>SUMIF($B$31:$B$38,"=0",C31:C38)</f>
        <v>0</v>
      </c>
      <c r="D40" s="971">
        <f t="shared" ref="D40:N40" si="8">SUMIF($B$31:$B$38,"=0",D31:D38)</f>
        <v>0</v>
      </c>
      <c r="E40" s="971">
        <f t="shared" si="8"/>
        <v>0</v>
      </c>
      <c r="F40" s="971">
        <f t="shared" si="8"/>
        <v>0</v>
      </c>
      <c r="G40" s="971">
        <f t="shared" si="8"/>
        <v>0</v>
      </c>
      <c r="H40" s="971">
        <f t="shared" si="8"/>
        <v>0</v>
      </c>
      <c r="I40" s="971">
        <f t="shared" si="8"/>
        <v>0</v>
      </c>
      <c r="J40" s="971">
        <f t="shared" si="8"/>
        <v>0</v>
      </c>
      <c r="K40" s="971">
        <f t="shared" si="8"/>
        <v>0</v>
      </c>
      <c r="L40" s="971">
        <f t="shared" si="8"/>
        <v>0</v>
      </c>
      <c r="M40" s="971">
        <f t="shared" si="8"/>
        <v>0</v>
      </c>
      <c r="N40" s="972">
        <f t="shared" si="8"/>
        <v>0</v>
      </c>
      <c r="O40" s="973">
        <f t="shared" si="6"/>
        <v>0</v>
      </c>
    </row>
    <row r="41" spans="1:15" ht="18" thickBot="1" x14ac:dyDescent="0.35">
      <c r="A41" s="783" t="s">
        <v>196</v>
      </c>
      <c r="B41" s="443"/>
      <c r="C41" s="974">
        <f>C40+C39</f>
        <v>0</v>
      </c>
      <c r="D41" s="975">
        <f t="shared" ref="D41:N41" si="9">D40+D39</f>
        <v>0</v>
      </c>
      <c r="E41" s="975">
        <f t="shared" si="9"/>
        <v>0</v>
      </c>
      <c r="F41" s="975">
        <f t="shared" si="9"/>
        <v>0</v>
      </c>
      <c r="G41" s="975">
        <f t="shared" si="9"/>
        <v>0</v>
      </c>
      <c r="H41" s="975">
        <f t="shared" si="9"/>
        <v>0</v>
      </c>
      <c r="I41" s="975">
        <f t="shared" si="9"/>
        <v>0</v>
      </c>
      <c r="J41" s="975">
        <f t="shared" si="9"/>
        <v>0</v>
      </c>
      <c r="K41" s="975">
        <f t="shared" si="9"/>
        <v>0</v>
      </c>
      <c r="L41" s="975">
        <f t="shared" si="9"/>
        <v>0</v>
      </c>
      <c r="M41" s="975">
        <f t="shared" si="9"/>
        <v>0</v>
      </c>
      <c r="N41" s="976">
        <f t="shared" si="9"/>
        <v>0</v>
      </c>
      <c r="O41" s="973">
        <f t="shared" si="6"/>
        <v>0</v>
      </c>
    </row>
    <row r="42" spans="1:15" ht="18" thickBot="1" x14ac:dyDescent="0.35">
      <c r="A42" s="784" t="s">
        <v>199</v>
      </c>
      <c r="B42" s="785"/>
      <c r="C42" s="786"/>
      <c r="D42" s="787"/>
      <c r="E42" s="786">
        <f>IF(SUM(C41:E41)&lt;0.4,1,SUM(C39:E39)/SUM(C41:E41))</f>
        <v>1</v>
      </c>
      <c r="F42" s="786"/>
      <c r="G42" s="787"/>
      <c r="H42" s="786">
        <f>IF(SUM(F41:H41)&lt;0.4,1,SUM(F39:H39)/SUM(F41:H41))</f>
        <v>1</v>
      </c>
      <c r="I42" s="787"/>
      <c r="J42" s="787"/>
      <c r="K42" s="786">
        <f>IF(SUM(I41:K41)&lt;0.4,1,SUM(I39:K39)/SUM(I41:K41))</f>
        <v>1</v>
      </c>
      <c r="L42" s="787"/>
      <c r="M42" s="788"/>
      <c r="N42" s="789">
        <f>IF(SUM(L41:N41)&lt;0.4,1,SUM(L39:N39)/SUM(L41:N41))</f>
        <v>1</v>
      </c>
      <c r="O42" s="790"/>
    </row>
    <row r="43" spans="1:15" ht="18" thickTop="1" x14ac:dyDescent="0.3"/>
  </sheetData>
  <sheetProtection sheet="1" objects="1" scenarios="1" formatCells="0" formatColumns="0"/>
  <phoneticPr fontId="13" type="noConversion"/>
  <conditionalFormatting sqref="C31:N38">
    <cfRule type="expression" dxfId="15" priority="1" stopIfTrue="1">
      <formula>C31=""</formula>
    </cfRule>
  </conditionalFormatting>
  <printOptions horizontalCentered="1"/>
  <pageMargins left="0.57999999999999996" right="0.75" top="0.46" bottom="0.89" header="0" footer="0"/>
  <pageSetup paperSize="9" scale="67" orientation="landscape" horizontalDpi="300"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Hoja47">
    <tabColor rgb="FF7CC9D0"/>
    <pageSetUpPr fitToPage="1"/>
  </sheetPr>
  <dimension ref="A1:P43"/>
  <sheetViews>
    <sheetView showGridLines="0" workbookViewId="0"/>
  </sheetViews>
  <sheetFormatPr baseColWidth="10" defaultRowHeight="17.25" x14ac:dyDescent="0.3"/>
  <cols>
    <col min="1" max="1" width="26.125" style="307" customWidth="1"/>
    <col min="2" max="2" width="9.125" style="307" customWidth="1"/>
    <col min="3" max="3" width="13.5" style="307" customWidth="1"/>
    <col min="4" max="5" width="11" style="307"/>
    <col min="6" max="6" width="12.625" style="307" customWidth="1"/>
    <col min="7" max="8" width="11" style="307"/>
    <col min="9" max="9" width="12" style="307" customWidth="1"/>
    <col min="10" max="11" width="11" style="307"/>
    <col min="12" max="12" width="12" style="307" customWidth="1"/>
    <col min="13" max="14" width="11" style="307"/>
    <col min="15" max="15" width="11.75" style="307" bestFit="1" customWidth="1"/>
    <col min="16" max="17" width="8.625" style="307" customWidth="1"/>
    <col min="18" max="18" width="9.875" style="307" customWidth="1"/>
    <col min="19" max="20" width="8.625" style="307" customWidth="1"/>
    <col min="21" max="16384" width="11" style="307"/>
  </cols>
  <sheetData>
    <row r="1" spans="1:16" s="446" customFormat="1" ht="27.75" x14ac:dyDescent="0.45">
      <c r="A1" s="408" t="s">
        <v>457</v>
      </c>
      <c r="B1" s="445"/>
      <c r="F1" s="792">
        <f>'Datos Básicos'!E16</f>
        <v>3</v>
      </c>
      <c r="G1" s="470">
        <f>'Datos Básicos'!$D$17+1</f>
        <v>2029</v>
      </c>
      <c r="O1" s="305"/>
    </row>
    <row r="2" spans="1:16" s="446" customFormat="1" ht="27.75" x14ac:dyDescent="0.45">
      <c r="A2" s="408">
        <f>'Prev.Ventas 0'!A2</f>
        <v>0</v>
      </c>
      <c r="B2" s="445"/>
      <c r="O2" s="305"/>
    </row>
    <row r="3" spans="1:16" ht="18" thickBot="1" x14ac:dyDescent="0.35">
      <c r="A3" s="728"/>
      <c r="B3" s="445"/>
      <c r="C3" s="445"/>
      <c r="D3" s="305"/>
      <c r="E3" s="305"/>
      <c r="F3" s="305"/>
      <c r="G3" s="305"/>
      <c r="H3" s="305"/>
      <c r="I3" s="305"/>
      <c r="J3" s="305"/>
      <c r="K3" s="305"/>
      <c r="L3" s="305"/>
      <c r="M3" s="305"/>
      <c r="N3" s="305"/>
      <c r="O3" s="305"/>
      <c r="P3" s="305"/>
    </row>
    <row r="4" spans="1:16" ht="18.75" thickTop="1" thickBot="1" x14ac:dyDescent="0.35">
      <c r="A4" s="729" t="s">
        <v>267</v>
      </c>
      <c r="B4" s="460"/>
      <c r="C4" s="461" t="str">
        <f>'Datos Gastos Fijos'!D7</f>
        <v>enero</v>
      </c>
      <c r="D4" s="461" t="str">
        <f>'Datos Gastos Fijos'!E7</f>
        <v>febrero</v>
      </c>
      <c r="E4" s="461" t="str">
        <f>'Datos Gastos Fijos'!F7</f>
        <v>marzo</v>
      </c>
      <c r="F4" s="461" t="str">
        <f>'Datos Gastos Fijos'!G7</f>
        <v>abril</v>
      </c>
      <c r="G4" s="461" t="str">
        <f>'Datos Gastos Fijos'!H7</f>
        <v>mayo</v>
      </c>
      <c r="H4" s="461" t="str">
        <f>'Datos Gastos Fijos'!I7</f>
        <v>junio</v>
      </c>
      <c r="I4" s="461" t="str">
        <f>'Datos Gastos Fijos'!J7</f>
        <v>julio</v>
      </c>
      <c r="J4" s="461" t="str">
        <f>'Datos Gastos Fijos'!K7</f>
        <v>agosto</v>
      </c>
      <c r="K4" s="461" t="str">
        <f>'Datos Gastos Fijos'!L7</f>
        <v>septiembre</v>
      </c>
      <c r="L4" s="461" t="str">
        <f>'Datos Gastos Fijos'!M7</f>
        <v>octubre</v>
      </c>
      <c r="M4" s="461" t="str">
        <f>'Datos Gastos Fijos'!N7</f>
        <v>noviembre</v>
      </c>
      <c r="N4" s="461" t="str">
        <f>'Datos Gastos Fijos'!O7</f>
        <v>diciembre</v>
      </c>
      <c r="O4" s="462" t="s">
        <v>865</v>
      </c>
    </row>
    <row r="5" spans="1:16" x14ac:dyDescent="0.3">
      <c r="A5" s="730" t="s">
        <v>265</v>
      </c>
      <c r="B5" s="731"/>
      <c r="C5" s="981">
        <f>SUMPRODUCT(Parametros!$F$24:$F$31,'Prev.Ventas 3'!B31:B38)</f>
        <v>0</v>
      </c>
      <c r="D5" s="979">
        <f>SUMPRODUCT(Parametros!$F$24:$F$31,'Prev.Ventas 3'!C31:C38)</f>
        <v>0</v>
      </c>
      <c r="E5" s="979">
        <f>SUMPRODUCT(Parametros!$F$24:$F$31,'Prev.Ventas 3'!D31:D38)</f>
        <v>0</v>
      </c>
      <c r="F5" s="979">
        <f>SUMPRODUCT(Parametros!$F$24:$F$31,'Prev.Ventas 3'!E31:E38)</f>
        <v>0</v>
      </c>
      <c r="G5" s="979">
        <f>SUMPRODUCT(Parametros!$F$24:$F$31,'Prev.Ventas 3'!F31:F38)</f>
        <v>0</v>
      </c>
      <c r="H5" s="979">
        <f>SUMPRODUCT(Parametros!$F$24:$F$31,'Prev.Ventas 3'!G31:G38)</f>
        <v>0</v>
      </c>
      <c r="I5" s="979">
        <f>SUMPRODUCT(Parametros!$F$24:$F$31,'Prev.Ventas 3'!H31:H38)</f>
        <v>0</v>
      </c>
      <c r="J5" s="979">
        <f>SUMPRODUCT(Parametros!$F$24:$F$31,'Prev.Ventas 3'!I31:I38)</f>
        <v>0</v>
      </c>
      <c r="K5" s="979">
        <f>SUMPRODUCT(Parametros!$F$24:$F$31,'Prev.Ventas 3'!J31:J38)</f>
        <v>0</v>
      </c>
      <c r="L5" s="979">
        <f>SUMPRODUCT(Parametros!$F$24:$F$31,'Prev.Ventas 3'!K31:K38)</f>
        <v>0</v>
      </c>
      <c r="M5" s="979">
        <f>SUMPRODUCT(Parametros!$F$24:$F$31,'Prev.Ventas 3'!L31:L38)</f>
        <v>0</v>
      </c>
      <c r="N5" s="982">
        <f>SUMPRODUCT(Parametros!$F$24:$F$31,'Prev.Ventas 3'!M31:M38)</f>
        <v>0</v>
      </c>
      <c r="O5" s="732">
        <f>SUM(C5:N5)</f>
        <v>0</v>
      </c>
    </row>
    <row r="6" spans="1:16" x14ac:dyDescent="0.3">
      <c r="A6" s="734" t="s">
        <v>991</v>
      </c>
      <c r="B6" s="733"/>
      <c r="C6" s="979">
        <f>'G.F. 3'!C50</f>
        <v>0</v>
      </c>
      <c r="D6" s="979">
        <f>'G.F. 3'!D50</f>
        <v>0</v>
      </c>
      <c r="E6" s="979">
        <f>'G.F. 3'!E50</f>
        <v>0</v>
      </c>
      <c r="F6" s="979">
        <f>'G.F. 3'!F50</f>
        <v>0</v>
      </c>
      <c r="G6" s="979">
        <f>'G.F. 3'!G50</f>
        <v>0</v>
      </c>
      <c r="H6" s="979">
        <f>'G.F. 3'!H50</f>
        <v>0</v>
      </c>
      <c r="I6" s="979">
        <f>'G.F. 3'!I50</f>
        <v>0</v>
      </c>
      <c r="J6" s="979">
        <f>'G.F. 3'!J50</f>
        <v>0</v>
      </c>
      <c r="K6" s="979">
        <f>'G.F. 3'!K50</f>
        <v>0</v>
      </c>
      <c r="L6" s="979">
        <f>'G.F. 3'!L50</f>
        <v>0</v>
      </c>
      <c r="M6" s="979">
        <f>'G.F. 3'!M50</f>
        <v>0</v>
      </c>
      <c r="N6" s="982">
        <f>'G.F. 3'!N50</f>
        <v>0</v>
      </c>
      <c r="O6" s="732">
        <f>SUM(C6:N6)</f>
        <v>0</v>
      </c>
    </row>
    <row r="7" spans="1:16" x14ac:dyDescent="0.3">
      <c r="A7" s="734" t="s">
        <v>990</v>
      </c>
      <c r="B7" s="735"/>
      <c r="C7" s="979"/>
      <c r="D7" s="979"/>
      <c r="E7" s="979"/>
      <c r="F7" s="979"/>
      <c r="G7" s="979"/>
      <c r="H7" s="979"/>
      <c r="I7" s="979"/>
      <c r="J7" s="979"/>
      <c r="K7" s="979"/>
      <c r="L7" s="979"/>
      <c r="M7" s="979"/>
      <c r="N7" s="982"/>
      <c r="O7" s="732">
        <f>SUM(C7:N7)</f>
        <v>0</v>
      </c>
    </row>
    <row r="8" spans="1:16" ht="18" thickBot="1" x14ac:dyDescent="0.35">
      <c r="A8" s="736" t="s">
        <v>838</v>
      </c>
      <c r="B8" s="737"/>
      <c r="C8" s="983">
        <f>Leasing!B44+Renting!B46</f>
        <v>0</v>
      </c>
      <c r="D8" s="984">
        <f>Leasing!C44+Renting!C46</f>
        <v>0</v>
      </c>
      <c r="E8" s="984">
        <f>Leasing!D44+Renting!D46</f>
        <v>0</v>
      </c>
      <c r="F8" s="984">
        <f>Leasing!E44+Renting!E46</f>
        <v>0</v>
      </c>
      <c r="G8" s="984">
        <f>Leasing!F44+Renting!F46</f>
        <v>0</v>
      </c>
      <c r="H8" s="984">
        <f>Leasing!G44+Renting!G46</f>
        <v>0</v>
      </c>
      <c r="I8" s="984">
        <f>Leasing!H44+Renting!H46</f>
        <v>0</v>
      </c>
      <c r="J8" s="984">
        <f>Leasing!I44+Renting!I46</f>
        <v>0</v>
      </c>
      <c r="K8" s="984">
        <f>Leasing!J44+Renting!J46</f>
        <v>0</v>
      </c>
      <c r="L8" s="984">
        <f>Leasing!K44+Renting!K46</f>
        <v>0</v>
      </c>
      <c r="M8" s="984">
        <f>Leasing!L44+Renting!L46</f>
        <v>0</v>
      </c>
      <c r="N8" s="985">
        <f>Leasing!M44+Renting!M46</f>
        <v>0</v>
      </c>
      <c r="O8" s="738">
        <f>SUM(C8:N8)</f>
        <v>0</v>
      </c>
    </row>
    <row r="9" spans="1:16" ht="18" thickBot="1" x14ac:dyDescent="0.35">
      <c r="A9" s="739"/>
      <c r="B9" s="793" t="s">
        <v>201</v>
      </c>
      <c r="C9" s="741">
        <f t="shared" ref="C9:O9" si="0">SUM(C5:C8)</f>
        <v>0</v>
      </c>
      <c r="D9" s="742">
        <f t="shared" si="0"/>
        <v>0</v>
      </c>
      <c r="E9" s="742">
        <f t="shared" si="0"/>
        <v>0</v>
      </c>
      <c r="F9" s="742">
        <f t="shared" si="0"/>
        <v>0</v>
      </c>
      <c r="G9" s="742">
        <f t="shared" si="0"/>
        <v>0</v>
      </c>
      <c r="H9" s="742">
        <f t="shared" si="0"/>
        <v>0</v>
      </c>
      <c r="I9" s="742">
        <f t="shared" si="0"/>
        <v>0</v>
      </c>
      <c r="J9" s="742">
        <f t="shared" si="0"/>
        <v>0</v>
      </c>
      <c r="K9" s="742">
        <f t="shared" si="0"/>
        <v>0</v>
      </c>
      <c r="L9" s="742">
        <f t="shared" si="0"/>
        <v>0</v>
      </c>
      <c r="M9" s="742">
        <f t="shared" si="0"/>
        <v>0</v>
      </c>
      <c r="N9" s="743">
        <f t="shared" si="0"/>
        <v>0</v>
      </c>
      <c r="O9" s="744">
        <f t="shared" si="0"/>
        <v>0</v>
      </c>
    </row>
    <row r="10" spans="1:16" ht="18.75" thickTop="1" thickBot="1" x14ac:dyDescent="0.35">
      <c r="A10" s="745"/>
      <c r="C10" s="668"/>
      <c r="D10" s="668"/>
      <c r="E10" s="668"/>
      <c r="F10" s="668"/>
      <c r="G10" s="668"/>
      <c r="H10" s="668"/>
      <c r="I10" s="668"/>
      <c r="J10" s="668"/>
      <c r="K10" s="668"/>
      <c r="L10" s="668"/>
      <c r="M10" s="668"/>
      <c r="N10" s="668"/>
      <c r="O10" s="668"/>
    </row>
    <row r="11" spans="1:16" ht="18.75" thickTop="1" thickBot="1" x14ac:dyDescent="0.35">
      <c r="A11" s="746" t="s">
        <v>268</v>
      </c>
      <c r="B11" s="747"/>
      <c r="C11" s="748"/>
      <c r="D11" s="748"/>
      <c r="E11" s="749">
        <f>E42</f>
        <v>1</v>
      </c>
      <c r="F11" s="748"/>
      <c r="G11" s="748"/>
      <c r="H11" s="749">
        <f>H42</f>
        <v>1</v>
      </c>
      <c r="I11" s="748"/>
      <c r="J11" s="748"/>
      <c r="K11" s="749">
        <f>K42</f>
        <v>1</v>
      </c>
      <c r="L11" s="748"/>
      <c r="M11" s="748"/>
      <c r="N11" s="749">
        <f>N42</f>
        <v>1</v>
      </c>
      <c r="O11" s="750"/>
    </row>
    <row r="12" spans="1:16" x14ac:dyDescent="0.3">
      <c r="A12" s="751" t="s">
        <v>200</v>
      </c>
      <c r="B12" s="752"/>
      <c r="C12" s="977">
        <f>$E$11*C9</f>
        <v>0</v>
      </c>
      <c r="D12" s="977">
        <f>$E$11*D9</f>
        <v>0</v>
      </c>
      <c r="E12" s="977">
        <f>$E$11*E9</f>
        <v>0</v>
      </c>
      <c r="F12" s="977">
        <f>$H$11*F9</f>
        <v>0</v>
      </c>
      <c r="G12" s="977">
        <f>$H$11*G9</f>
        <v>0</v>
      </c>
      <c r="H12" s="977">
        <f>$H$11*H9</f>
        <v>0</v>
      </c>
      <c r="I12" s="977">
        <f>$K$11*I9</f>
        <v>0</v>
      </c>
      <c r="J12" s="977">
        <f>$K$11*J9</f>
        <v>0</v>
      </c>
      <c r="K12" s="977">
        <f>$K$11*K9</f>
        <v>0</v>
      </c>
      <c r="L12" s="977">
        <f>$N$11*L9</f>
        <v>0</v>
      </c>
      <c r="M12" s="977">
        <f>$N$11*M9</f>
        <v>0</v>
      </c>
      <c r="N12" s="977">
        <f>$N$11*N9</f>
        <v>0</v>
      </c>
      <c r="O12" s="753">
        <f>SUM(C12:N12)</f>
        <v>0</v>
      </c>
    </row>
    <row r="13" spans="1:16" ht="16.5" customHeight="1" thickBot="1" x14ac:dyDescent="0.35">
      <c r="A13" s="754" t="s">
        <v>202</v>
      </c>
      <c r="B13" s="755"/>
      <c r="C13" s="978">
        <f t="shared" ref="C13:N13" si="1">C9-C12</f>
        <v>0</v>
      </c>
      <c r="D13" s="978">
        <f t="shared" si="1"/>
        <v>0</v>
      </c>
      <c r="E13" s="978">
        <f t="shared" si="1"/>
        <v>0</v>
      </c>
      <c r="F13" s="978">
        <f t="shared" si="1"/>
        <v>0</v>
      </c>
      <c r="G13" s="978">
        <f t="shared" si="1"/>
        <v>0</v>
      </c>
      <c r="H13" s="978">
        <f t="shared" si="1"/>
        <v>0</v>
      </c>
      <c r="I13" s="978">
        <f t="shared" si="1"/>
        <v>0</v>
      </c>
      <c r="J13" s="978">
        <f t="shared" si="1"/>
        <v>0</v>
      </c>
      <c r="K13" s="978">
        <f t="shared" si="1"/>
        <v>0</v>
      </c>
      <c r="L13" s="978">
        <f t="shared" si="1"/>
        <v>0</v>
      </c>
      <c r="M13" s="978">
        <f t="shared" si="1"/>
        <v>0</v>
      </c>
      <c r="N13" s="978">
        <f t="shared" si="1"/>
        <v>0</v>
      </c>
      <c r="O13" s="756">
        <f>SUM(C13:N13)</f>
        <v>0</v>
      </c>
    </row>
    <row r="14" spans="1:16" ht="18" thickTop="1" x14ac:dyDescent="0.3"/>
    <row r="15" spans="1:16" x14ac:dyDescent="0.3">
      <c r="A15" s="303"/>
      <c r="B15" s="303"/>
      <c r="D15" s="368" t="s">
        <v>8</v>
      </c>
      <c r="E15" s="442" t="str">
        <f>Parametros!$F$35</f>
        <v>No</v>
      </c>
    </row>
    <row r="17" spans="1:15" ht="28.5" thickBot="1" x14ac:dyDescent="0.5">
      <c r="A17" s="408" t="s">
        <v>458</v>
      </c>
      <c r="B17" s="445"/>
      <c r="C17" s="446"/>
      <c r="D17" s="446"/>
      <c r="F17" s="409"/>
    </row>
    <row r="18" spans="1:15" ht="18" thickTop="1" x14ac:dyDescent="0.3">
      <c r="A18" s="757"/>
      <c r="B18" s="758"/>
      <c r="C18" s="758" t="str">
        <f t="shared" ref="C18:N18" si="2">C$4</f>
        <v>enero</v>
      </c>
      <c r="D18" s="758" t="str">
        <f t="shared" si="2"/>
        <v>febrero</v>
      </c>
      <c r="E18" s="758" t="str">
        <f t="shared" si="2"/>
        <v>marzo</v>
      </c>
      <c r="F18" s="758" t="str">
        <f t="shared" si="2"/>
        <v>abril</v>
      </c>
      <c r="G18" s="758" t="str">
        <f t="shared" si="2"/>
        <v>mayo</v>
      </c>
      <c r="H18" s="758" t="str">
        <f t="shared" si="2"/>
        <v>junio</v>
      </c>
      <c r="I18" s="758" t="str">
        <f t="shared" si="2"/>
        <v>julio</v>
      </c>
      <c r="J18" s="758" t="str">
        <f t="shared" si="2"/>
        <v>agosto</v>
      </c>
      <c r="K18" s="758" t="str">
        <f t="shared" si="2"/>
        <v>septiembre</v>
      </c>
      <c r="L18" s="758" t="str">
        <f t="shared" si="2"/>
        <v>octubre</v>
      </c>
      <c r="M18" s="758" t="str">
        <f t="shared" si="2"/>
        <v>noviembre</v>
      </c>
      <c r="N18" s="758" t="str">
        <f t="shared" si="2"/>
        <v>diciembre</v>
      </c>
      <c r="O18" s="759" t="s">
        <v>865</v>
      </c>
    </row>
    <row r="19" spans="1:15" x14ac:dyDescent="0.3">
      <c r="A19" s="727" t="s">
        <v>989</v>
      </c>
      <c r="B19" s="610"/>
      <c r="C19" s="979">
        <f>SUMPRODUCT(Parametros!$E$24:$E$31,'Prev.Ventas 3'!B17:B24)</f>
        <v>0</v>
      </c>
      <c r="D19" s="979">
        <f>SUMPRODUCT(Parametros!$E$24:$E$31,'Prev.Ventas 3'!C17:C24)</f>
        <v>0</v>
      </c>
      <c r="E19" s="979">
        <f>SUMPRODUCT(Parametros!$E$24:$E$31,'Prev.Ventas 3'!D17:D24)</f>
        <v>0</v>
      </c>
      <c r="F19" s="979">
        <f>SUMPRODUCT(Parametros!$E$24:$E$31,'Prev.Ventas 3'!E17:E24)</f>
        <v>0</v>
      </c>
      <c r="G19" s="979">
        <f>SUMPRODUCT(Parametros!$E$24:$E$31,'Prev.Ventas 3'!F17:F24)</f>
        <v>0</v>
      </c>
      <c r="H19" s="979">
        <f>SUMPRODUCT(Parametros!$E$24:$E$31,'Prev.Ventas 3'!G17:G24)</f>
        <v>0</v>
      </c>
      <c r="I19" s="979">
        <f>SUMPRODUCT(Parametros!$E$24:$E$31,'Prev.Ventas 3'!H17:H24)</f>
        <v>0</v>
      </c>
      <c r="J19" s="979">
        <f>SUMPRODUCT(Parametros!$E$24:$E$31,'Prev.Ventas 3'!I17:I24)</f>
        <v>0</v>
      </c>
      <c r="K19" s="979">
        <f>SUMPRODUCT(Parametros!$E$24:$E$31,'Prev.Ventas 3'!J17:J24)</f>
        <v>0</v>
      </c>
      <c r="L19" s="979">
        <f>SUMPRODUCT(Parametros!$E$24:$E$31,'Prev.Ventas 3'!K17:K24)</f>
        <v>0</v>
      </c>
      <c r="M19" s="979">
        <f>SUMPRODUCT(Parametros!$E$24:$E$31,'Prev.Ventas 3'!L17:L24)</f>
        <v>0</v>
      </c>
      <c r="N19" s="979">
        <f>SUMPRODUCT(Parametros!$E$24:$E$31,'Prev.Ventas 3'!M17:M24)</f>
        <v>0</v>
      </c>
      <c r="O19" s="760">
        <f>SUM(C19:N19)</f>
        <v>0</v>
      </c>
    </row>
    <row r="20" spans="1:15" x14ac:dyDescent="0.3">
      <c r="A20" s="727" t="s">
        <v>200</v>
      </c>
      <c r="B20" s="610"/>
      <c r="C20" s="979">
        <f t="shared" ref="C20:N20" si="3">C12</f>
        <v>0</v>
      </c>
      <c r="D20" s="979">
        <f t="shared" si="3"/>
        <v>0</v>
      </c>
      <c r="E20" s="979">
        <f t="shared" si="3"/>
        <v>0</v>
      </c>
      <c r="F20" s="979">
        <f t="shared" si="3"/>
        <v>0</v>
      </c>
      <c r="G20" s="979">
        <f t="shared" si="3"/>
        <v>0</v>
      </c>
      <c r="H20" s="979">
        <f t="shared" si="3"/>
        <v>0</v>
      </c>
      <c r="I20" s="979">
        <f t="shared" si="3"/>
        <v>0</v>
      </c>
      <c r="J20" s="979">
        <f t="shared" si="3"/>
        <v>0</v>
      </c>
      <c r="K20" s="979">
        <f t="shared" si="3"/>
        <v>0</v>
      </c>
      <c r="L20" s="979">
        <f t="shared" si="3"/>
        <v>0</v>
      </c>
      <c r="M20" s="979">
        <f t="shared" si="3"/>
        <v>0</v>
      </c>
      <c r="N20" s="979">
        <f t="shared" si="3"/>
        <v>0</v>
      </c>
      <c r="O20" s="760">
        <f>SUM(C20:N20)</f>
        <v>0</v>
      </c>
    </row>
    <row r="21" spans="1:15" ht="18" thickBot="1" x14ac:dyDescent="0.35">
      <c r="A21" s="727" t="s">
        <v>992</v>
      </c>
      <c r="B21" s="761"/>
      <c r="C21" s="980">
        <f t="shared" ref="C21:N21" si="4">C19-C20</f>
        <v>0</v>
      </c>
      <c r="D21" s="980">
        <f t="shared" si="4"/>
        <v>0</v>
      </c>
      <c r="E21" s="980">
        <f t="shared" si="4"/>
        <v>0</v>
      </c>
      <c r="F21" s="980">
        <f t="shared" si="4"/>
        <v>0</v>
      </c>
      <c r="G21" s="980">
        <f t="shared" si="4"/>
        <v>0</v>
      </c>
      <c r="H21" s="980">
        <f t="shared" si="4"/>
        <v>0</v>
      </c>
      <c r="I21" s="980">
        <f t="shared" si="4"/>
        <v>0</v>
      </c>
      <c r="J21" s="980">
        <f t="shared" si="4"/>
        <v>0</v>
      </c>
      <c r="K21" s="980">
        <f t="shared" si="4"/>
        <v>0</v>
      </c>
      <c r="L21" s="980">
        <f t="shared" si="4"/>
        <v>0</v>
      </c>
      <c r="M21" s="980">
        <f t="shared" si="4"/>
        <v>0</v>
      </c>
      <c r="N21" s="980">
        <f t="shared" si="4"/>
        <v>0</v>
      </c>
      <c r="O21" s="760">
        <f>SUM(C21:N21)</f>
        <v>0</v>
      </c>
    </row>
    <row r="22" spans="1:15" ht="19.5" customHeight="1" thickTop="1" x14ac:dyDescent="0.3">
      <c r="A22" s="762" t="s">
        <v>997</v>
      </c>
      <c r="B22" s="763"/>
      <c r="C22" s="764">
        <f>'IVA 2'!O22</f>
        <v>0</v>
      </c>
      <c r="D22" s="765"/>
      <c r="E22" s="765"/>
      <c r="F22" s="765">
        <f>IF(C22&gt;0,SUM(C21:E21),C22+SUM(C21:E21))</f>
        <v>0</v>
      </c>
      <c r="G22" s="765"/>
      <c r="H22" s="765"/>
      <c r="I22" s="765">
        <f>IF(F22&gt;0,SUM(F21:H21),F22+SUM(F21:H21))</f>
        <v>0</v>
      </c>
      <c r="J22" s="765"/>
      <c r="K22" s="765"/>
      <c r="L22" s="765">
        <f>IF(I22&gt;0,SUM(I21:K21),I22+SUM(I21:K21))</f>
        <v>0</v>
      </c>
      <c r="M22" s="765"/>
      <c r="N22" s="765"/>
      <c r="O22" s="766">
        <f>IF(L22&gt;0,SUM(L21:N21),L22+SUM(L21:N21))</f>
        <v>0</v>
      </c>
    </row>
    <row r="23" spans="1:15" ht="10.5" customHeight="1" x14ac:dyDescent="0.3">
      <c r="A23" s="767"/>
      <c r="B23" s="610"/>
      <c r="C23" s="610"/>
      <c r="D23" s="610"/>
      <c r="E23" s="610"/>
      <c r="F23" s="610"/>
      <c r="G23" s="610"/>
      <c r="H23" s="610"/>
      <c r="I23" s="610"/>
      <c r="J23" s="610"/>
      <c r="K23" s="610"/>
      <c r="L23" s="610"/>
      <c r="M23" s="610"/>
      <c r="N23" s="610"/>
      <c r="O23" s="768"/>
    </row>
    <row r="24" spans="1:15" ht="19.5" customHeight="1" thickBot="1" x14ac:dyDescent="0.35">
      <c r="A24" s="769" t="s">
        <v>993</v>
      </c>
      <c r="B24" s="755"/>
      <c r="C24" s="770">
        <f>IF(AND(E15="No",C22&gt;0),C22,0)</f>
        <v>0</v>
      </c>
      <c r="D24" s="771"/>
      <c r="E24" s="771"/>
      <c r="F24" s="771">
        <f>IF(AND(E15="No",F22&gt;0),F22,0)</f>
        <v>0</v>
      </c>
      <c r="G24" s="771"/>
      <c r="H24" s="771"/>
      <c r="I24" s="771">
        <f>IF(AND(E15="No",I22&gt;0),I22,0)</f>
        <v>0</v>
      </c>
      <c r="J24" s="771"/>
      <c r="K24" s="771"/>
      <c r="L24" s="771">
        <f>IF(AND($E$15="No",L22&gt;0),L22,0)</f>
        <v>0</v>
      </c>
      <c r="M24" s="771"/>
      <c r="N24" s="771"/>
      <c r="O24" s="772">
        <f>IF(AND($E$15="No",O22&gt;0),O22,0)</f>
        <v>0</v>
      </c>
    </row>
    <row r="25" spans="1:15" ht="9" customHeight="1" thickTop="1" thickBot="1" x14ac:dyDescent="0.35"/>
    <row r="26" spans="1:15" ht="18.75" thickTop="1" thickBot="1" x14ac:dyDescent="0.35">
      <c r="A26" s="773" t="s">
        <v>7</v>
      </c>
      <c r="B26" s="774"/>
      <c r="C26" s="775">
        <f>'IVA 2'!O26</f>
        <v>0</v>
      </c>
      <c r="D26" s="776"/>
      <c r="E26" s="776"/>
      <c r="F26" s="776">
        <f>IF($E$15="Si",SUM(C21:E21),0)</f>
        <v>0</v>
      </c>
      <c r="G26" s="776"/>
      <c r="H26" s="776"/>
      <c r="I26" s="776">
        <f>IF($E$15="Si",SUM(F21:H21),0)</f>
        <v>0</v>
      </c>
      <c r="J26" s="776"/>
      <c r="K26" s="776"/>
      <c r="L26" s="776">
        <f>IF($E$15="Si",SUM(I21:K21),0)</f>
        <v>0</v>
      </c>
      <c r="M26" s="776"/>
      <c r="N26" s="776"/>
      <c r="O26" s="777">
        <f>IF($E$15="Si",SUM(L21:N21),0)</f>
        <v>0</v>
      </c>
    </row>
    <row r="27" spans="1:15" ht="18" thickTop="1" x14ac:dyDescent="0.3"/>
    <row r="29" spans="1:15" ht="28.5" thickBot="1" x14ac:dyDescent="0.5">
      <c r="A29" s="408" t="s">
        <v>459</v>
      </c>
      <c r="D29" s="409"/>
      <c r="E29" s="409"/>
    </row>
    <row r="30" spans="1:15" ht="18.75" thickTop="1" thickBot="1" x14ac:dyDescent="0.35">
      <c r="A30" s="677" t="s">
        <v>995</v>
      </c>
      <c r="B30" s="447" t="s">
        <v>949</v>
      </c>
      <c r="C30" s="460" t="str">
        <f t="shared" ref="C30:N30" si="5">C$4</f>
        <v>enero</v>
      </c>
      <c r="D30" s="461" t="str">
        <f t="shared" si="5"/>
        <v>febrero</v>
      </c>
      <c r="E30" s="461" t="str">
        <f t="shared" si="5"/>
        <v>marzo</v>
      </c>
      <c r="F30" s="461" t="str">
        <f t="shared" si="5"/>
        <v>abril</v>
      </c>
      <c r="G30" s="461" t="str">
        <f t="shared" si="5"/>
        <v>mayo</v>
      </c>
      <c r="H30" s="461" t="str">
        <f t="shared" si="5"/>
        <v>junio</v>
      </c>
      <c r="I30" s="461" t="str">
        <f t="shared" si="5"/>
        <v>julio</v>
      </c>
      <c r="J30" s="461" t="str">
        <f t="shared" si="5"/>
        <v>agosto</v>
      </c>
      <c r="K30" s="461" t="str">
        <f t="shared" si="5"/>
        <v>septiembre</v>
      </c>
      <c r="L30" s="461" t="str">
        <f t="shared" si="5"/>
        <v>octubre</v>
      </c>
      <c r="M30" s="461" t="str">
        <f t="shared" si="5"/>
        <v>noviembre</v>
      </c>
      <c r="N30" s="461" t="str">
        <f t="shared" si="5"/>
        <v>diciembre</v>
      </c>
      <c r="O30" s="462" t="s">
        <v>865</v>
      </c>
    </row>
    <row r="31" spans="1:15" x14ac:dyDescent="0.3">
      <c r="A31" s="696" t="str">
        <f>'Estimacion Ventas'!A12</f>
        <v/>
      </c>
      <c r="B31" s="778">
        <f>Parametros!E24</f>
        <v>0.21</v>
      </c>
      <c r="C31" s="959">
        <f>'Prev.Ventas 3'!B17</f>
        <v>0</v>
      </c>
      <c r="D31" s="959">
        <f>'Prev.Ventas 3'!C17</f>
        <v>0</v>
      </c>
      <c r="E31" s="959">
        <f>'Prev.Ventas 3'!D17</f>
        <v>0</v>
      </c>
      <c r="F31" s="959">
        <f>'Prev.Ventas 3'!E17</f>
        <v>0</v>
      </c>
      <c r="G31" s="959">
        <f>'Prev.Ventas 3'!F17</f>
        <v>0</v>
      </c>
      <c r="H31" s="959">
        <f>'Prev.Ventas 3'!G17</f>
        <v>0</v>
      </c>
      <c r="I31" s="959">
        <f>'Prev.Ventas 3'!H17</f>
        <v>0</v>
      </c>
      <c r="J31" s="959">
        <f>'Prev.Ventas 3'!I17</f>
        <v>0</v>
      </c>
      <c r="K31" s="959">
        <f>'Prev.Ventas 3'!J17</f>
        <v>0</v>
      </c>
      <c r="L31" s="959">
        <f>'Prev.Ventas 3'!K17</f>
        <v>0</v>
      </c>
      <c r="M31" s="959">
        <f>'Prev.Ventas 3'!L17</f>
        <v>0</v>
      </c>
      <c r="N31" s="959">
        <f>'Prev.Ventas 3'!M17</f>
        <v>0</v>
      </c>
      <c r="O31" s="960">
        <f t="shared" ref="O31:O41" si="6">SUM(C31:N31)</f>
        <v>0</v>
      </c>
    </row>
    <row r="32" spans="1:15" x14ac:dyDescent="0.3">
      <c r="A32" s="779" t="str">
        <f>'Estimacion Ventas'!A13</f>
        <v/>
      </c>
      <c r="B32" s="780">
        <f>Parametros!E25</f>
        <v>0.21</v>
      </c>
      <c r="C32" s="961">
        <f>'Prev.Ventas 3'!B18</f>
        <v>0</v>
      </c>
      <c r="D32" s="961">
        <f>'Prev.Ventas 3'!C18</f>
        <v>0</v>
      </c>
      <c r="E32" s="961">
        <f>'Prev.Ventas 3'!D18</f>
        <v>0</v>
      </c>
      <c r="F32" s="961">
        <f>'Prev.Ventas 3'!E18</f>
        <v>0</v>
      </c>
      <c r="G32" s="961">
        <f>'Prev.Ventas 3'!F18</f>
        <v>0</v>
      </c>
      <c r="H32" s="961">
        <f>'Prev.Ventas 3'!G18</f>
        <v>0</v>
      </c>
      <c r="I32" s="961">
        <f>'Prev.Ventas 3'!H18</f>
        <v>0</v>
      </c>
      <c r="J32" s="961">
        <f>'Prev.Ventas 3'!I18</f>
        <v>0</v>
      </c>
      <c r="K32" s="961">
        <f>'Prev.Ventas 3'!J18</f>
        <v>0</v>
      </c>
      <c r="L32" s="961">
        <f>'Prev.Ventas 3'!K18</f>
        <v>0</v>
      </c>
      <c r="M32" s="961">
        <f>'Prev.Ventas 3'!L18</f>
        <v>0</v>
      </c>
      <c r="N32" s="961">
        <f>'Prev.Ventas 3'!M18</f>
        <v>0</v>
      </c>
      <c r="O32" s="962">
        <f t="shared" si="6"/>
        <v>0</v>
      </c>
    </row>
    <row r="33" spans="1:15" x14ac:dyDescent="0.3">
      <c r="A33" s="779" t="str">
        <f>'Estimacion Ventas'!A14</f>
        <v/>
      </c>
      <c r="B33" s="780">
        <f>Parametros!E26</f>
        <v>0.21</v>
      </c>
      <c r="C33" s="961">
        <f>'Prev.Ventas 3'!B19</f>
        <v>0</v>
      </c>
      <c r="D33" s="961">
        <f>'Prev.Ventas 3'!C19</f>
        <v>0</v>
      </c>
      <c r="E33" s="961">
        <f>'Prev.Ventas 3'!D19</f>
        <v>0</v>
      </c>
      <c r="F33" s="961">
        <f>'Prev.Ventas 3'!E19</f>
        <v>0</v>
      </c>
      <c r="G33" s="961">
        <f>'Prev.Ventas 3'!F19</f>
        <v>0</v>
      </c>
      <c r="H33" s="961">
        <f>'Prev.Ventas 3'!G19</f>
        <v>0</v>
      </c>
      <c r="I33" s="961">
        <f>'Prev.Ventas 3'!H19</f>
        <v>0</v>
      </c>
      <c r="J33" s="961">
        <f>'Prev.Ventas 3'!I19</f>
        <v>0</v>
      </c>
      <c r="K33" s="961">
        <f>'Prev.Ventas 3'!J19</f>
        <v>0</v>
      </c>
      <c r="L33" s="961">
        <f>'Prev.Ventas 3'!K19</f>
        <v>0</v>
      </c>
      <c r="M33" s="961">
        <f>'Prev.Ventas 3'!L19</f>
        <v>0</v>
      </c>
      <c r="N33" s="961">
        <f>'Prev.Ventas 3'!M19</f>
        <v>0</v>
      </c>
      <c r="O33" s="962">
        <f t="shared" si="6"/>
        <v>0</v>
      </c>
    </row>
    <row r="34" spans="1:15" x14ac:dyDescent="0.3">
      <c r="A34" s="779" t="str">
        <f>'Estimacion Ventas'!A15</f>
        <v/>
      </c>
      <c r="B34" s="780">
        <f>Parametros!E27</f>
        <v>0.21</v>
      </c>
      <c r="C34" s="961">
        <f>'Prev.Ventas 3'!B20</f>
        <v>0</v>
      </c>
      <c r="D34" s="961">
        <f>'Prev.Ventas 3'!C20</f>
        <v>0</v>
      </c>
      <c r="E34" s="961">
        <f>'Prev.Ventas 3'!D20</f>
        <v>0</v>
      </c>
      <c r="F34" s="961">
        <f>'Prev.Ventas 3'!E20</f>
        <v>0</v>
      </c>
      <c r="G34" s="961">
        <f>'Prev.Ventas 3'!F20</f>
        <v>0</v>
      </c>
      <c r="H34" s="961">
        <f>'Prev.Ventas 3'!G20</f>
        <v>0</v>
      </c>
      <c r="I34" s="961">
        <f>'Prev.Ventas 3'!H20</f>
        <v>0</v>
      </c>
      <c r="J34" s="961">
        <f>'Prev.Ventas 3'!I20</f>
        <v>0</v>
      </c>
      <c r="K34" s="961">
        <f>'Prev.Ventas 3'!J20</f>
        <v>0</v>
      </c>
      <c r="L34" s="961">
        <f>'Prev.Ventas 3'!K20</f>
        <v>0</v>
      </c>
      <c r="M34" s="961">
        <f>'Prev.Ventas 3'!L20</f>
        <v>0</v>
      </c>
      <c r="N34" s="961">
        <f>'Prev.Ventas 3'!M20</f>
        <v>0</v>
      </c>
      <c r="O34" s="962">
        <f t="shared" si="6"/>
        <v>0</v>
      </c>
    </row>
    <row r="35" spans="1:15" x14ac:dyDescent="0.3">
      <c r="A35" s="779" t="str">
        <f>'Estimacion Ventas'!A16</f>
        <v/>
      </c>
      <c r="B35" s="780">
        <f>Parametros!E28</f>
        <v>0.21</v>
      </c>
      <c r="C35" s="961">
        <f>'Prev.Ventas 3'!B21</f>
        <v>0</v>
      </c>
      <c r="D35" s="961">
        <f>'Prev.Ventas 3'!C21</f>
        <v>0</v>
      </c>
      <c r="E35" s="961">
        <f>'Prev.Ventas 3'!D21</f>
        <v>0</v>
      </c>
      <c r="F35" s="961">
        <f>'Prev.Ventas 3'!E21</f>
        <v>0</v>
      </c>
      <c r="G35" s="961">
        <f>'Prev.Ventas 3'!F21</f>
        <v>0</v>
      </c>
      <c r="H35" s="961">
        <f>'Prev.Ventas 3'!G21</f>
        <v>0</v>
      </c>
      <c r="I35" s="961">
        <f>'Prev.Ventas 3'!H21</f>
        <v>0</v>
      </c>
      <c r="J35" s="961">
        <f>'Prev.Ventas 3'!I21</f>
        <v>0</v>
      </c>
      <c r="K35" s="961">
        <f>'Prev.Ventas 3'!J21</f>
        <v>0</v>
      </c>
      <c r="L35" s="961">
        <f>'Prev.Ventas 3'!K21</f>
        <v>0</v>
      </c>
      <c r="M35" s="961">
        <f>'Prev.Ventas 3'!L21</f>
        <v>0</v>
      </c>
      <c r="N35" s="961">
        <f>'Prev.Ventas 3'!M21</f>
        <v>0</v>
      </c>
      <c r="O35" s="962">
        <f t="shared" si="6"/>
        <v>0</v>
      </c>
    </row>
    <row r="36" spans="1:15" x14ac:dyDescent="0.3">
      <c r="A36" s="779" t="str">
        <f>'Estimacion Ventas'!A17</f>
        <v/>
      </c>
      <c r="B36" s="780">
        <f>Parametros!E29</f>
        <v>0</v>
      </c>
      <c r="C36" s="961">
        <f>'Prev.Ventas 3'!B22</f>
        <v>0</v>
      </c>
      <c r="D36" s="961">
        <f>'Prev.Ventas 3'!C22</f>
        <v>0</v>
      </c>
      <c r="E36" s="961">
        <f>'Prev.Ventas 3'!D22</f>
        <v>0</v>
      </c>
      <c r="F36" s="961">
        <f>'Prev.Ventas 3'!E22</f>
        <v>0</v>
      </c>
      <c r="G36" s="961">
        <f>'Prev.Ventas 3'!F22</f>
        <v>0</v>
      </c>
      <c r="H36" s="961">
        <f>'Prev.Ventas 3'!G22</f>
        <v>0</v>
      </c>
      <c r="I36" s="961">
        <f>'Prev.Ventas 3'!H22</f>
        <v>0</v>
      </c>
      <c r="J36" s="961">
        <f>'Prev.Ventas 3'!I22</f>
        <v>0</v>
      </c>
      <c r="K36" s="961">
        <f>'Prev.Ventas 3'!J22</f>
        <v>0</v>
      </c>
      <c r="L36" s="961">
        <f>'Prev.Ventas 3'!K22</f>
        <v>0</v>
      </c>
      <c r="M36" s="961">
        <f>'Prev.Ventas 3'!L22</f>
        <v>0</v>
      </c>
      <c r="N36" s="961">
        <f>'Prev.Ventas 3'!M22</f>
        <v>0</v>
      </c>
      <c r="O36" s="962">
        <f t="shared" si="6"/>
        <v>0</v>
      </c>
    </row>
    <row r="37" spans="1:15" x14ac:dyDescent="0.3">
      <c r="A37" s="779" t="str">
        <f>'Estimacion Ventas'!A18</f>
        <v/>
      </c>
      <c r="B37" s="780">
        <f>Parametros!E30</f>
        <v>0</v>
      </c>
      <c r="C37" s="961">
        <f>'Prev.Ventas 3'!B23</f>
        <v>0</v>
      </c>
      <c r="D37" s="961">
        <f>'Prev.Ventas 3'!C23</f>
        <v>0</v>
      </c>
      <c r="E37" s="961">
        <f>'Prev.Ventas 3'!D23</f>
        <v>0</v>
      </c>
      <c r="F37" s="961">
        <f>'Prev.Ventas 3'!E23</f>
        <v>0</v>
      </c>
      <c r="G37" s="961">
        <f>'Prev.Ventas 3'!F23</f>
        <v>0</v>
      </c>
      <c r="H37" s="961">
        <f>'Prev.Ventas 3'!G23</f>
        <v>0</v>
      </c>
      <c r="I37" s="961">
        <f>'Prev.Ventas 3'!H23</f>
        <v>0</v>
      </c>
      <c r="J37" s="961">
        <f>'Prev.Ventas 3'!I23</f>
        <v>0</v>
      </c>
      <c r="K37" s="961">
        <f>'Prev.Ventas 3'!J23</f>
        <v>0</v>
      </c>
      <c r="L37" s="961">
        <f>'Prev.Ventas 3'!K23</f>
        <v>0</v>
      </c>
      <c r="M37" s="961">
        <f>'Prev.Ventas 3'!L23</f>
        <v>0</v>
      </c>
      <c r="N37" s="961">
        <f>'Prev.Ventas 3'!M23</f>
        <v>0</v>
      </c>
      <c r="O37" s="962">
        <f t="shared" si="6"/>
        <v>0</v>
      </c>
    </row>
    <row r="38" spans="1:15" ht="18" thickBot="1" x14ac:dyDescent="0.35">
      <c r="A38" s="781" t="str">
        <f>'Estimacion Ventas'!A19</f>
        <v/>
      </c>
      <c r="B38" s="782">
        <f>Parametros!E31</f>
        <v>0</v>
      </c>
      <c r="C38" s="963">
        <f>'Prev.Ventas 3'!B24</f>
        <v>0</v>
      </c>
      <c r="D38" s="963">
        <f>'Prev.Ventas 3'!C24</f>
        <v>0</v>
      </c>
      <c r="E38" s="963">
        <f>'Prev.Ventas 3'!D24</f>
        <v>0</v>
      </c>
      <c r="F38" s="963">
        <f>'Prev.Ventas 3'!E24</f>
        <v>0</v>
      </c>
      <c r="G38" s="963">
        <f>'Prev.Ventas 3'!F24</f>
        <v>0</v>
      </c>
      <c r="H38" s="963">
        <f>'Prev.Ventas 3'!G24</f>
        <v>0</v>
      </c>
      <c r="I38" s="963">
        <f>'Prev.Ventas 3'!H24</f>
        <v>0</v>
      </c>
      <c r="J38" s="963">
        <f>'Prev.Ventas 3'!I24</f>
        <v>0</v>
      </c>
      <c r="K38" s="963">
        <f>'Prev.Ventas 3'!J24</f>
        <v>0</v>
      </c>
      <c r="L38" s="963">
        <f>'Prev.Ventas 3'!K24</f>
        <v>0</v>
      </c>
      <c r="M38" s="963">
        <f>'Prev.Ventas 3'!L24</f>
        <v>0</v>
      </c>
      <c r="N38" s="963">
        <f>'Prev.Ventas 3'!M24</f>
        <v>0</v>
      </c>
      <c r="O38" s="964">
        <f t="shared" si="6"/>
        <v>0</v>
      </c>
    </row>
    <row r="39" spans="1:15" ht="18" thickBot="1" x14ac:dyDescent="0.35">
      <c r="A39" s="783" t="s">
        <v>197</v>
      </c>
      <c r="B39" s="443"/>
      <c r="C39" s="965">
        <f t="shared" ref="C39:N39" si="7">SUMIF($B$31:$B$38,"&lt;&gt;0",C31:C38)</f>
        <v>0</v>
      </c>
      <c r="D39" s="966">
        <f t="shared" si="7"/>
        <v>0</v>
      </c>
      <c r="E39" s="967">
        <f t="shared" si="7"/>
        <v>0</v>
      </c>
      <c r="F39" s="967">
        <f t="shared" si="7"/>
        <v>0</v>
      </c>
      <c r="G39" s="967">
        <f t="shared" si="7"/>
        <v>0</v>
      </c>
      <c r="H39" s="967">
        <f t="shared" si="7"/>
        <v>0</v>
      </c>
      <c r="I39" s="967">
        <f t="shared" si="7"/>
        <v>0</v>
      </c>
      <c r="J39" s="967">
        <f t="shared" si="7"/>
        <v>0</v>
      </c>
      <c r="K39" s="967">
        <f t="shared" si="7"/>
        <v>0</v>
      </c>
      <c r="L39" s="967">
        <f t="shared" si="7"/>
        <v>0</v>
      </c>
      <c r="M39" s="967">
        <f t="shared" si="7"/>
        <v>0</v>
      </c>
      <c r="N39" s="968">
        <f t="shared" si="7"/>
        <v>0</v>
      </c>
      <c r="O39" s="969">
        <f t="shared" si="6"/>
        <v>0</v>
      </c>
    </row>
    <row r="40" spans="1:15" ht="18" thickBot="1" x14ac:dyDescent="0.35">
      <c r="A40" s="783" t="s">
        <v>198</v>
      </c>
      <c r="B40" s="443"/>
      <c r="C40" s="970">
        <f t="shared" ref="C40:N40" si="8">SUMIF($B$31:$B$38,"=0",C31:C38)</f>
        <v>0</v>
      </c>
      <c r="D40" s="971">
        <f t="shared" si="8"/>
        <v>0</v>
      </c>
      <c r="E40" s="971">
        <f t="shared" si="8"/>
        <v>0</v>
      </c>
      <c r="F40" s="971">
        <f t="shared" si="8"/>
        <v>0</v>
      </c>
      <c r="G40" s="971">
        <f t="shared" si="8"/>
        <v>0</v>
      </c>
      <c r="H40" s="971">
        <f t="shared" si="8"/>
        <v>0</v>
      </c>
      <c r="I40" s="971">
        <f t="shared" si="8"/>
        <v>0</v>
      </c>
      <c r="J40" s="971">
        <f t="shared" si="8"/>
        <v>0</v>
      </c>
      <c r="K40" s="971">
        <f t="shared" si="8"/>
        <v>0</v>
      </c>
      <c r="L40" s="971">
        <f t="shared" si="8"/>
        <v>0</v>
      </c>
      <c r="M40" s="971">
        <f t="shared" si="8"/>
        <v>0</v>
      </c>
      <c r="N40" s="972">
        <f t="shared" si="8"/>
        <v>0</v>
      </c>
      <c r="O40" s="973">
        <f t="shared" si="6"/>
        <v>0</v>
      </c>
    </row>
    <row r="41" spans="1:15" ht="18" thickBot="1" x14ac:dyDescent="0.35">
      <c r="A41" s="783" t="s">
        <v>196</v>
      </c>
      <c r="B41" s="443"/>
      <c r="C41" s="974">
        <f t="shared" ref="C41:N41" si="9">C40+C39</f>
        <v>0</v>
      </c>
      <c r="D41" s="975">
        <f t="shared" si="9"/>
        <v>0</v>
      </c>
      <c r="E41" s="975">
        <f t="shared" si="9"/>
        <v>0</v>
      </c>
      <c r="F41" s="975">
        <f t="shared" si="9"/>
        <v>0</v>
      </c>
      <c r="G41" s="975">
        <f t="shared" si="9"/>
        <v>0</v>
      </c>
      <c r="H41" s="975">
        <f t="shared" si="9"/>
        <v>0</v>
      </c>
      <c r="I41" s="975">
        <f t="shared" si="9"/>
        <v>0</v>
      </c>
      <c r="J41" s="975">
        <f t="shared" si="9"/>
        <v>0</v>
      </c>
      <c r="K41" s="975">
        <f t="shared" si="9"/>
        <v>0</v>
      </c>
      <c r="L41" s="975">
        <f t="shared" si="9"/>
        <v>0</v>
      </c>
      <c r="M41" s="975">
        <f t="shared" si="9"/>
        <v>0</v>
      </c>
      <c r="N41" s="976">
        <f t="shared" si="9"/>
        <v>0</v>
      </c>
      <c r="O41" s="973">
        <f t="shared" si="6"/>
        <v>0</v>
      </c>
    </row>
    <row r="42" spans="1:15" ht="18" thickBot="1" x14ac:dyDescent="0.35">
      <c r="A42" s="784" t="s">
        <v>199</v>
      </c>
      <c r="B42" s="785"/>
      <c r="C42" s="786"/>
      <c r="D42" s="787"/>
      <c r="E42" s="786">
        <f>IF(SUM(C41:E41)&lt;0.4,1,SUM(C39:E39)/SUM(C41:E41))</f>
        <v>1</v>
      </c>
      <c r="F42" s="786"/>
      <c r="G42" s="787"/>
      <c r="H42" s="786">
        <f>IF(SUM(F41:H41)&lt;0.4,1,SUM(F39:H39)/SUM(F41:H41))</f>
        <v>1</v>
      </c>
      <c r="I42" s="787"/>
      <c r="J42" s="787"/>
      <c r="K42" s="786">
        <f>IF(SUM(I41:K41)&lt;0.4,1,SUM(I39:K39)/SUM(I41:K41))</f>
        <v>1</v>
      </c>
      <c r="L42" s="787"/>
      <c r="M42" s="788"/>
      <c r="N42" s="789">
        <f>IF(SUM(L41:N41)&lt;0.4,1,SUM(L39:N39)/SUM(L41:N41))</f>
        <v>1</v>
      </c>
      <c r="O42" s="790"/>
    </row>
    <row r="43" spans="1:15" ht="18" thickTop="1" x14ac:dyDescent="0.3"/>
  </sheetData>
  <sheetProtection sheet="1" objects="1" scenarios="1" formatCells="0" formatColumns="0"/>
  <phoneticPr fontId="13" type="noConversion"/>
  <conditionalFormatting sqref="C31:N38">
    <cfRule type="expression" dxfId="14" priority="1" stopIfTrue="1">
      <formula>C31=""</formula>
    </cfRule>
  </conditionalFormatting>
  <printOptions horizontalCentered="1"/>
  <pageMargins left="0.57999999999999996" right="0.75" top="0.46" bottom="0.89" header="0" footer="0"/>
  <pageSetup paperSize="9" scale="67" orientation="landscape" horizontalDpi="300"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Hoja48">
    <tabColor rgb="FF7CC9D0"/>
    <pageSetUpPr fitToPage="1"/>
  </sheetPr>
  <dimension ref="A1:P43"/>
  <sheetViews>
    <sheetView showGridLines="0" workbookViewId="0"/>
  </sheetViews>
  <sheetFormatPr baseColWidth="10" defaultRowHeight="17.25" x14ac:dyDescent="0.3"/>
  <cols>
    <col min="1" max="1" width="26.125" style="307" customWidth="1"/>
    <col min="2" max="2" width="9.125" style="307" customWidth="1"/>
    <col min="3" max="3" width="13.5" style="307" customWidth="1"/>
    <col min="4" max="5" width="11" style="307"/>
    <col min="6" max="6" width="12.625" style="307" customWidth="1"/>
    <col min="7" max="8" width="11" style="307"/>
    <col min="9" max="9" width="12" style="307" customWidth="1"/>
    <col min="10" max="11" width="11" style="307"/>
    <col min="12" max="12" width="12" style="307" customWidth="1"/>
    <col min="13" max="14" width="11" style="307"/>
    <col min="15" max="15" width="11.75" style="307" bestFit="1" customWidth="1"/>
    <col min="16" max="17" width="8.625" style="307" customWidth="1"/>
    <col min="18" max="18" width="9.875" style="307" customWidth="1"/>
    <col min="19" max="20" width="8.625" style="307" customWidth="1"/>
    <col min="21" max="16384" width="11" style="307"/>
  </cols>
  <sheetData>
    <row r="1" spans="1:16" s="446" customFormat="1" ht="27.75" x14ac:dyDescent="0.45">
      <c r="A1" s="408" t="s">
        <v>457</v>
      </c>
      <c r="B1" s="445"/>
      <c r="F1" s="792">
        <f>'Datos Básicos'!F16</f>
        <v>4</v>
      </c>
      <c r="G1" s="470">
        <f>'Datos Básicos'!$D$17+2</f>
        <v>2030</v>
      </c>
      <c r="O1" s="305"/>
    </row>
    <row r="2" spans="1:16" s="446" customFormat="1" ht="27.75" x14ac:dyDescent="0.45">
      <c r="A2" s="408">
        <f>'Prev.Ventas 0'!A2</f>
        <v>0</v>
      </c>
      <c r="B2" s="445"/>
      <c r="O2" s="305"/>
    </row>
    <row r="3" spans="1:16" ht="18" thickBot="1" x14ac:dyDescent="0.35">
      <c r="A3" s="728"/>
      <c r="B3" s="445"/>
      <c r="C3" s="445"/>
      <c r="D3" s="305"/>
      <c r="E3" s="305"/>
      <c r="F3" s="305"/>
      <c r="G3" s="305"/>
      <c r="H3" s="305"/>
      <c r="I3" s="305"/>
      <c r="J3" s="305"/>
      <c r="K3" s="305"/>
      <c r="L3" s="305"/>
      <c r="M3" s="305"/>
      <c r="N3" s="305"/>
      <c r="O3" s="305"/>
      <c r="P3" s="305"/>
    </row>
    <row r="4" spans="1:16" ht="18.75" thickTop="1" thickBot="1" x14ac:dyDescent="0.35">
      <c r="A4" s="729" t="s">
        <v>267</v>
      </c>
      <c r="B4" s="460"/>
      <c r="C4" s="461" t="str">
        <f>'Datos Gastos Fijos'!D7</f>
        <v>enero</v>
      </c>
      <c r="D4" s="461" t="str">
        <f>'Datos Gastos Fijos'!E7</f>
        <v>febrero</v>
      </c>
      <c r="E4" s="461" t="str">
        <f>'Datos Gastos Fijos'!F7</f>
        <v>marzo</v>
      </c>
      <c r="F4" s="461" t="str">
        <f>'Datos Gastos Fijos'!G7</f>
        <v>abril</v>
      </c>
      <c r="G4" s="461" t="str">
        <f>'Datos Gastos Fijos'!H7</f>
        <v>mayo</v>
      </c>
      <c r="H4" s="461" t="str">
        <f>'Datos Gastos Fijos'!I7</f>
        <v>junio</v>
      </c>
      <c r="I4" s="461" t="str">
        <f>'Datos Gastos Fijos'!J7</f>
        <v>julio</v>
      </c>
      <c r="J4" s="461" t="str">
        <f>'Datos Gastos Fijos'!K7</f>
        <v>agosto</v>
      </c>
      <c r="K4" s="461" t="str">
        <f>'Datos Gastos Fijos'!L7</f>
        <v>septiembre</v>
      </c>
      <c r="L4" s="461" t="str">
        <f>'Datos Gastos Fijos'!M7</f>
        <v>octubre</v>
      </c>
      <c r="M4" s="461" t="str">
        <f>'Datos Gastos Fijos'!N7</f>
        <v>noviembre</v>
      </c>
      <c r="N4" s="461" t="str">
        <f>'Datos Gastos Fijos'!O7</f>
        <v>diciembre</v>
      </c>
      <c r="O4" s="462" t="s">
        <v>865</v>
      </c>
    </row>
    <row r="5" spans="1:16" x14ac:dyDescent="0.3">
      <c r="A5" s="730" t="s">
        <v>265</v>
      </c>
      <c r="B5" s="731"/>
      <c r="C5" s="981">
        <f>SUMPRODUCT(Parametros!$F$24:$F$31,'Prev.Ventas 4'!B31:B38)</f>
        <v>0</v>
      </c>
      <c r="D5" s="979">
        <f>SUMPRODUCT(Parametros!$F$24:$F$31,'Prev.Ventas 4'!C31:C38)</f>
        <v>0</v>
      </c>
      <c r="E5" s="979">
        <f>SUMPRODUCT(Parametros!$F$24:$F$31,'Prev.Ventas 4'!D31:D38)</f>
        <v>0</v>
      </c>
      <c r="F5" s="979">
        <f>SUMPRODUCT(Parametros!$F$24:$F$31,'Prev.Ventas 4'!E31:E38)</f>
        <v>0</v>
      </c>
      <c r="G5" s="979">
        <f>SUMPRODUCT(Parametros!$F$24:$F$31,'Prev.Ventas 4'!F31:F38)</f>
        <v>0</v>
      </c>
      <c r="H5" s="979">
        <f>SUMPRODUCT(Parametros!$F$24:$F$31,'Prev.Ventas 4'!G31:G38)</f>
        <v>0</v>
      </c>
      <c r="I5" s="979">
        <f>SUMPRODUCT(Parametros!$F$24:$F$31,'Prev.Ventas 4'!H31:H38)</f>
        <v>0</v>
      </c>
      <c r="J5" s="979">
        <f>SUMPRODUCT(Parametros!$F$24:$F$31,'Prev.Ventas 4'!I31:I38)</f>
        <v>0</v>
      </c>
      <c r="K5" s="979">
        <f>SUMPRODUCT(Parametros!$F$24:$F$31,'Prev.Ventas 4'!J31:J38)</f>
        <v>0</v>
      </c>
      <c r="L5" s="979">
        <f>SUMPRODUCT(Parametros!$F$24:$F$31,'Prev.Ventas 4'!K31:K38)</f>
        <v>0</v>
      </c>
      <c r="M5" s="979">
        <f>SUMPRODUCT(Parametros!$F$24:$F$31,'Prev.Ventas 4'!L31:L38)</f>
        <v>0</v>
      </c>
      <c r="N5" s="982">
        <f>SUMPRODUCT(Parametros!$F$24:$F$31,'Prev.Ventas 4'!M31:M38)</f>
        <v>0</v>
      </c>
      <c r="O5" s="732">
        <f>SUM(C5:N5)</f>
        <v>0</v>
      </c>
    </row>
    <row r="6" spans="1:16" x14ac:dyDescent="0.3">
      <c r="A6" s="734" t="s">
        <v>991</v>
      </c>
      <c r="B6" s="733"/>
      <c r="C6" s="979">
        <f>'G.F. 4'!C50</f>
        <v>0</v>
      </c>
      <c r="D6" s="979">
        <f>'G.F. 4'!D50</f>
        <v>0</v>
      </c>
      <c r="E6" s="979">
        <f>'G.F. 4'!E50</f>
        <v>0</v>
      </c>
      <c r="F6" s="979">
        <f>'G.F. 4'!F50</f>
        <v>0</v>
      </c>
      <c r="G6" s="979">
        <f>'G.F. 4'!G50</f>
        <v>0</v>
      </c>
      <c r="H6" s="979">
        <f>'G.F. 4'!H50</f>
        <v>0</v>
      </c>
      <c r="I6" s="979">
        <f>'G.F. 4'!I50</f>
        <v>0</v>
      </c>
      <c r="J6" s="979">
        <f>'G.F. 4'!J50</f>
        <v>0</v>
      </c>
      <c r="K6" s="979">
        <f>'G.F. 4'!K50</f>
        <v>0</v>
      </c>
      <c r="L6" s="979">
        <f>'G.F. 4'!L50</f>
        <v>0</v>
      </c>
      <c r="M6" s="979">
        <f>'G.F. 4'!M50</f>
        <v>0</v>
      </c>
      <c r="N6" s="982">
        <f>'G.F. 4'!N50</f>
        <v>0</v>
      </c>
      <c r="O6" s="732">
        <f>SUM(C6:N6)</f>
        <v>0</v>
      </c>
    </row>
    <row r="7" spans="1:16" x14ac:dyDescent="0.3">
      <c r="A7" s="734" t="s">
        <v>990</v>
      </c>
      <c r="B7" s="735"/>
      <c r="C7" s="979"/>
      <c r="D7" s="979"/>
      <c r="E7" s="979"/>
      <c r="F7" s="979"/>
      <c r="G7" s="979"/>
      <c r="H7" s="979"/>
      <c r="I7" s="979"/>
      <c r="J7" s="979"/>
      <c r="K7" s="979"/>
      <c r="L7" s="979"/>
      <c r="M7" s="979"/>
      <c r="N7" s="982"/>
      <c r="O7" s="732">
        <f>SUM(C7:N7)</f>
        <v>0</v>
      </c>
    </row>
    <row r="8" spans="1:16" ht="18" thickBot="1" x14ac:dyDescent="0.35">
      <c r="A8" s="736" t="s">
        <v>838</v>
      </c>
      <c r="B8" s="737"/>
      <c r="C8" s="983">
        <f>Leasing!B51+Renting!B54</f>
        <v>0</v>
      </c>
      <c r="D8" s="984">
        <f>Leasing!C51+Renting!C54</f>
        <v>0</v>
      </c>
      <c r="E8" s="984">
        <f>Leasing!D51+Renting!D54</f>
        <v>0</v>
      </c>
      <c r="F8" s="984">
        <f>Leasing!E51+Renting!E54</f>
        <v>0</v>
      </c>
      <c r="G8" s="984">
        <f>Leasing!F51+Renting!F54</f>
        <v>0</v>
      </c>
      <c r="H8" s="984">
        <f>Leasing!G51+Renting!G54</f>
        <v>0</v>
      </c>
      <c r="I8" s="984">
        <f>Leasing!H51+Renting!H54</f>
        <v>0</v>
      </c>
      <c r="J8" s="984">
        <f>Leasing!I51+Renting!I54</f>
        <v>0</v>
      </c>
      <c r="K8" s="984">
        <f>Leasing!J51+Renting!J54</f>
        <v>0</v>
      </c>
      <c r="L8" s="984">
        <f>Leasing!K51+Renting!K54</f>
        <v>0</v>
      </c>
      <c r="M8" s="984">
        <f>Leasing!L51+Renting!L54</f>
        <v>0</v>
      </c>
      <c r="N8" s="985">
        <f>Leasing!M51+Renting!M54</f>
        <v>0</v>
      </c>
      <c r="O8" s="738">
        <f>SUM(C8:N8)</f>
        <v>0</v>
      </c>
    </row>
    <row r="9" spans="1:16" ht="18" thickBot="1" x14ac:dyDescent="0.35">
      <c r="A9" s="739"/>
      <c r="B9" s="793" t="s">
        <v>201</v>
      </c>
      <c r="C9" s="741">
        <f t="shared" ref="C9:O9" si="0">SUM(C5:C8)</f>
        <v>0</v>
      </c>
      <c r="D9" s="742">
        <f t="shared" si="0"/>
        <v>0</v>
      </c>
      <c r="E9" s="742">
        <f t="shared" si="0"/>
        <v>0</v>
      </c>
      <c r="F9" s="742">
        <f t="shared" si="0"/>
        <v>0</v>
      </c>
      <c r="G9" s="742">
        <f t="shared" si="0"/>
        <v>0</v>
      </c>
      <c r="H9" s="742">
        <f t="shared" si="0"/>
        <v>0</v>
      </c>
      <c r="I9" s="742">
        <f t="shared" si="0"/>
        <v>0</v>
      </c>
      <c r="J9" s="742">
        <f t="shared" si="0"/>
        <v>0</v>
      </c>
      <c r="K9" s="742">
        <f t="shared" si="0"/>
        <v>0</v>
      </c>
      <c r="L9" s="742">
        <f t="shared" si="0"/>
        <v>0</v>
      </c>
      <c r="M9" s="742">
        <f t="shared" si="0"/>
        <v>0</v>
      </c>
      <c r="N9" s="743">
        <f t="shared" si="0"/>
        <v>0</v>
      </c>
      <c r="O9" s="744">
        <f t="shared" si="0"/>
        <v>0</v>
      </c>
    </row>
    <row r="10" spans="1:16" ht="18.75" thickTop="1" thickBot="1" x14ac:dyDescent="0.35">
      <c r="A10" s="745"/>
      <c r="C10" s="668"/>
      <c r="D10" s="668"/>
      <c r="E10" s="668"/>
      <c r="F10" s="668"/>
      <c r="G10" s="668"/>
      <c r="H10" s="668"/>
      <c r="I10" s="668"/>
      <c r="J10" s="668"/>
      <c r="K10" s="668"/>
      <c r="L10" s="668"/>
      <c r="M10" s="668"/>
      <c r="N10" s="668"/>
      <c r="O10" s="668"/>
    </row>
    <row r="11" spans="1:16" ht="18.75" thickTop="1" thickBot="1" x14ac:dyDescent="0.35">
      <c r="A11" s="746" t="s">
        <v>268</v>
      </c>
      <c r="B11" s="747"/>
      <c r="C11" s="748"/>
      <c r="D11" s="748"/>
      <c r="E11" s="749">
        <f>E42</f>
        <v>1</v>
      </c>
      <c r="F11" s="748"/>
      <c r="G11" s="748"/>
      <c r="H11" s="749">
        <f>H42</f>
        <v>1</v>
      </c>
      <c r="I11" s="748"/>
      <c r="J11" s="748"/>
      <c r="K11" s="749">
        <f>K42</f>
        <v>1</v>
      </c>
      <c r="L11" s="748"/>
      <c r="M11" s="748"/>
      <c r="N11" s="749">
        <f>N42</f>
        <v>1</v>
      </c>
      <c r="O11" s="750"/>
    </row>
    <row r="12" spans="1:16" x14ac:dyDescent="0.3">
      <c r="A12" s="751" t="s">
        <v>200</v>
      </c>
      <c r="B12" s="752"/>
      <c r="C12" s="977">
        <f>$E$11*C9</f>
        <v>0</v>
      </c>
      <c r="D12" s="977">
        <f>$E$11*D9</f>
        <v>0</v>
      </c>
      <c r="E12" s="977">
        <f>$E$11*E9</f>
        <v>0</v>
      </c>
      <c r="F12" s="977">
        <f>$H$11*F9</f>
        <v>0</v>
      </c>
      <c r="G12" s="977">
        <f>$H$11*G9</f>
        <v>0</v>
      </c>
      <c r="H12" s="977">
        <f>$H$11*H9</f>
        <v>0</v>
      </c>
      <c r="I12" s="977">
        <f>$K$11*I9</f>
        <v>0</v>
      </c>
      <c r="J12" s="977">
        <f>$K$11*J9</f>
        <v>0</v>
      </c>
      <c r="K12" s="977">
        <f>$K$11*K9</f>
        <v>0</v>
      </c>
      <c r="L12" s="977">
        <f>$N$11*L9</f>
        <v>0</v>
      </c>
      <c r="M12" s="977">
        <f>$N$11*M9</f>
        <v>0</v>
      </c>
      <c r="N12" s="977">
        <f>$N$11*N9</f>
        <v>0</v>
      </c>
      <c r="O12" s="753">
        <f>SUM(C12:N12)</f>
        <v>0</v>
      </c>
    </row>
    <row r="13" spans="1:16" ht="16.5" customHeight="1" thickBot="1" x14ac:dyDescent="0.35">
      <c r="A13" s="754" t="s">
        <v>202</v>
      </c>
      <c r="B13" s="755"/>
      <c r="C13" s="978">
        <f t="shared" ref="C13:N13" si="1">C9-C12</f>
        <v>0</v>
      </c>
      <c r="D13" s="978">
        <f t="shared" si="1"/>
        <v>0</v>
      </c>
      <c r="E13" s="978">
        <f t="shared" si="1"/>
        <v>0</v>
      </c>
      <c r="F13" s="978">
        <f t="shared" si="1"/>
        <v>0</v>
      </c>
      <c r="G13" s="978">
        <f t="shared" si="1"/>
        <v>0</v>
      </c>
      <c r="H13" s="978">
        <f t="shared" si="1"/>
        <v>0</v>
      </c>
      <c r="I13" s="978">
        <f t="shared" si="1"/>
        <v>0</v>
      </c>
      <c r="J13" s="978">
        <f t="shared" si="1"/>
        <v>0</v>
      </c>
      <c r="K13" s="978">
        <f t="shared" si="1"/>
        <v>0</v>
      </c>
      <c r="L13" s="978">
        <f t="shared" si="1"/>
        <v>0</v>
      </c>
      <c r="M13" s="978">
        <f t="shared" si="1"/>
        <v>0</v>
      </c>
      <c r="N13" s="978">
        <f t="shared" si="1"/>
        <v>0</v>
      </c>
      <c r="O13" s="756">
        <f>SUM(C13:N13)</f>
        <v>0</v>
      </c>
    </row>
    <row r="14" spans="1:16" ht="18" thickTop="1" x14ac:dyDescent="0.3"/>
    <row r="15" spans="1:16" x14ac:dyDescent="0.3">
      <c r="A15" s="303"/>
      <c r="B15" s="303"/>
      <c r="D15" s="368" t="s">
        <v>8</v>
      </c>
      <c r="E15" s="442" t="str">
        <f>Parametros!$F$35</f>
        <v>No</v>
      </c>
    </row>
    <row r="17" spans="1:15" ht="28.5" thickBot="1" x14ac:dyDescent="0.5">
      <c r="A17" s="408" t="s">
        <v>458</v>
      </c>
      <c r="B17" s="445"/>
      <c r="C17" s="446"/>
      <c r="D17" s="446"/>
      <c r="F17" s="409"/>
    </row>
    <row r="18" spans="1:15" ht="18" thickTop="1" x14ac:dyDescent="0.3">
      <c r="A18" s="757"/>
      <c r="B18" s="758"/>
      <c r="C18" s="758" t="str">
        <f t="shared" ref="C18:N18" si="2">C$4</f>
        <v>enero</v>
      </c>
      <c r="D18" s="758" t="str">
        <f t="shared" si="2"/>
        <v>febrero</v>
      </c>
      <c r="E18" s="758" t="str">
        <f t="shared" si="2"/>
        <v>marzo</v>
      </c>
      <c r="F18" s="758" t="str">
        <f t="shared" si="2"/>
        <v>abril</v>
      </c>
      <c r="G18" s="758" t="str">
        <f t="shared" si="2"/>
        <v>mayo</v>
      </c>
      <c r="H18" s="758" t="str">
        <f t="shared" si="2"/>
        <v>junio</v>
      </c>
      <c r="I18" s="758" t="str">
        <f t="shared" si="2"/>
        <v>julio</v>
      </c>
      <c r="J18" s="758" t="str">
        <f t="shared" si="2"/>
        <v>agosto</v>
      </c>
      <c r="K18" s="758" t="str">
        <f t="shared" si="2"/>
        <v>septiembre</v>
      </c>
      <c r="L18" s="758" t="str">
        <f t="shared" si="2"/>
        <v>octubre</v>
      </c>
      <c r="M18" s="758" t="str">
        <f t="shared" si="2"/>
        <v>noviembre</v>
      </c>
      <c r="N18" s="758" t="str">
        <f t="shared" si="2"/>
        <v>diciembre</v>
      </c>
      <c r="O18" s="759" t="s">
        <v>865</v>
      </c>
    </row>
    <row r="19" spans="1:15" x14ac:dyDescent="0.3">
      <c r="A19" s="727" t="s">
        <v>989</v>
      </c>
      <c r="B19" s="610"/>
      <c r="C19" s="979">
        <f>SUMPRODUCT(Parametros!$E$24:$E$31,'Prev.Ventas 4'!B17:B24)</f>
        <v>0</v>
      </c>
      <c r="D19" s="979">
        <f>SUMPRODUCT(Parametros!$E$24:$E$31,'Prev.Ventas 4'!C17:C24)</f>
        <v>0</v>
      </c>
      <c r="E19" s="979">
        <f>SUMPRODUCT(Parametros!$E$24:$E$31,'Prev.Ventas 4'!D17:D24)</f>
        <v>0</v>
      </c>
      <c r="F19" s="979">
        <f>SUMPRODUCT(Parametros!$E$24:$E$31,'Prev.Ventas 4'!E17:E24)</f>
        <v>0</v>
      </c>
      <c r="G19" s="979">
        <f>SUMPRODUCT(Parametros!$E$24:$E$31,'Prev.Ventas 4'!F17:F24)</f>
        <v>0</v>
      </c>
      <c r="H19" s="979">
        <f>SUMPRODUCT(Parametros!$E$24:$E$31,'Prev.Ventas 4'!G17:G24)</f>
        <v>0</v>
      </c>
      <c r="I19" s="979">
        <f>SUMPRODUCT(Parametros!$E$24:$E$31,'Prev.Ventas 4'!H17:H24)</f>
        <v>0</v>
      </c>
      <c r="J19" s="979">
        <f>SUMPRODUCT(Parametros!$E$24:$E$31,'Prev.Ventas 4'!I17:I24)</f>
        <v>0</v>
      </c>
      <c r="K19" s="979">
        <f>SUMPRODUCT(Parametros!$E$24:$E$31,'Prev.Ventas 4'!J17:J24)</f>
        <v>0</v>
      </c>
      <c r="L19" s="979">
        <f>SUMPRODUCT(Parametros!$E$24:$E$31,'Prev.Ventas 4'!K17:K24)</f>
        <v>0</v>
      </c>
      <c r="M19" s="979">
        <f>SUMPRODUCT(Parametros!$E$24:$E$31,'Prev.Ventas 4'!L17:L24)</f>
        <v>0</v>
      </c>
      <c r="N19" s="979">
        <f>SUMPRODUCT(Parametros!$E$24:$E$31,'Prev.Ventas 4'!M17:M24)</f>
        <v>0</v>
      </c>
      <c r="O19" s="760">
        <f>SUM(C19:N19)</f>
        <v>0</v>
      </c>
    </row>
    <row r="20" spans="1:15" x14ac:dyDescent="0.3">
      <c r="A20" s="727" t="s">
        <v>200</v>
      </c>
      <c r="B20" s="610"/>
      <c r="C20" s="979">
        <f t="shared" ref="C20:N20" si="3">C12</f>
        <v>0</v>
      </c>
      <c r="D20" s="979">
        <f t="shared" si="3"/>
        <v>0</v>
      </c>
      <c r="E20" s="979">
        <f t="shared" si="3"/>
        <v>0</v>
      </c>
      <c r="F20" s="979">
        <f t="shared" si="3"/>
        <v>0</v>
      </c>
      <c r="G20" s="979">
        <f t="shared" si="3"/>
        <v>0</v>
      </c>
      <c r="H20" s="979">
        <f t="shared" si="3"/>
        <v>0</v>
      </c>
      <c r="I20" s="979">
        <f t="shared" si="3"/>
        <v>0</v>
      </c>
      <c r="J20" s="979">
        <f t="shared" si="3"/>
        <v>0</v>
      </c>
      <c r="K20" s="979">
        <f t="shared" si="3"/>
        <v>0</v>
      </c>
      <c r="L20" s="979">
        <f t="shared" si="3"/>
        <v>0</v>
      </c>
      <c r="M20" s="979">
        <f t="shared" si="3"/>
        <v>0</v>
      </c>
      <c r="N20" s="979">
        <f t="shared" si="3"/>
        <v>0</v>
      </c>
      <c r="O20" s="760">
        <f>SUM(C20:N20)</f>
        <v>0</v>
      </c>
    </row>
    <row r="21" spans="1:15" ht="18" thickBot="1" x14ac:dyDescent="0.35">
      <c r="A21" s="727" t="s">
        <v>992</v>
      </c>
      <c r="B21" s="761"/>
      <c r="C21" s="980">
        <f t="shared" ref="C21:N21" si="4">C19-C20</f>
        <v>0</v>
      </c>
      <c r="D21" s="980">
        <f t="shared" si="4"/>
        <v>0</v>
      </c>
      <c r="E21" s="980">
        <f t="shared" si="4"/>
        <v>0</v>
      </c>
      <c r="F21" s="980">
        <f t="shared" si="4"/>
        <v>0</v>
      </c>
      <c r="G21" s="980">
        <f t="shared" si="4"/>
        <v>0</v>
      </c>
      <c r="H21" s="980">
        <f t="shared" si="4"/>
        <v>0</v>
      </c>
      <c r="I21" s="980">
        <f t="shared" si="4"/>
        <v>0</v>
      </c>
      <c r="J21" s="980">
        <f t="shared" si="4"/>
        <v>0</v>
      </c>
      <c r="K21" s="980">
        <f t="shared" si="4"/>
        <v>0</v>
      </c>
      <c r="L21" s="980">
        <f t="shared" si="4"/>
        <v>0</v>
      </c>
      <c r="M21" s="980">
        <f t="shared" si="4"/>
        <v>0</v>
      </c>
      <c r="N21" s="980">
        <f t="shared" si="4"/>
        <v>0</v>
      </c>
      <c r="O21" s="760">
        <f>SUM(C21:N21)</f>
        <v>0</v>
      </c>
    </row>
    <row r="22" spans="1:15" ht="19.5" customHeight="1" thickTop="1" x14ac:dyDescent="0.3">
      <c r="A22" s="762" t="s">
        <v>997</v>
      </c>
      <c r="B22" s="763"/>
      <c r="C22" s="764">
        <f>'IVA 3'!O22</f>
        <v>0</v>
      </c>
      <c r="D22" s="765"/>
      <c r="E22" s="765"/>
      <c r="F22" s="765">
        <f>IF(C22&gt;0,SUM(C21:E21),C22+SUM(C21:E21))</f>
        <v>0</v>
      </c>
      <c r="G22" s="765"/>
      <c r="H22" s="765"/>
      <c r="I22" s="765">
        <f>IF(F22&gt;0,SUM(F21:H21),F22+SUM(F21:H21))</f>
        <v>0</v>
      </c>
      <c r="J22" s="765"/>
      <c r="K22" s="765"/>
      <c r="L22" s="765">
        <f>IF(I22&gt;0,SUM(I21:K21),I22+SUM(I21:K21))</f>
        <v>0</v>
      </c>
      <c r="M22" s="765"/>
      <c r="N22" s="765"/>
      <c r="O22" s="766">
        <f>IF(L22&gt;0,SUM(L21:N21),L22+SUM(L21:N21))</f>
        <v>0</v>
      </c>
    </row>
    <row r="23" spans="1:15" ht="10.5" customHeight="1" x14ac:dyDescent="0.3">
      <c r="A23" s="767"/>
      <c r="B23" s="610"/>
      <c r="C23" s="610"/>
      <c r="D23" s="610"/>
      <c r="E23" s="610"/>
      <c r="F23" s="610"/>
      <c r="G23" s="610"/>
      <c r="H23" s="610"/>
      <c r="I23" s="610"/>
      <c r="J23" s="610"/>
      <c r="K23" s="610"/>
      <c r="L23" s="610"/>
      <c r="M23" s="610"/>
      <c r="N23" s="610"/>
      <c r="O23" s="768"/>
    </row>
    <row r="24" spans="1:15" ht="19.5" customHeight="1" thickBot="1" x14ac:dyDescent="0.35">
      <c r="A24" s="769" t="s">
        <v>993</v>
      </c>
      <c r="B24" s="755"/>
      <c r="C24" s="770">
        <f>IF(AND(E15="No",C22&gt;0),C22,0)</f>
        <v>0</v>
      </c>
      <c r="D24" s="771"/>
      <c r="E24" s="771"/>
      <c r="F24" s="771">
        <f>IF(AND(E15="No",F22&gt;0),F22,0)</f>
        <v>0</v>
      </c>
      <c r="G24" s="771"/>
      <c r="H24" s="771"/>
      <c r="I24" s="771">
        <f>IF(AND(E15="No",I22&gt;0),I22,0)</f>
        <v>0</v>
      </c>
      <c r="J24" s="771"/>
      <c r="K24" s="771"/>
      <c r="L24" s="771">
        <f>IF(AND($E$15="No",L22&gt;0),L22,0)</f>
        <v>0</v>
      </c>
      <c r="M24" s="771"/>
      <c r="N24" s="771"/>
      <c r="O24" s="772">
        <f>IF(AND($E$15="No",O22&gt;0),O22,0)</f>
        <v>0</v>
      </c>
    </row>
    <row r="25" spans="1:15" ht="9" customHeight="1" thickTop="1" thickBot="1" x14ac:dyDescent="0.35"/>
    <row r="26" spans="1:15" ht="18.75" thickTop="1" thickBot="1" x14ac:dyDescent="0.35">
      <c r="A26" s="773" t="s">
        <v>7</v>
      </c>
      <c r="B26" s="774"/>
      <c r="C26" s="775">
        <f>'IVA 3'!O26</f>
        <v>0</v>
      </c>
      <c r="D26" s="776"/>
      <c r="E26" s="776"/>
      <c r="F26" s="776">
        <f>IF($E$15="Si",SUM(C21:E21),0)</f>
        <v>0</v>
      </c>
      <c r="G26" s="776"/>
      <c r="H26" s="776"/>
      <c r="I26" s="776">
        <f>IF($E$15="Si",SUM(F21:H21),0)</f>
        <v>0</v>
      </c>
      <c r="J26" s="776"/>
      <c r="K26" s="776"/>
      <c r="L26" s="776">
        <f>IF($E$15="Si",SUM(I21:K21),0)</f>
        <v>0</v>
      </c>
      <c r="M26" s="776"/>
      <c r="N26" s="776"/>
      <c r="O26" s="777">
        <f>IF($E$15="Si",SUM(L21:N21),0)</f>
        <v>0</v>
      </c>
    </row>
    <row r="27" spans="1:15" ht="18" thickTop="1" x14ac:dyDescent="0.3"/>
    <row r="29" spans="1:15" ht="28.5" thickBot="1" x14ac:dyDescent="0.5">
      <c r="A29" s="408" t="s">
        <v>459</v>
      </c>
      <c r="D29" s="409"/>
      <c r="E29" s="409"/>
    </row>
    <row r="30" spans="1:15" ht="18.75" thickTop="1" thickBot="1" x14ac:dyDescent="0.35">
      <c r="A30" s="677" t="s">
        <v>995</v>
      </c>
      <c r="B30" s="447" t="s">
        <v>949</v>
      </c>
      <c r="C30" s="460" t="str">
        <f t="shared" ref="C30:N30" si="5">C$4</f>
        <v>enero</v>
      </c>
      <c r="D30" s="461" t="str">
        <f t="shared" si="5"/>
        <v>febrero</v>
      </c>
      <c r="E30" s="461" t="str">
        <f t="shared" si="5"/>
        <v>marzo</v>
      </c>
      <c r="F30" s="461" t="str">
        <f t="shared" si="5"/>
        <v>abril</v>
      </c>
      <c r="G30" s="461" t="str">
        <f t="shared" si="5"/>
        <v>mayo</v>
      </c>
      <c r="H30" s="461" t="str">
        <f t="shared" si="5"/>
        <v>junio</v>
      </c>
      <c r="I30" s="461" t="str">
        <f t="shared" si="5"/>
        <v>julio</v>
      </c>
      <c r="J30" s="461" t="str">
        <f t="shared" si="5"/>
        <v>agosto</v>
      </c>
      <c r="K30" s="461" t="str">
        <f t="shared" si="5"/>
        <v>septiembre</v>
      </c>
      <c r="L30" s="461" t="str">
        <f t="shared" si="5"/>
        <v>octubre</v>
      </c>
      <c r="M30" s="461" t="str">
        <f t="shared" si="5"/>
        <v>noviembre</v>
      </c>
      <c r="N30" s="461" t="str">
        <f t="shared" si="5"/>
        <v>diciembre</v>
      </c>
      <c r="O30" s="462" t="s">
        <v>865</v>
      </c>
    </row>
    <row r="31" spans="1:15" x14ac:dyDescent="0.3">
      <c r="A31" s="696" t="str">
        <f>'Estimacion Ventas'!A12</f>
        <v/>
      </c>
      <c r="B31" s="778">
        <f>Parametros!E24</f>
        <v>0.21</v>
      </c>
      <c r="C31" s="959">
        <f>'Prev.Ventas 4'!B17</f>
        <v>0</v>
      </c>
      <c r="D31" s="959">
        <f>'Prev.Ventas 4'!C17</f>
        <v>0</v>
      </c>
      <c r="E31" s="959">
        <f>'Prev.Ventas 4'!D17</f>
        <v>0</v>
      </c>
      <c r="F31" s="959">
        <f>'Prev.Ventas 4'!E17</f>
        <v>0</v>
      </c>
      <c r="G31" s="959">
        <f>'Prev.Ventas 4'!F17</f>
        <v>0</v>
      </c>
      <c r="H31" s="959">
        <f>'Prev.Ventas 4'!G17</f>
        <v>0</v>
      </c>
      <c r="I31" s="959">
        <f>'Prev.Ventas 4'!H17</f>
        <v>0</v>
      </c>
      <c r="J31" s="959">
        <f>'Prev.Ventas 4'!I17</f>
        <v>0</v>
      </c>
      <c r="K31" s="959">
        <f>'Prev.Ventas 4'!J17</f>
        <v>0</v>
      </c>
      <c r="L31" s="959">
        <f>'Prev.Ventas 4'!K17</f>
        <v>0</v>
      </c>
      <c r="M31" s="959">
        <f>'Prev.Ventas 4'!L17</f>
        <v>0</v>
      </c>
      <c r="N31" s="959">
        <f>'Prev.Ventas 4'!M17</f>
        <v>0</v>
      </c>
      <c r="O31" s="960">
        <f t="shared" ref="O31:O41" si="6">SUM(C31:N31)</f>
        <v>0</v>
      </c>
    </row>
    <row r="32" spans="1:15" x14ac:dyDescent="0.3">
      <c r="A32" s="779" t="str">
        <f>'Estimacion Ventas'!A13</f>
        <v/>
      </c>
      <c r="B32" s="780">
        <f>Parametros!E25</f>
        <v>0.21</v>
      </c>
      <c r="C32" s="961">
        <f>'Prev.Ventas 4'!B18</f>
        <v>0</v>
      </c>
      <c r="D32" s="961">
        <f>'Prev.Ventas 4'!C18</f>
        <v>0</v>
      </c>
      <c r="E32" s="961">
        <f>'Prev.Ventas 4'!D18</f>
        <v>0</v>
      </c>
      <c r="F32" s="961">
        <f>'Prev.Ventas 4'!E18</f>
        <v>0</v>
      </c>
      <c r="G32" s="961">
        <f>'Prev.Ventas 4'!F18</f>
        <v>0</v>
      </c>
      <c r="H32" s="961">
        <f>'Prev.Ventas 4'!G18</f>
        <v>0</v>
      </c>
      <c r="I32" s="961">
        <f>'Prev.Ventas 4'!H18</f>
        <v>0</v>
      </c>
      <c r="J32" s="961">
        <f>'Prev.Ventas 4'!I18</f>
        <v>0</v>
      </c>
      <c r="K32" s="961">
        <f>'Prev.Ventas 4'!J18</f>
        <v>0</v>
      </c>
      <c r="L32" s="961">
        <f>'Prev.Ventas 4'!K18</f>
        <v>0</v>
      </c>
      <c r="M32" s="961">
        <f>'Prev.Ventas 4'!L18</f>
        <v>0</v>
      </c>
      <c r="N32" s="961">
        <f>'Prev.Ventas 4'!M18</f>
        <v>0</v>
      </c>
      <c r="O32" s="962">
        <f t="shared" si="6"/>
        <v>0</v>
      </c>
    </row>
    <row r="33" spans="1:15" x14ac:dyDescent="0.3">
      <c r="A33" s="779" t="str">
        <f>'Estimacion Ventas'!A14</f>
        <v/>
      </c>
      <c r="B33" s="780">
        <f>Parametros!E26</f>
        <v>0.21</v>
      </c>
      <c r="C33" s="961">
        <f>'Prev.Ventas 4'!B19</f>
        <v>0</v>
      </c>
      <c r="D33" s="961">
        <f>'Prev.Ventas 4'!C19</f>
        <v>0</v>
      </c>
      <c r="E33" s="961">
        <f>'Prev.Ventas 4'!D19</f>
        <v>0</v>
      </c>
      <c r="F33" s="961">
        <f>'Prev.Ventas 4'!E19</f>
        <v>0</v>
      </c>
      <c r="G33" s="961">
        <f>'Prev.Ventas 4'!F19</f>
        <v>0</v>
      </c>
      <c r="H33" s="961">
        <f>'Prev.Ventas 4'!G19</f>
        <v>0</v>
      </c>
      <c r="I33" s="961">
        <f>'Prev.Ventas 4'!H19</f>
        <v>0</v>
      </c>
      <c r="J33" s="961">
        <f>'Prev.Ventas 4'!I19</f>
        <v>0</v>
      </c>
      <c r="K33" s="961">
        <f>'Prev.Ventas 4'!J19</f>
        <v>0</v>
      </c>
      <c r="L33" s="961">
        <f>'Prev.Ventas 4'!K19</f>
        <v>0</v>
      </c>
      <c r="M33" s="961">
        <f>'Prev.Ventas 4'!L19</f>
        <v>0</v>
      </c>
      <c r="N33" s="961">
        <f>'Prev.Ventas 4'!M19</f>
        <v>0</v>
      </c>
      <c r="O33" s="962">
        <f t="shared" si="6"/>
        <v>0</v>
      </c>
    </row>
    <row r="34" spans="1:15" x14ac:dyDescent="0.3">
      <c r="A34" s="779" t="str">
        <f>'Estimacion Ventas'!A15</f>
        <v/>
      </c>
      <c r="B34" s="780">
        <f>Parametros!E27</f>
        <v>0.21</v>
      </c>
      <c r="C34" s="961">
        <f>'Prev.Ventas 4'!B20</f>
        <v>0</v>
      </c>
      <c r="D34" s="961">
        <f>'Prev.Ventas 4'!C20</f>
        <v>0</v>
      </c>
      <c r="E34" s="961">
        <f>'Prev.Ventas 4'!D20</f>
        <v>0</v>
      </c>
      <c r="F34" s="961">
        <f>'Prev.Ventas 4'!E20</f>
        <v>0</v>
      </c>
      <c r="G34" s="961">
        <f>'Prev.Ventas 4'!F20</f>
        <v>0</v>
      </c>
      <c r="H34" s="961">
        <f>'Prev.Ventas 4'!G20</f>
        <v>0</v>
      </c>
      <c r="I34" s="961">
        <f>'Prev.Ventas 4'!H20</f>
        <v>0</v>
      </c>
      <c r="J34" s="961">
        <f>'Prev.Ventas 4'!I20</f>
        <v>0</v>
      </c>
      <c r="K34" s="961">
        <f>'Prev.Ventas 4'!J20</f>
        <v>0</v>
      </c>
      <c r="L34" s="961">
        <f>'Prev.Ventas 4'!K20</f>
        <v>0</v>
      </c>
      <c r="M34" s="961">
        <f>'Prev.Ventas 4'!L20</f>
        <v>0</v>
      </c>
      <c r="N34" s="961">
        <f>'Prev.Ventas 4'!M20</f>
        <v>0</v>
      </c>
      <c r="O34" s="962">
        <f t="shared" si="6"/>
        <v>0</v>
      </c>
    </row>
    <row r="35" spans="1:15" x14ac:dyDescent="0.3">
      <c r="A35" s="779" t="str">
        <f>'Estimacion Ventas'!A16</f>
        <v/>
      </c>
      <c r="B35" s="780">
        <f>Parametros!E28</f>
        <v>0.21</v>
      </c>
      <c r="C35" s="961">
        <f>'Prev.Ventas 4'!B21</f>
        <v>0</v>
      </c>
      <c r="D35" s="961">
        <f>'Prev.Ventas 4'!C21</f>
        <v>0</v>
      </c>
      <c r="E35" s="961">
        <f>'Prev.Ventas 4'!D21</f>
        <v>0</v>
      </c>
      <c r="F35" s="961">
        <f>'Prev.Ventas 4'!E21</f>
        <v>0</v>
      </c>
      <c r="G35" s="961">
        <f>'Prev.Ventas 4'!F21</f>
        <v>0</v>
      </c>
      <c r="H35" s="961">
        <f>'Prev.Ventas 4'!G21</f>
        <v>0</v>
      </c>
      <c r="I35" s="961">
        <f>'Prev.Ventas 4'!H21</f>
        <v>0</v>
      </c>
      <c r="J35" s="961">
        <f>'Prev.Ventas 4'!I21</f>
        <v>0</v>
      </c>
      <c r="K35" s="961">
        <f>'Prev.Ventas 4'!J21</f>
        <v>0</v>
      </c>
      <c r="L35" s="961">
        <f>'Prev.Ventas 4'!K21</f>
        <v>0</v>
      </c>
      <c r="M35" s="961">
        <f>'Prev.Ventas 4'!L21</f>
        <v>0</v>
      </c>
      <c r="N35" s="961">
        <f>'Prev.Ventas 4'!M21</f>
        <v>0</v>
      </c>
      <c r="O35" s="962">
        <f t="shared" si="6"/>
        <v>0</v>
      </c>
    </row>
    <row r="36" spans="1:15" x14ac:dyDescent="0.3">
      <c r="A36" s="779" t="str">
        <f>'Estimacion Ventas'!A17</f>
        <v/>
      </c>
      <c r="B36" s="780">
        <f>Parametros!E29</f>
        <v>0</v>
      </c>
      <c r="C36" s="961">
        <f>'Prev.Ventas 4'!B22</f>
        <v>0</v>
      </c>
      <c r="D36" s="961">
        <f>'Prev.Ventas 4'!C22</f>
        <v>0</v>
      </c>
      <c r="E36" s="961">
        <f>'Prev.Ventas 4'!D22</f>
        <v>0</v>
      </c>
      <c r="F36" s="961">
        <f>'Prev.Ventas 4'!E22</f>
        <v>0</v>
      </c>
      <c r="G36" s="961">
        <f>'Prev.Ventas 4'!F22</f>
        <v>0</v>
      </c>
      <c r="H36" s="961">
        <f>'Prev.Ventas 4'!G22</f>
        <v>0</v>
      </c>
      <c r="I36" s="961">
        <f>'Prev.Ventas 4'!H22</f>
        <v>0</v>
      </c>
      <c r="J36" s="961">
        <f>'Prev.Ventas 4'!I22</f>
        <v>0</v>
      </c>
      <c r="K36" s="961">
        <f>'Prev.Ventas 4'!J22</f>
        <v>0</v>
      </c>
      <c r="L36" s="961">
        <f>'Prev.Ventas 4'!K22</f>
        <v>0</v>
      </c>
      <c r="M36" s="961">
        <f>'Prev.Ventas 4'!L22</f>
        <v>0</v>
      </c>
      <c r="N36" s="961">
        <f>'Prev.Ventas 4'!M22</f>
        <v>0</v>
      </c>
      <c r="O36" s="962">
        <f t="shared" si="6"/>
        <v>0</v>
      </c>
    </row>
    <row r="37" spans="1:15" x14ac:dyDescent="0.3">
      <c r="A37" s="779" t="str">
        <f>'Estimacion Ventas'!A18</f>
        <v/>
      </c>
      <c r="B37" s="780">
        <f>Parametros!E30</f>
        <v>0</v>
      </c>
      <c r="C37" s="961">
        <f>'Prev.Ventas 4'!B23</f>
        <v>0</v>
      </c>
      <c r="D37" s="961">
        <f>'Prev.Ventas 4'!C23</f>
        <v>0</v>
      </c>
      <c r="E37" s="961">
        <f>'Prev.Ventas 4'!D23</f>
        <v>0</v>
      </c>
      <c r="F37" s="961">
        <f>'Prev.Ventas 4'!E23</f>
        <v>0</v>
      </c>
      <c r="G37" s="961">
        <f>'Prev.Ventas 4'!F23</f>
        <v>0</v>
      </c>
      <c r="H37" s="961">
        <f>'Prev.Ventas 4'!G23</f>
        <v>0</v>
      </c>
      <c r="I37" s="961">
        <f>'Prev.Ventas 4'!H23</f>
        <v>0</v>
      </c>
      <c r="J37" s="961">
        <f>'Prev.Ventas 4'!I23</f>
        <v>0</v>
      </c>
      <c r="K37" s="961">
        <f>'Prev.Ventas 4'!J23</f>
        <v>0</v>
      </c>
      <c r="L37" s="961">
        <f>'Prev.Ventas 4'!K23</f>
        <v>0</v>
      </c>
      <c r="M37" s="961">
        <f>'Prev.Ventas 4'!L23</f>
        <v>0</v>
      </c>
      <c r="N37" s="961">
        <f>'Prev.Ventas 4'!M23</f>
        <v>0</v>
      </c>
      <c r="O37" s="962">
        <f t="shared" si="6"/>
        <v>0</v>
      </c>
    </row>
    <row r="38" spans="1:15" ht="18" thickBot="1" x14ac:dyDescent="0.35">
      <c r="A38" s="781" t="str">
        <f>'Estimacion Ventas'!A19</f>
        <v/>
      </c>
      <c r="B38" s="782">
        <f>Parametros!E31</f>
        <v>0</v>
      </c>
      <c r="C38" s="963">
        <f>'Prev.Ventas 4'!B24</f>
        <v>0</v>
      </c>
      <c r="D38" s="963">
        <f>'Prev.Ventas 4'!C24</f>
        <v>0</v>
      </c>
      <c r="E38" s="963">
        <f>'Prev.Ventas 4'!D24</f>
        <v>0</v>
      </c>
      <c r="F38" s="963">
        <f>'Prev.Ventas 4'!E24</f>
        <v>0</v>
      </c>
      <c r="G38" s="963">
        <f>'Prev.Ventas 4'!F24</f>
        <v>0</v>
      </c>
      <c r="H38" s="963">
        <f>'Prev.Ventas 4'!G24</f>
        <v>0</v>
      </c>
      <c r="I38" s="963">
        <f>'Prev.Ventas 4'!H24</f>
        <v>0</v>
      </c>
      <c r="J38" s="963">
        <f>'Prev.Ventas 4'!I24</f>
        <v>0</v>
      </c>
      <c r="K38" s="963">
        <f>'Prev.Ventas 4'!J24</f>
        <v>0</v>
      </c>
      <c r="L38" s="963">
        <f>'Prev.Ventas 4'!K24</f>
        <v>0</v>
      </c>
      <c r="M38" s="963">
        <f>'Prev.Ventas 4'!L24</f>
        <v>0</v>
      </c>
      <c r="N38" s="963">
        <f>'Prev.Ventas 4'!M24</f>
        <v>0</v>
      </c>
      <c r="O38" s="964">
        <f t="shared" si="6"/>
        <v>0</v>
      </c>
    </row>
    <row r="39" spans="1:15" ht="18" thickBot="1" x14ac:dyDescent="0.35">
      <c r="A39" s="783" t="s">
        <v>197</v>
      </c>
      <c r="B39" s="443"/>
      <c r="C39" s="965">
        <f t="shared" ref="C39:N39" si="7">SUMIF($B$31:$B$38,"&lt;&gt;0",C31:C38)</f>
        <v>0</v>
      </c>
      <c r="D39" s="966">
        <f t="shared" si="7"/>
        <v>0</v>
      </c>
      <c r="E39" s="967">
        <f t="shared" si="7"/>
        <v>0</v>
      </c>
      <c r="F39" s="967">
        <f t="shared" si="7"/>
        <v>0</v>
      </c>
      <c r="G39" s="967">
        <f t="shared" si="7"/>
        <v>0</v>
      </c>
      <c r="H39" s="967">
        <f t="shared" si="7"/>
        <v>0</v>
      </c>
      <c r="I39" s="967">
        <f t="shared" si="7"/>
        <v>0</v>
      </c>
      <c r="J39" s="967">
        <f t="shared" si="7"/>
        <v>0</v>
      </c>
      <c r="K39" s="967">
        <f t="shared" si="7"/>
        <v>0</v>
      </c>
      <c r="L39" s="967">
        <f t="shared" si="7"/>
        <v>0</v>
      </c>
      <c r="M39" s="967">
        <f t="shared" si="7"/>
        <v>0</v>
      </c>
      <c r="N39" s="968">
        <f t="shared" si="7"/>
        <v>0</v>
      </c>
      <c r="O39" s="969">
        <f t="shared" si="6"/>
        <v>0</v>
      </c>
    </row>
    <row r="40" spans="1:15" ht="18" thickBot="1" x14ac:dyDescent="0.35">
      <c r="A40" s="783" t="s">
        <v>198</v>
      </c>
      <c r="B40" s="443"/>
      <c r="C40" s="970">
        <f t="shared" ref="C40:N40" si="8">SUMIF($B$31:$B$38,"=0",C31:C38)</f>
        <v>0</v>
      </c>
      <c r="D40" s="971">
        <f t="shared" si="8"/>
        <v>0</v>
      </c>
      <c r="E40" s="971">
        <f t="shared" si="8"/>
        <v>0</v>
      </c>
      <c r="F40" s="971">
        <f t="shared" si="8"/>
        <v>0</v>
      </c>
      <c r="G40" s="971">
        <f t="shared" si="8"/>
        <v>0</v>
      </c>
      <c r="H40" s="971">
        <f t="shared" si="8"/>
        <v>0</v>
      </c>
      <c r="I40" s="971">
        <f t="shared" si="8"/>
        <v>0</v>
      </c>
      <c r="J40" s="971">
        <f t="shared" si="8"/>
        <v>0</v>
      </c>
      <c r="K40" s="971">
        <f t="shared" si="8"/>
        <v>0</v>
      </c>
      <c r="L40" s="971">
        <f t="shared" si="8"/>
        <v>0</v>
      </c>
      <c r="M40" s="971">
        <f t="shared" si="8"/>
        <v>0</v>
      </c>
      <c r="N40" s="972">
        <f t="shared" si="8"/>
        <v>0</v>
      </c>
      <c r="O40" s="973">
        <f t="shared" si="6"/>
        <v>0</v>
      </c>
    </row>
    <row r="41" spans="1:15" ht="18" thickBot="1" x14ac:dyDescent="0.35">
      <c r="A41" s="783" t="s">
        <v>196</v>
      </c>
      <c r="B41" s="443"/>
      <c r="C41" s="974">
        <f t="shared" ref="C41:N41" si="9">C40+C39</f>
        <v>0</v>
      </c>
      <c r="D41" s="975">
        <f t="shared" si="9"/>
        <v>0</v>
      </c>
      <c r="E41" s="975">
        <f t="shared" si="9"/>
        <v>0</v>
      </c>
      <c r="F41" s="975">
        <f t="shared" si="9"/>
        <v>0</v>
      </c>
      <c r="G41" s="975">
        <f t="shared" si="9"/>
        <v>0</v>
      </c>
      <c r="H41" s="975">
        <f t="shared" si="9"/>
        <v>0</v>
      </c>
      <c r="I41" s="975">
        <f t="shared" si="9"/>
        <v>0</v>
      </c>
      <c r="J41" s="975">
        <f t="shared" si="9"/>
        <v>0</v>
      </c>
      <c r="K41" s="975">
        <f t="shared" si="9"/>
        <v>0</v>
      </c>
      <c r="L41" s="975">
        <f t="shared" si="9"/>
        <v>0</v>
      </c>
      <c r="M41" s="975">
        <f t="shared" si="9"/>
        <v>0</v>
      </c>
      <c r="N41" s="976">
        <f t="shared" si="9"/>
        <v>0</v>
      </c>
      <c r="O41" s="973">
        <f t="shared" si="6"/>
        <v>0</v>
      </c>
    </row>
    <row r="42" spans="1:15" ht="18" thickBot="1" x14ac:dyDescent="0.35">
      <c r="A42" s="784" t="s">
        <v>199</v>
      </c>
      <c r="B42" s="785"/>
      <c r="C42" s="786"/>
      <c r="D42" s="787"/>
      <c r="E42" s="786">
        <f>IF(SUM(C41:E41)&lt;0.4,1,SUM(C39:E39)/SUM(C41:E41))</f>
        <v>1</v>
      </c>
      <c r="F42" s="786"/>
      <c r="G42" s="787"/>
      <c r="H42" s="786">
        <f>IF(SUM(F41:H41)&lt;0.4,1,SUM(F39:H39)/SUM(F41:H41))</f>
        <v>1</v>
      </c>
      <c r="I42" s="787"/>
      <c r="J42" s="787"/>
      <c r="K42" s="786">
        <f>IF(SUM(I41:K41)&lt;0.4,1,SUM(I39:K39)/SUM(I41:K41))</f>
        <v>1</v>
      </c>
      <c r="L42" s="787"/>
      <c r="M42" s="788"/>
      <c r="N42" s="789">
        <f>IF(SUM(L41:N41)&lt;0.4,1,SUM(L39:N39)/SUM(L41:N41))</f>
        <v>1</v>
      </c>
      <c r="O42" s="790"/>
    </row>
    <row r="43" spans="1:15" ht="18" thickTop="1" x14ac:dyDescent="0.3"/>
  </sheetData>
  <sheetProtection sheet="1" objects="1" scenarios="1" formatCells="0" formatColumns="0"/>
  <phoneticPr fontId="13" type="noConversion"/>
  <conditionalFormatting sqref="C31:N38">
    <cfRule type="expression" dxfId="13" priority="1" stopIfTrue="1">
      <formula>C31=""</formula>
    </cfRule>
  </conditionalFormatting>
  <printOptions horizontalCentered="1"/>
  <pageMargins left="0.57999999999999996" right="0.75" top="0.46" bottom="0.89" header="0" footer="0"/>
  <pageSetup paperSize="9" scale="67" orientation="landscape" horizontalDpi="300"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Hoja29">
    <pageSetUpPr fitToPage="1"/>
  </sheetPr>
  <dimension ref="A1:R79"/>
  <sheetViews>
    <sheetView showGridLines="0" workbookViewId="0">
      <selection activeCell="D62" sqref="D62"/>
    </sheetView>
  </sheetViews>
  <sheetFormatPr baseColWidth="10" defaultRowHeight="17.25" x14ac:dyDescent="0.3"/>
  <cols>
    <col min="1" max="1" width="29" style="307" customWidth="1"/>
    <col min="2" max="2" width="9.25" style="307" customWidth="1"/>
    <col min="3" max="3" width="11" style="307"/>
    <col min="4" max="4" width="11.625" style="307" customWidth="1"/>
    <col min="5" max="5" width="10.25" style="307" bestFit="1" customWidth="1"/>
    <col min="6" max="9" width="10.625" style="307" bestFit="1" customWidth="1"/>
    <col min="10" max="10" width="10.25" style="307" bestFit="1" customWidth="1"/>
    <col min="11" max="11" width="11.625" style="307" bestFit="1" customWidth="1"/>
    <col min="12" max="13" width="11" style="307"/>
    <col min="14" max="14" width="10.625" style="307" bestFit="1" customWidth="1"/>
    <col min="15" max="15" width="11.75" style="307" bestFit="1" customWidth="1"/>
    <col min="16" max="16" width="11.75" style="307" customWidth="1"/>
    <col min="17" max="17" width="21.875" style="307" bestFit="1" customWidth="1"/>
    <col min="18" max="16384" width="11" style="307"/>
  </cols>
  <sheetData>
    <row r="1" spans="1:18" ht="30" customHeight="1" x14ac:dyDescent="0.45">
      <c r="A1" s="1308" t="s">
        <v>460</v>
      </c>
      <c r="B1" s="1232"/>
      <c r="C1" s="1233"/>
      <c r="D1" s="1233"/>
      <c r="E1" s="1233"/>
      <c r="F1" s="1308"/>
      <c r="G1" s="1234"/>
      <c r="H1" s="1234"/>
      <c r="I1" s="1234"/>
      <c r="J1" s="1234"/>
      <c r="K1" s="1234"/>
      <c r="L1" s="1234"/>
      <c r="M1" s="1234"/>
      <c r="N1" s="1234"/>
      <c r="O1" s="1234"/>
      <c r="P1" s="1234"/>
    </row>
    <row r="2" spans="1:18" ht="27.75" x14ac:dyDescent="0.45">
      <c r="A2" s="408">
        <f>'Datos Básicos'!B8</f>
        <v>0</v>
      </c>
      <c r="B2" s="445"/>
      <c r="C2" s="446"/>
      <c r="D2" s="446"/>
      <c r="E2" s="446"/>
      <c r="F2" s="446"/>
      <c r="G2" s="446"/>
      <c r="H2" s="446"/>
      <c r="Q2" s="1189"/>
      <c r="R2" s="1075"/>
    </row>
    <row r="3" spans="1:18" ht="27.75" x14ac:dyDescent="0.45">
      <c r="A3" s="408"/>
      <c r="B3" s="445"/>
      <c r="C3" s="446"/>
      <c r="D3" s="446"/>
      <c r="E3" s="446"/>
      <c r="F3" s="446"/>
      <c r="G3" s="446"/>
      <c r="H3" s="446"/>
      <c r="Q3" s="1189"/>
      <c r="R3" s="1075"/>
    </row>
    <row r="4" spans="1:18" ht="27.75" x14ac:dyDescent="0.45">
      <c r="A4" s="408"/>
      <c r="B4" s="445"/>
      <c r="C4" s="446"/>
      <c r="D4" s="446"/>
      <c r="E4" s="446"/>
      <c r="F4" s="446"/>
      <c r="G4" s="446"/>
      <c r="H4" s="446"/>
    </row>
    <row r="5" spans="1:18" ht="19.5" customHeight="1" x14ac:dyDescent="0.45">
      <c r="A5" s="408"/>
      <c r="B5" s="445"/>
      <c r="C5" s="446"/>
      <c r="D5" s="446"/>
      <c r="E5" s="446"/>
      <c r="F5" s="446"/>
      <c r="G5" s="446"/>
      <c r="H5" s="446"/>
    </row>
    <row r="6" spans="1:18" ht="27.75" x14ac:dyDescent="0.45">
      <c r="A6" s="1308" t="s">
        <v>873</v>
      </c>
      <c r="B6" s="1232"/>
      <c r="C6" s="1233"/>
      <c r="D6" s="1233"/>
      <c r="E6" s="1233"/>
      <c r="F6" s="1233"/>
      <c r="G6" s="1233"/>
      <c r="H6" s="1233"/>
      <c r="I6" s="1234"/>
      <c r="J6" s="1234"/>
      <c r="K6" s="1234"/>
      <c r="L6" s="1234"/>
      <c r="M6" s="1234"/>
      <c r="N6" s="1234"/>
      <c r="O6" s="1234"/>
      <c r="P6" s="661"/>
    </row>
    <row r="7" spans="1:18" ht="15" customHeight="1" thickBot="1" x14ac:dyDescent="0.5">
      <c r="A7" s="408"/>
      <c r="B7" s="445"/>
      <c r="C7" s="446"/>
      <c r="D7" s="446"/>
      <c r="E7" s="446"/>
      <c r="F7" s="446"/>
      <c r="G7" s="446"/>
      <c r="H7" s="446"/>
    </row>
    <row r="8" spans="1:18" s="407" customFormat="1" x14ac:dyDescent="0.25">
      <c r="A8" s="1843" t="str">
        <f>CONCATENATE("Gastos Financieros ",'Datos Básicos'!$B$17)</f>
        <v>Gastos Financieros 2026</v>
      </c>
      <c r="B8" s="1844" t="s">
        <v>1075</v>
      </c>
      <c r="C8" s="1844" t="s">
        <v>960</v>
      </c>
      <c r="D8" s="1844" t="s">
        <v>961</v>
      </c>
      <c r="E8" s="1844" t="s">
        <v>962</v>
      </c>
      <c r="F8" s="1844" t="s">
        <v>963</v>
      </c>
      <c r="G8" s="1844" t="s">
        <v>964</v>
      </c>
      <c r="H8" s="1844" t="s">
        <v>965</v>
      </c>
      <c r="I8" s="1844" t="s">
        <v>966</v>
      </c>
      <c r="J8" s="1844" t="s">
        <v>967</v>
      </c>
      <c r="K8" s="1844" t="s">
        <v>968</v>
      </c>
      <c r="L8" s="1844" t="s">
        <v>969</v>
      </c>
      <c r="M8" s="1844" t="s">
        <v>970</v>
      </c>
      <c r="N8" s="1844" t="s">
        <v>972</v>
      </c>
      <c r="O8" s="2153" t="s">
        <v>860</v>
      </c>
      <c r="P8" s="481"/>
    </row>
    <row r="9" spans="1:18" x14ac:dyDescent="0.3">
      <c r="A9" s="1839" t="s">
        <v>1076</v>
      </c>
      <c r="B9" s="1840">
        <f>'Tesorería 0'!B27</f>
        <v>0</v>
      </c>
      <c r="C9" s="1841">
        <f>'Tesorería 0'!C27</f>
        <v>3309.7200000000003</v>
      </c>
      <c r="D9" s="1841">
        <f>'Tesorería 0'!D27</f>
        <v>4638.7466999999997</v>
      </c>
      <c r="E9" s="1841">
        <f>'Tesorería 0'!E27</f>
        <v>5975.5260557500005</v>
      </c>
      <c r="F9" s="1841">
        <f>'Tesorería 0'!F27</f>
        <v>7320.1032910752092</v>
      </c>
      <c r="G9" s="1842">
        <f>'Tesorería 0'!G27</f>
        <v>8672.5238936064816</v>
      </c>
      <c r="H9" s="1842">
        <f>'Tesorería 0'!H27</f>
        <v>10032.833616319185</v>
      </c>
      <c r="I9" s="1842">
        <f>'Tesorería 0'!I27</f>
        <v>11401.078479081047</v>
      </c>
      <c r="J9" s="1842">
        <f>'Tesorería 0'!J27</f>
        <v>12777.304770209019</v>
      </c>
      <c r="K9" s="1842">
        <f>'Tesorería 0'!K27</f>
        <v>14161.559048035238</v>
      </c>
      <c r="L9" s="1842">
        <f>'Tesorería 0'!L27</f>
        <v>15553.88814248211</v>
      </c>
      <c r="M9" s="1842">
        <f>'Tesorería 0'!M27</f>
        <v>16954.339156646587</v>
      </c>
      <c r="N9" s="1842">
        <f>'Tesorería 0'!N27</f>
        <v>18362.959468393696</v>
      </c>
      <c r="O9" s="2154"/>
      <c r="P9" s="1138"/>
    </row>
    <row r="10" spans="1:18" ht="19.5" x14ac:dyDescent="0.3">
      <c r="A10" s="1174"/>
      <c r="B10" s="1138"/>
      <c r="C10" s="1138"/>
      <c r="D10" s="1138"/>
      <c r="E10" s="1138"/>
      <c r="F10" s="1138"/>
      <c r="G10" s="1138"/>
      <c r="H10" s="1138"/>
      <c r="I10" s="1138"/>
      <c r="J10" s="1138"/>
      <c r="K10" s="1138"/>
      <c r="L10" s="1138"/>
      <c r="M10" s="1138"/>
      <c r="N10" s="1138"/>
      <c r="O10" s="2155"/>
      <c r="P10" s="1138"/>
    </row>
    <row r="11" spans="1:18" x14ac:dyDescent="0.3">
      <c r="A11" s="1435" t="s">
        <v>801</v>
      </c>
      <c r="B11" s="1436">
        <f>Parametros!$C$7</f>
        <v>7.0000000000000007E-2</v>
      </c>
      <c r="C11" s="1138">
        <f t="shared" ref="C11:N11" si="0">IF(COLUMN(C9)-2&lt;mes0,0,$B11/12*B9)</f>
        <v>0</v>
      </c>
      <c r="D11" s="1138">
        <f t="shared" si="0"/>
        <v>19.306700000000003</v>
      </c>
      <c r="E11" s="1138">
        <f t="shared" si="0"/>
        <v>27.059355749999998</v>
      </c>
      <c r="F11" s="1138">
        <f t="shared" si="0"/>
        <v>34.857235325208336</v>
      </c>
      <c r="G11" s="1139">
        <f t="shared" si="0"/>
        <v>42.700602531272054</v>
      </c>
      <c r="H11" s="1139">
        <f t="shared" si="0"/>
        <v>50.589722712704479</v>
      </c>
      <c r="I11" s="1139">
        <f t="shared" si="0"/>
        <v>58.524862761861918</v>
      </c>
      <c r="J11" s="1139">
        <f t="shared" si="0"/>
        <v>66.506291127972773</v>
      </c>
      <c r="K11" s="1139">
        <f t="shared" si="0"/>
        <v>74.534277826219281</v>
      </c>
      <c r="L11" s="1139">
        <f t="shared" si="0"/>
        <v>82.609094446872234</v>
      </c>
      <c r="M11" s="1139">
        <f t="shared" si="0"/>
        <v>90.731014164478978</v>
      </c>
      <c r="N11" s="1139">
        <f t="shared" si="0"/>
        <v>98.900311747105093</v>
      </c>
      <c r="O11" s="2156">
        <f>SUM(C11:N11)</f>
        <v>646.31946839369516</v>
      </c>
      <c r="P11" s="389"/>
    </row>
    <row r="12" spans="1:18" x14ac:dyDescent="0.3">
      <c r="A12" s="1435" t="s">
        <v>802</v>
      </c>
      <c r="B12" s="643"/>
      <c r="C12" s="1138">
        <f>Renting!B21</f>
        <v>0</v>
      </c>
      <c r="D12" s="1138">
        <f>Renting!C21</f>
        <v>0</v>
      </c>
      <c r="E12" s="1138">
        <f>Renting!D21</f>
        <v>0</v>
      </c>
      <c r="F12" s="1138">
        <f>Renting!E21</f>
        <v>0</v>
      </c>
      <c r="G12" s="1139">
        <f>Renting!F21</f>
        <v>0</v>
      </c>
      <c r="H12" s="1139">
        <f>Renting!G21</f>
        <v>0</v>
      </c>
      <c r="I12" s="1139">
        <f>Renting!H21</f>
        <v>0</v>
      </c>
      <c r="J12" s="1139">
        <f>Renting!I21</f>
        <v>0</v>
      </c>
      <c r="K12" s="1139">
        <f>Renting!J21</f>
        <v>0</v>
      </c>
      <c r="L12" s="1139">
        <f>Renting!K21</f>
        <v>0</v>
      </c>
      <c r="M12" s="1139">
        <f>Renting!L21</f>
        <v>0</v>
      </c>
      <c r="N12" s="1139">
        <f>Renting!M21</f>
        <v>0</v>
      </c>
      <c r="O12" s="2156">
        <f>SUM(C12:N12)</f>
        <v>0</v>
      </c>
      <c r="P12" s="389"/>
    </row>
    <row r="13" spans="1:18" x14ac:dyDescent="0.3">
      <c r="A13" s="1435" t="s">
        <v>799</v>
      </c>
      <c r="B13" s="1138"/>
      <c r="C13" s="1138">
        <f>Préstamos!B19</f>
        <v>0</v>
      </c>
      <c r="D13" s="1138">
        <f>Préstamos!C19</f>
        <v>0</v>
      </c>
      <c r="E13" s="1138">
        <f>Préstamos!D19</f>
        <v>0</v>
      </c>
      <c r="F13" s="1138">
        <f>Préstamos!E19</f>
        <v>0</v>
      </c>
      <c r="G13" s="1139">
        <f>Préstamos!F19</f>
        <v>0</v>
      </c>
      <c r="H13" s="1139">
        <f>Préstamos!G19</f>
        <v>0</v>
      </c>
      <c r="I13" s="1139">
        <f>Préstamos!H19</f>
        <v>0</v>
      </c>
      <c r="J13" s="1139">
        <f>Préstamos!I19</f>
        <v>0</v>
      </c>
      <c r="K13" s="1139">
        <f>Préstamos!J19</f>
        <v>0</v>
      </c>
      <c r="L13" s="1139">
        <f>Préstamos!K19</f>
        <v>0</v>
      </c>
      <c r="M13" s="1139">
        <f>Préstamos!L19</f>
        <v>0</v>
      </c>
      <c r="N13" s="1139">
        <f>Préstamos!M19</f>
        <v>0</v>
      </c>
      <c r="O13" s="2157">
        <f>SUM(C13:N13)</f>
        <v>0</v>
      </c>
      <c r="P13" s="1139"/>
    </row>
    <row r="14" spans="1:18" x14ac:dyDescent="0.3">
      <c r="A14" s="1435" t="s">
        <v>814</v>
      </c>
      <c r="B14" s="1138"/>
      <c r="C14" s="1138">
        <f>Leasing!B21</f>
        <v>0</v>
      </c>
      <c r="D14" s="1138">
        <f>Leasing!C21</f>
        <v>0</v>
      </c>
      <c r="E14" s="1138">
        <f>Leasing!D21</f>
        <v>0</v>
      </c>
      <c r="F14" s="1138">
        <f>Leasing!E21</f>
        <v>0</v>
      </c>
      <c r="G14" s="1139">
        <f>Leasing!F21</f>
        <v>0</v>
      </c>
      <c r="H14" s="1139">
        <f>Leasing!G21</f>
        <v>0</v>
      </c>
      <c r="I14" s="1139">
        <f>Leasing!H21</f>
        <v>0</v>
      </c>
      <c r="J14" s="1139">
        <f>Leasing!I21</f>
        <v>0</v>
      </c>
      <c r="K14" s="1139">
        <f>Leasing!J21</f>
        <v>0</v>
      </c>
      <c r="L14" s="1139">
        <f>Leasing!K21</f>
        <v>0</v>
      </c>
      <c r="M14" s="1139">
        <f>Leasing!L21</f>
        <v>0</v>
      </c>
      <c r="N14" s="1139">
        <f>Leasing!M21</f>
        <v>0</v>
      </c>
      <c r="O14" s="2157">
        <f>SUM(C14:N14)</f>
        <v>0</v>
      </c>
      <c r="P14" s="1139"/>
    </row>
    <row r="15" spans="1:18" ht="18" thickBot="1" x14ac:dyDescent="0.35">
      <c r="A15" s="2149" t="s">
        <v>860</v>
      </c>
      <c r="B15" s="2150"/>
      <c r="C15" s="2151">
        <f t="shared" ref="C15:N15" si="1">SUM(C11:C14)</f>
        <v>0</v>
      </c>
      <c r="D15" s="2151">
        <f t="shared" si="1"/>
        <v>19.306700000000003</v>
      </c>
      <c r="E15" s="2151">
        <f t="shared" si="1"/>
        <v>27.059355749999998</v>
      </c>
      <c r="F15" s="2151">
        <f t="shared" si="1"/>
        <v>34.857235325208336</v>
      </c>
      <c r="G15" s="2152">
        <f t="shared" si="1"/>
        <v>42.700602531272054</v>
      </c>
      <c r="H15" s="2152">
        <f t="shared" si="1"/>
        <v>50.589722712704479</v>
      </c>
      <c r="I15" s="2152">
        <f t="shared" si="1"/>
        <v>58.524862761861918</v>
      </c>
      <c r="J15" s="2152">
        <f t="shared" si="1"/>
        <v>66.506291127972773</v>
      </c>
      <c r="K15" s="2152">
        <f t="shared" si="1"/>
        <v>74.534277826219281</v>
      </c>
      <c r="L15" s="2152">
        <f t="shared" si="1"/>
        <v>82.609094446872234</v>
      </c>
      <c r="M15" s="2152">
        <f t="shared" si="1"/>
        <v>90.731014164478978</v>
      </c>
      <c r="N15" s="2152">
        <f t="shared" si="1"/>
        <v>98.900311747105093</v>
      </c>
      <c r="O15" s="2158">
        <f>SUM(O11:O14)</f>
        <v>646.31946839369516</v>
      </c>
      <c r="P15" s="1136"/>
    </row>
    <row r="16" spans="1:18" ht="18" thickBot="1" x14ac:dyDescent="0.35">
      <c r="C16" s="1016">
        <v>1</v>
      </c>
      <c r="D16" s="1016">
        <v>2</v>
      </c>
      <c r="E16" s="1016">
        <v>3</v>
      </c>
      <c r="F16" s="1016">
        <v>4</v>
      </c>
      <c r="G16" s="1016">
        <v>5</v>
      </c>
      <c r="H16" s="1016">
        <v>6</v>
      </c>
      <c r="I16" s="1016">
        <v>7</v>
      </c>
      <c r="J16" s="1016">
        <v>8</v>
      </c>
      <c r="K16" s="1016">
        <v>9</v>
      </c>
      <c r="L16" s="1016">
        <v>10</v>
      </c>
      <c r="M16" s="1016">
        <v>11</v>
      </c>
      <c r="N16" s="1016">
        <v>12</v>
      </c>
    </row>
    <row r="17" spans="1:16" s="407" customFormat="1" x14ac:dyDescent="0.25">
      <c r="A17" s="1843" t="str">
        <f>CONCATENATE("Gastos Financieros ",'Datos Básicos'!$C$17)</f>
        <v>Gastos Financieros 2027</v>
      </c>
      <c r="B17" s="1844" t="s">
        <v>1075</v>
      </c>
      <c r="C17" s="1844" t="str">
        <f t="shared" ref="C17:N17" si="2">C$8</f>
        <v>enero</v>
      </c>
      <c r="D17" s="1844" t="str">
        <f t="shared" si="2"/>
        <v>febrero</v>
      </c>
      <c r="E17" s="1844" t="str">
        <f t="shared" si="2"/>
        <v>marzo</v>
      </c>
      <c r="F17" s="1844" t="str">
        <f t="shared" si="2"/>
        <v>abril</v>
      </c>
      <c r="G17" s="1844" t="str">
        <f t="shared" si="2"/>
        <v>mayo</v>
      </c>
      <c r="H17" s="1844" t="str">
        <f t="shared" si="2"/>
        <v>junio</v>
      </c>
      <c r="I17" s="1844" t="str">
        <f t="shared" si="2"/>
        <v>julio</v>
      </c>
      <c r="J17" s="1844" t="str">
        <f t="shared" si="2"/>
        <v>agosto</v>
      </c>
      <c r="K17" s="1844" t="str">
        <f t="shared" si="2"/>
        <v>septiembre</v>
      </c>
      <c r="L17" s="1844" t="str">
        <f t="shared" si="2"/>
        <v>octubre</v>
      </c>
      <c r="M17" s="1844" t="str">
        <f t="shared" si="2"/>
        <v>noviembre</v>
      </c>
      <c r="N17" s="1844" t="str">
        <f t="shared" si="2"/>
        <v>diciembre</v>
      </c>
      <c r="O17" s="2153" t="s">
        <v>860</v>
      </c>
      <c r="P17" s="481"/>
    </row>
    <row r="18" spans="1:16" x14ac:dyDescent="0.3">
      <c r="A18" s="1839" t="s">
        <v>1076</v>
      </c>
      <c r="B18" s="1840">
        <f>'Tesorería 1'!B27</f>
        <v>18362.959468393696</v>
      </c>
      <c r="C18" s="1841">
        <f>'Tesorería 1'!C27</f>
        <v>19828.636731959326</v>
      </c>
      <c r="D18" s="1841">
        <f>'Tesorería 1'!D27</f>
        <v>21302.863779562424</v>
      </c>
      <c r="E18" s="1841">
        <f>'Tesorería 1'!E27</f>
        <v>22785.690484943203</v>
      </c>
      <c r="F18" s="1841">
        <f>'Tesorería 1'!F27</f>
        <v>24277.167012772039</v>
      </c>
      <c r="G18" s="1842">
        <f>'Tesorería 1'!G27</f>
        <v>25777.343820346541</v>
      </c>
      <c r="H18" s="1842">
        <f>'Tesorería 1'!H27</f>
        <v>27286.271659298563</v>
      </c>
      <c r="I18" s="1842">
        <f>'Tesorería 1'!I27</f>
        <v>28804.001577311137</v>
      </c>
      <c r="J18" s="1842">
        <f>'Tesorería 1'!J27</f>
        <v>30330.584919845453</v>
      </c>
      <c r="K18" s="1842">
        <f>'Tesorería 1'!K27</f>
        <v>31866.073331877884</v>
      </c>
      <c r="L18" s="1842">
        <f>'Tesorería 1'!L27</f>
        <v>33410.518759647173</v>
      </c>
      <c r="M18" s="1842">
        <f>'Tesorería 1'!M27</f>
        <v>34963.973452411781</v>
      </c>
      <c r="N18" s="1842">
        <f>'Tesorería 1'!N27</f>
        <v>36526.489964217515</v>
      </c>
      <c r="O18" s="2154"/>
      <c r="P18" s="1138"/>
    </row>
    <row r="19" spans="1:16" ht="19.5" x14ac:dyDescent="0.3">
      <c r="A19" s="1174"/>
      <c r="B19" s="1138"/>
      <c r="C19" s="1138"/>
      <c r="D19" s="1138"/>
      <c r="E19" s="1138"/>
      <c r="F19" s="1138"/>
      <c r="G19" s="1138"/>
      <c r="H19" s="1138"/>
      <c r="I19" s="1138"/>
      <c r="J19" s="1138"/>
      <c r="K19" s="1138"/>
      <c r="L19" s="1138"/>
      <c r="M19" s="1138"/>
      <c r="N19" s="1138"/>
      <c r="O19" s="2155"/>
      <c r="P19" s="1138"/>
    </row>
    <row r="20" spans="1:16" x14ac:dyDescent="0.3">
      <c r="A20" s="1435" t="s">
        <v>801</v>
      </c>
      <c r="B20" s="1436">
        <f>B11</f>
        <v>7.0000000000000007E-2</v>
      </c>
      <c r="C20" s="1138">
        <f>$B20/12*B18</f>
        <v>107.1172635656299</v>
      </c>
      <c r="D20" s="1138">
        <f>$B20/12*C18</f>
        <v>115.66704760309608</v>
      </c>
      <c r="E20" s="1138">
        <f t="shared" ref="E20:N20" si="3">$B20/12*D18</f>
        <v>124.26670538078081</v>
      </c>
      <c r="F20" s="1138">
        <f t="shared" si="3"/>
        <v>132.91652782883537</v>
      </c>
      <c r="G20" s="1139">
        <f t="shared" si="3"/>
        <v>141.61680757450355</v>
      </c>
      <c r="H20" s="1139">
        <f t="shared" si="3"/>
        <v>150.36783895202149</v>
      </c>
      <c r="I20" s="1139">
        <f t="shared" si="3"/>
        <v>159.16991801257495</v>
      </c>
      <c r="J20" s="1139">
        <f t="shared" si="3"/>
        <v>168.02334253431496</v>
      </c>
      <c r="K20" s="1139">
        <f t="shared" si="3"/>
        <v>176.92841203243182</v>
      </c>
      <c r="L20" s="1139">
        <f t="shared" si="3"/>
        <v>185.88542776928767</v>
      </c>
      <c r="M20" s="1139">
        <f t="shared" si="3"/>
        <v>194.89469276460852</v>
      </c>
      <c r="N20" s="1139">
        <f t="shared" si="3"/>
        <v>203.9565118057354</v>
      </c>
      <c r="O20" s="2156">
        <f>SUM(C20:N20)</f>
        <v>1860.8104958238205</v>
      </c>
      <c r="P20" s="389"/>
    </row>
    <row r="21" spans="1:16" x14ac:dyDescent="0.3">
      <c r="A21" s="1435" t="s">
        <v>802</v>
      </c>
      <c r="B21" s="643"/>
      <c r="C21" s="1138">
        <f>Renting!B29</f>
        <v>0</v>
      </c>
      <c r="D21" s="1138">
        <f>Renting!C29</f>
        <v>0</v>
      </c>
      <c r="E21" s="1138">
        <f>Renting!D29</f>
        <v>0</v>
      </c>
      <c r="F21" s="1138">
        <f>Renting!E29</f>
        <v>0</v>
      </c>
      <c r="G21" s="1139">
        <f>Renting!F29</f>
        <v>0</v>
      </c>
      <c r="H21" s="1139">
        <f>Renting!G29</f>
        <v>0</v>
      </c>
      <c r="I21" s="1139">
        <f>Renting!H29</f>
        <v>0</v>
      </c>
      <c r="J21" s="1139">
        <f>Renting!I29</f>
        <v>0</v>
      </c>
      <c r="K21" s="1139">
        <f>Renting!J29</f>
        <v>0</v>
      </c>
      <c r="L21" s="1139">
        <f>Renting!K29</f>
        <v>0</v>
      </c>
      <c r="M21" s="1139">
        <f>Renting!L29</f>
        <v>0</v>
      </c>
      <c r="N21" s="1139">
        <f>Renting!M29</f>
        <v>0</v>
      </c>
      <c r="O21" s="2156">
        <f>SUM(C21:N21)</f>
        <v>0</v>
      </c>
      <c r="P21" s="389"/>
    </row>
    <row r="22" spans="1:16" x14ac:dyDescent="0.3">
      <c r="A22" s="1435" t="s">
        <v>799</v>
      </c>
      <c r="B22" s="1138"/>
      <c r="C22" s="1138">
        <f>Préstamos!B25</f>
        <v>0</v>
      </c>
      <c r="D22" s="1138">
        <f>Préstamos!C25</f>
        <v>0</v>
      </c>
      <c r="E22" s="1138">
        <f>Préstamos!D25</f>
        <v>0</v>
      </c>
      <c r="F22" s="1138">
        <f>Préstamos!E25</f>
        <v>0</v>
      </c>
      <c r="G22" s="1139">
        <f>Préstamos!F25</f>
        <v>0</v>
      </c>
      <c r="H22" s="1139">
        <f>Préstamos!G25</f>
        <v>0</v>
      </c>
      <c r="I22" s="1139">
        <f>Préstamos!H25</f>
        <v>0</v>
      </c>
      <c r="J22" s="1139">
        <f>Préstamos!I25</f>
        <v>0</v>
      </c>
      <c r="K22" s="1139">
        <f>Préstamos!J25</f>
        <v>0</v>
      </c>
      <c r="L22" s="1139">
        <f>Préstamos!K25</f>
        <v>0</v>
      </c>
      <c r="M22" s="1139">
        <f>Préstamos!L25</f>
        <v>0</v>
      </c>
      <c r="N22" s="1139">
        <f>Préstamos!M25</f>
        <v>0</v>
      </c>
      <c r="O22" s="2157">
        <f>SUM(C22:N22)</f>
        <v>0</v>
      </c>
      <c r="P22" s="1139"/>
    </row>
    <row r="23" spans="1:16" x14ac:dyDescent="0.3">
      <c r="A23" s="1435" t="s">
        <v>814</v>
      </c>
      <c r="B23" s="1138"/>
      <c r="C23" s="1138">
        <f>Leasing!B28</f>
        <v>0</v>
      </c>
      <c r="D23" s="1138">
        <f>Leasing!C28</f>
        <v>0</v>
      </c>
      <c r="E23" s="1138">
        <f>Leasing!D28</f>
        <v>0</v>
      </c>
      <c r="F23" s="1138">
        <f>Leasing!E28</f>
        <v>0</v>
      </c>
      <c r="G23" s="1139">
        <f>Leasing!F28</f>
        <v>0</v>
      </c>
      <c r="H23" s="1139">
        <f>Leasing!G28</f>
        <v>0</v>
      </c>
      <c r="I23" s="1139">
        <f>Leasing!H28</f>
        <v>0</v>
      </c>
      <c r="J23" s="1139">
        <f>Leasing!I28</f>
        <v>0</v>
      </c>
      <c r="K23" s="1139">
        <f>Leasing!J28</f>
        <v>0</v>
      </c>
      <c r="L23" s="1139">
        <f>Leasing!K28</f>
        <v>0</v>
      </c>
      <c r="M23" s="1139">
        <f>Leasing!L28</f>
        <v>0</v>
      </c>
      <c r="N23" s="1139">
        <f>Leasing!M28</f>
        <v>0</v>
      </c>
      <c r="O23" s="2157">
        <f>SUM(C23:N23)</f>
        <v>0</v>
      </c>
      <c r="P23" s="1139"/>
    </row>
    <row r="24" spans="1:16" ht="18" thickBot="1" x14ac:dyDescent="0.35">
      <c r="A24" s="2149" t="s">
        <v>860</v>
      </c>
      <c r="B24" s="2150"/>
      <c r="C24" s="2151">
        <f t="shared" ref="C24:N24" si="4">SUM(C19:C23)</f>
        <v>107.1172635656299</v>
      </c>
      <c r="D24" s="2151">
        <f t="shared" si="4"/>
        <v>115.66704760309608</v>
      </c>
      <c r="E24" s="2151">
        <f t="shared" si="4"/>
        <v>124.26670538078081</v>
      </c>
      <c r="F24" s="2151">
        <f t="shared" si="4"/>
        <v>132.91652782883537</v>
      </c>
      <c r="G24" s="2152">
        <f t="shared" si="4"/>
        <v>141.61680757450355</v>
      </c>
      <c r="H24" s="2152">
        <f t="shared" si="4"/>
        <v>150.36783895202149</v>
      </c>
      <c r="I24" s="2152">
        <f t="shared" si="4"/>
        <v>159.16991801257495</v>
      </c>
      <c r="J24" s="2152">
        <f t="shared" si="4"/>
        <v>168.02334253431496</v>
      </c>
      <c r="K24" s="2152">
        <f t="shared" si="4"/>
        <v>176.92841203243182</v>
      </c>
      <c r="L24" s="2152">
        <f t="shared" si="4"/>
        <v>185.88542776928767</v>
      </c>
      <c r="M24" s="2152">
        <f t="shared" si="4"/>
        <v>194.89469276460852</v>
      </c>
      <c r="N24" s="2152">
        <f t="shared" si="4"/>
        <v>203.9565118057354</v>
      </c>
      <c r="O24" s="2158">
        <f>SUM(O20:O23)</f>
        <v>1860.8104958238205</v>
      </c>
      <c r="P24" s="1136"/>
    </row>
    <row r="25" spans="1:16" ht="18" thickBot="1" x14ac:dyDescent="0.35">
      <c r="B25" s="393"/>
      <c r="C25" s="305"/>
      <c r="D25" s="305"/>
      <c r="E25" s="305"/>
      <c r="F25" s="305"/>
      <c r="G25" s="305"/>
      <c r="H25" s="305"/>
      <c r="I25" s="305"/>
      <c r="J25" s="305"/>
      <c r="K25" s="305"/>
      <c r="L25" s="305"/>
      <c r="M25" s="305"/>
      <c r="N25" s="305"/>
      <c r="O25" s="305"/>
      <c r="P25" s="305"/>
    </row>
    <row r="26" spans="1:16" s="407" customFormat="1" x14ac:dyDescent="0.25">
      <c r="A26" s="1843" t="str">
        <f>CONCATENATE("Gastos Financieros ",'Datos Básicos'!$D$17)</f>
        <v>Gastos Financieros 2028</v>
      </c>
      <c r="B26" s="1844" t="s">
        <v>1075</v>
      </c>
      <c r="C26" s="1844" t="str">
        <f t="shared" ref="C26:N26" si="5">C$8</f>
        <v>enero</v>
      </c>
      <c r="D26" s="1844" t="str">
        <f t="shared" si="5"/>
        <v>febrero</v>
      </c>
      <c r="E26" s="1844" t="str">
        <f t="shared" si="5"/>
        <v>marzo</v>
      </c>
      <c r="F26" s="1844" t="str">
        <f t="shared" si="5"/>
        <v>abril</v>
      </c>
      <c r="G26" s="1844" t="str">
        <f t="shared" si="5"/>
        <v>mayo</v>
      </c>
      <c r="H26" s="1844" t="str">
        <f t="shared" si="5"/>
        <v>junio</v>
      </c>
      <c r="I26" s="1844" t="str">
        <f t="shared" si="5"/>
        <v>julio</v>
      </c>
      <c r="J26" s="1844" t="str">
        <f t="shared" si="5"/>
        <v>agosto</v>
      </c>
      <c r="K26" s="1844" t="str">
        <f t="shared" si="5"/>
        <v>septiembre</v>
      </c>
      <c r="L26" s="1844" t="str">
        <f t="shared" si="5"/>
        <v>octubre</v>
      </c>
      <c r="M26" s="1844" t="str">
        <f t="shared" si="5"/>
        <v>noviembre</v>
      </c>
      <c r="N26" s="1844" t="str">
        <f t="shared" si="5"/>
        <v>diciembre</v>
      </c>
      <c r="O26" s="2153" t="s">
        <v>860</v>
      </c>
      <c r="P26" s="481"/>
    </row>
    <row r="27" spans="1:16" x14ac:dyDescent="0.3">
      <c r="A27" s="1839" t="s">
        <v>1076</v>
      </c>
      <c r="B27" s="1840">
        <f>'Tesorería 2'!B27</f>
        <v>36526.489964217515</v>
      </c>
      <c r="C27" s="1841">
        <f>'Tesorería 2'!C27</f>
        <v>38266.07475567545</v>
      </c>
      <c r="D27" s="1841">
        <f>'Tesorería 2'!D27</f>
        <v>40015.807125083556</v>
      </c>
      <c r="E27" s="1841">
        <f>'Tesorería 2'!E27</f>
        <v>41775.746266646544</v>
      </c>
      <c r="F27" s="1841">
        <f>'Tesorería 2'!F27</f>
        <v>43545.951719868652</v>
      </c>
      <c r="G27" s="1842">
        <f>'Tesorería 2'!G27</f>
        <v>45326.483371567883</v>
      </c>
      <c r="H27" s="1842">
        <f>'Tesorería 2'!H27</f>
        <v>47117.40145790203</v>
      </c>
      <c r="I27" s="1842">
        <f>'Tesorería 2'!I27</f>
        <v>48918.766566406455</v>
      </c>
      <c r="J27" s="1842">
        <f>'Tesorería 2'!J27</f>
        <v>50730.639638043824</v>
      </c>
      <c r="K27" s="1842">
        <f>'Tesorería 2'!K27</f>
        <v>52553.081969265746</v>
      </c>
      <c r="L27" s="1842">
        <f>'Tesorería 2'!L27</f>
        <v>54386.155214086466</v>
      </c>
      <c r="M27" s="1842">
        <f>'Tesorería 2'!M27</f>
        <v>56229.921386168637</v>
      </c>
      <c r="N27" s="1842">
        <f>'Tesorería 2'!N27</f>
        <v>58084.442860921285</v>
      </c>
      <c r="O27" s="2154"/>
      <c r="P27" s="1138"/>
    </row>
    <row r="28" spans="1:16" ht="19.5" x14ac:dyDescent="0.3">
      <c r="A28" s="1174"/>
      <c r="B28" s="1138"/>
      <c r="C28" s="1138"/>
      <c r="D28" s="1138"/>
      <c r="E28" s="1138"/>
      <c r="F28" s="1138"/>
      <c r="G28" s="1138"/>
      <c r="H28" s="1138"/>
      <c r="I28" s="1138"/>
      <c r="J28" s="1138"/>
      <c r="K28" s="1138"/>
      <c r="L28" s="1138"/>
      <c r="M28" s="1138"/>
      <c r="N28" s="1138"/>
      <c r="O28" s="2155"/>
      <c r="P28" s="1138"/>
    </row>
    <row r="29" spans="1:16" x14ac:dyDescent="0.3">
      <c r="A29" s="1435" t="s">
        <v>801</v>
      </c>
      <c r="B29" s="1436">
        <f>'Gastos Financieros'!B11</f>
        <v>7.0000000000000007E-2</v>
      </c>
      <c r="C29" s="1138">
        <f>$B29/12*B27</f>
        <v>213.07119145793553</v>
      </c>
      <c r="D29" s="1138">
        <f>$B29/12*C27</f>
        <v>223.21876940810679</v>
      </c>
      <c r="E29" s="1138">
        <f t="shared" ref="E29:N29" si="6">$B29/12*D27</f>
        <v>233.42554156298743</v>
      </c>
      <c r="F29" s="1138">
        <f t="shared" si="6"/>
        <v>243.69185322210484</v>
      </c>
      <c r="G29" s="1139">
        <f t="shared" si="6"/>
        <v>254.01805169923381</v>
      </c>
      <c r="H29" s="1139">
        <f t="shared" si="6"/>
        <v>264.40448633414599</v>
      </c>
      <c r="I29" s="1139">
        <f t="shared" si="6"/>
        <v>274.85150850442852</v>
      </c>
      <c r="J29" s="1139">
        <f t="shared" si="6"/>
        <v>285.35947163737103</v>
      </c>
      <c r="K29" s="1139">
        <f t="shared" si="6"/>
        <v>295.92873122192231</v>
      </c>
      <c r="L29" s="1139">
        <f t="shared" si="6"/>
        <v>306.55964482071687</v>
      </c>
      <c r="M29" s="1139">
        <f t="shared" si="6"/>
        <v>317.25257208217107</v>
      </c>
      <c r="N29" s="1139">
        <f t="shared" si="6"/>
        <v>328.00787475265042</v>
      </c>
      <c r="O29" s="2156">
        <f>SUM(C29:N29)</f>
        <v>3239.7896967037746</v>
      </c>
      <c r="P29" s="389"/>
    </row>
    <row r="30" spans="1:16" x14ac:dyDescent="0.3">
      <c r="A30" s="1435" t="s">
        <v>802</v>
      </c>
      <c r="B30" s="643"/>
      <c r="C30" s="1138">
        <f>Renting!B37</f>
        <v>0</v>
      </c>
      <c r="D30" s="1138">
        <f>Renting!C37</f>
        <v>0</v>
      </c>
      <c r="E30" s="1138">
        <f>Renting!D37</f>
        <v>0</v>
      </c>
      <c r="F30" s="1138">
        <f>Renting!E37</f>
        <v>0</v>
      </c>
      <c r="G30" s="1139">
        <f>Renting!F37</f>
        <v>0</v>
      </c>
      <c r="H30" s="1139">
        <f>Renting!G37</f>
        <v>0</v>
      </c>
      <c r="I30" s="1139">
        <f>Renting!H37</f>
        <v>0</v>
      </c>
      <c r="J30" s="1139">
        <f>Renting!I37</f>
        <v>0</v>
      </c>
      <c r="K30" s="1139">
        <f>Renting!J37</f>
        <v>0</v>
      </c>
      <c r="L30" s="1139">
        <f>Renting!K37</f>
        <v>0</v>
      </c>
      <c r="M30" s="1139">
        <f>Renting!L37</f>
        <v>0</v>
      </c>
      <c r="N30" s="1139">
        <f>Renting!M37</f>
        <v>0</v>
      </c>
      <c r="O30" s="2156">
        <f>SUM(C30:N30)</f>
        <v>0</v>
      </c>
      <c r="P30" s="389"/>
    </row>
    <row r="31" spans="1:16" x14ac:dyDescent="0.3">
      <c r="A31" s="1435" t="s">
        <v>800</v>
      </c>
      <c r="B31" s="1138"/>
      <c r="C31" s="1138">
        <f>Préstamos!B31</f>
        <v>0</v>
      </c>
      <c r="D31" s="1138">
        <f>Préstamos!C31</f>
        <v>0</v>
      </c>
      <c r="E31" s="1138">
        <f>Préstamos!D31</f>
        <v>0</v>
      </c>
      <c r="F31" s="1138">
        <f>Préstamos!E31</f>
        <v>0</v>
      </c>
      <c r="G31" s="1139">
        <f>Préstamos!F31</f>
        <v>0</v>
      </c>
      <c r="H31" s="1139">
        <f>Préstamos!G31</f>
        <v>0</v>
      </c>
      <c r="I31" s="1139">
        <f>Préstamos!H31</f>
        <v>0</v>
      </c>
      <c r="J31" s="1139">
        <f>Préstamos!I31</f>
        <v>0</v>
      </c>
      <c r="K31" s="1139">
        <f>Préstamos!J31</f>
        <v>0</v>
      </c>
      <c r="L31" s="1139">
        <f>Préstamos!K31</f>
        <v>0</v>
      </c>
      <c r="M31" s="1139">
        <f>Préstamos!L31</f>
        <v>0</v>
      </c>
      <c r="N31" s="1139">
        <f>Préstamos!M31</f>
        <v>0</v>
      </c>
      <c r="O31" s="2157">
        <f>SUM(C31:N31)</f>
        <v>0</v>
      </c>
      <c r="P31" s="1139"/>
    </row>
    <row r="32" spans="1:16" x14ac:dyDescent="0.3">
      <c r="A32" s="1435" t="s">
        <v>814</v>
      </c>
      <c r="B32" s="1138"/>
      <c r="C32" s="1138">
        <f>Leasing!B35</f>
        <v>0</v>
      </c>
      <c r="D32" s="1138">
        <f>Leasing!C35</f>
        <v>0</v>
      </c>
      <c r="E32" s="1138">
        <f>Leasing!D35</f>
        <v>0</v>
      </c>
      <c r="F32" s="1138">
        <f>Leasing!E35</f>
        <v>0</v>
      </c>
      <c r="G32" s="1139">
        <f>Leasing!F35</f>
        <v>0</v>
      </c>
      <c r="H32" s="1139">
        <f>Leasing!G35</f>
        <v>0</v>
      </c>
      <c r="I32" s="1139">
        <f>Leasing!H35</f>
        <v>0</v>
      </c>
      <c r="J32" s="1139">
        <f>Leasing!I35</f>
        <v>0</v>
      </c>
      <c r="K32" s="1139">
        <f>Leasing!J35</f>
        <v>0</v>
      </c>
      <c r="L32" s="1139">
        <f>Leasing!K35</f>
        <v>0</v>
      </c>
      <c r="M32" s="1139">
        <f>Leasing!L35</f>
        <v>0</v>
      </c>
      <c r="N32" s="1139">
        <f>Leasing!M35</f>
        <v>0</v>
      </c>
      <c r="O32" s="2157">
        <f>SUM(C32:N32)</f>
        <v>0</v>
      </c>
      <c r="P32" s="1139"/>
    </row>
    <row r="33" spans="1:16" ht="18" thickBot="1" x14ac:dyDescent="0.35">
      <c r="A33" s="2149" t="s">
        <v>860</v>
      </c>
      <c r="B33" s="2150"/>
      <c r="C33" s="2151">
        <f t="shared" ref="C33:N33" si="7">SUM(C28:C32)</f>
        <v>213.07119145793553</v>
      </c>
      <c r="D33" s="2151">
        <f t="shared" si="7"/>
        <v>223.21876940810679</v>
      </c>
      <c r="E33" s="2151">
        <f t="shared" si="7"/>
        <v>233.42554156298743</v>
      </c>
      <c r="F33" s="2151">
        <f t="shared" si="7"/>
        <v>243.69185322210484</v>
      </c>
      <c r="G33" s="2152">
        <f t="shared" si="7"/>
        <v>254.01805169923381</v>
      </c>
      <c r="H33" s="2152">
        <f t="shared" si="7"/>
        <v>264.40448633414599</v>
      </c>
      <c r="I33" s="2152">
        <f t="shared" si="7"/>
        <v>274.85150850442852</v>
      </c>
      <c r="J33" s="2152">
        <f t="shared" si="7"/>
        <v>285.35947163737103</v>
      </c>
      <c r="K33" s="2152">
        <f t="shared" si="7"/>
        <v>295.92873122192231</v>
      </c>
      <c r="L33" s="2152">
        <f t="shared" si="7"/>
        <v>306.55964482071687</v>
      </c>
      <c r="M33" s="2152">
        <f t="shared" si="7"/>
        <v>317.25257208217107</v>
      </c>
      <c r="N33" s="2152">
        <f t="shared" si="7"/>
        <v>328.00787475265042</v>
      </c>
      <c r="O33" s="2158">
        <f>SUM(O29:O32)</f>
        <v>3239.7896967037746</v>
      </c>
      <c r="P33" s="1136"/>
    </row>
    <row r="34" spans="1:16" ht="27" customHeight="1" thickBot="1" x14ac:dyDescent="0.35"/>
    <row r="35" spans="1:16" s="407" customFormat="1" x14ac:dyDescent="0.25">
      <c r="A35" s="1843" t="str">
        <f>CONCATENATE("Gastos Financieros ",'Datos Básicos'!$D$17+1)</f>
        <v>Gastos Financieros 2029</v>
      </c>
      <c r="B35" s="1844" t="s">
        <v>1075</v>
      </c>
      <c r="C35" s="1844" t="str">
        <f t="shared" ref="C35:N35" si="8">C$8</f>
        <v>enero</v>
      </c>
      <c r="D35" s="1844" t="str">
        <f t="shared" si="8"/>
        <v>febrero</v>
      </c>
      <c r="E35" s="1844" t="str">
        <f t="shared" si="8"/>
        <v>marzo</v>
      </c>
      <c r="F35" s="1844" t="str">
        <f t="shared" si="8"/>
        <v>abril</v>
      </c>
      <c r="G35" s="1844" t="str">
        <f t="shared" si="8"/>
        <v>mayo</v>
      </c>
      <c r="H35" s="1844" t="str">
        <f t="shared" si="8"/>
        <v>junio</v>
      </c>
      <c r="I35" s="1844" t="str">
        <f t="shared" si="8"/>
        <v>julio</v>
      </c>
      <c r="J35" s="1844" t="str">
        <f t="shared" si="8"/>
        <v>agosto</v>
      </c>
      <c r="K35" s="1844" t="str">
        <f t="shared" si="8"/>
        <v>septiembre</v>
      </c>
      <c r="L35" s="1844" t="str">
        <f t="shared" si="8"/>
        <v>octubre</v>
      </c>
      <c r="M35" s="1844" t="str">
        <f t="shared" si="8"/>
        <v>noviembre</v>
      </c>
      <c r="N35" s="1844" t="str">
        <f t="shared" si="8"/>
        <v>diciembre</v>
      </c>
      <c r="O35" s="2153" t="s">
        <v>860</v>
      </c>
      <c r="P35" s="481"/>
    </row>
    <row r="36" spans="1:16" x14ac:dyDescent="0.3">
      <c r="A36" s="1839" t="s">
        <v>1076</v>
      </c>
      <c r="B36" s="1840">
        <f>'Tesorería 3'!B27</f>
        <v>58084.442860921285</v>
      </c>
      <c r="C36" s="1841">
        <f>'Tesorería 3'!C27</f>
        <v>60002.607721609995</v>
      </c>
      <c r="D36" s="1841">
        <f>'Tesorería 3'!D27</f>
        <v>61931.961877319387</v>
      </c>
      <c r="E36" s="1841">
        <f>'Tesorería 3'!E27</f>
        <v>63872.570598937084</v>
      </c>
      <c r="F36" s="1841">
        <f>'Tesorería 3'!F27</f>
        <v>65824.49953809756</v>
      </c>
      <c r="G36" s="1842">
        <f>'Tesorería 3'!G27</f>
        <v>67787.814729403122</v>
      </c>
      <c r="H36" s="1842">
        <f>'Tesorería 3'!H27</f>
        <v>69762.582592657971</v>
      </c>
      <c r="I36" s="1842">
        <f>'Tesorería 3'!I27</f>
        <v>71748.869935115144</v>
      </c>
      <c r="J36" s="1842">
        <f>'Tesorería 3'!J27</f>
        <v>73746.743953736644</v>
      </c>
      <c r="K36" s="1842">
        <f>'Tesorería 3'!K27</f>
        <v>75756.272237466779</v>
      </c>
      <c r="L36" s="1842">
        <f>'Tesorería 3'!L27</f>
        <v>77777.522769518662</v>
      </c>
      <c r="M36" s="1842">
        <f>'Tesorería 3'!M27</f>
        <v>79810.563929674187</v>
      </c>
      <c r="N36" s="1842">
        <f>'Tesorería 3'!N27</f>
        <v>81855.464496597284</v>
      </c>
      <c r="O36" s="2154"/>
      <c r="P36" s="1138"/>
    </row>
    <row r="37" spans="1:16" ht="19.5" x14ac:dyDescent="0.3">
      <c r="A37" s="1174"/>
      <c r="B37" s="1138"/>
      <c r="C37" s="1138"/>
      <c r="D37" s="1138"/>
      <c r="E37" s="1138"/>
      <c r="F37" s="1138"/>
      <c r="G37" s="1138"/>
      <c r="H37" s="1138"/>
      <c r="I37" s="1138"/>
      <c r="J37" s="1138"/>
      <c r="K37" s="1138"/>
      <c r="L37" s="1138"/>
      <c r="M37" s="1138"/>
      <c r="N37" s="1138"/>
      <c r="O37" s="2155"/>
      <c r="P37" s="1138"/>
    </row>
    <row r="38" spans="1:16" x14ac:dyDescent="0.3">
      <c r="A38" s="1435" t="s">
        <v>801</v>
      </c>
      <c r="B38" s="1436">
        <f>'Gastos Financieros'!B20</f>
        <v>7.0000000000000007E-2</v>
      </c>
      <c r="C38" s="1138">
        <f t="shared" ref="C38:N38" si="9">$B38/12*B36</f>
        <v>338.82591668870754</v>
      </c>
      <c r="D38" s="1138">
        <f t="shared" si="9"/>
        <v>350.01521170939168</v>
      </c>
      <c r="E38" s="1138">
        <f t="shared" si="9"/>
        <v>361.26977761769643</v>
      </c>
      <c r="F38" s="1138">
        <f t="shared" si="9"/>
        <v>372.58999516046634</v>
      </c>
      <c r="G38" s="1139">
        <f t="shared" si="9"/>
        <v>383.97624730556913</v>
      </c>
      <c r="H38" s="1139">
        <f t="shared" si="9"/>
        <v>395.42891925485156</v>
      </c>
      <c r="I38" s="1139">
        <f t="shared" si="9"/>
        <v>406.94839845717149</v>
      </c>
      <c r="J38" s="1139">
        <f t="shared" si="9"/>
        <v>418.53507462150503</v>
      </c>
      <c r="K38" s="1139">
        <f t="shared" si="9"/>
        <v>430.18933973013043</v>
      </c>
      <c r="L38" s="1139">
        <f t="shared" si="9"/>
        <v>441.91158805188957</v>
      </c>
      <c r="M38" s="1139">
        <f t="shared" si="9"/>
        <v>453.70221615552555</v>
      </c>
      <c r="N38" s="1139">
        <f t="shared" si="9"/>
        <v>465.56162292309943</v>
      </c>
      <c r="O38" s="2156">
        <f>SUM(C38:N38)</f>
        <v>4818.9543076760046</v>
      </c>
      <c r="P38" s="389"/>
    </row>
    <row r="39" spans="1:16" x14ac:dyDescent="0.3">
      <c r="A39" s="1435" t="s">
        <v>802</v>
      </c>
      <c r="B39" s="643"/>
      <c r="C39" s="1138">
        <f>Renting!B45</f>
        <v>0</v>
      </c>
      <c r="D39" s="1138">
        <f>Renting!C45</f>
        <v>0</v>
      </c>
      <c r="E39" s="1138">
        <f>Renting!D45</f>
        <v>0</v>
      </c>
      <c r="F39" s="1138">
        <f>Renting!E45</f>
        <v>0</v>
      </c>
      <c r="G39" s="1139">
        <f>Renting!F45</f>
        <v>0</v>
      </c>
      <c r="H39" s="1139">
        <f>Renting!G45</f>
        <v>0</v>
      </c>
      <c r="I39" s="1139">
        <f>Renting!H45</f>
        <v>0</v>
      </c>
      <c r="J39" s="1139">
        <f>Renting!I45</f>
        <v>0</v>
      </c>
      <c r="K39" s="1139">
        <f>Renting!J45</f>
        <v>0</v>
      </c>
      <c r="L39" s="1139">
        <f>Renting!K45</f>
        <v>0</v>
      </c>
      <c r="M39" s="1139">
        <f>Renting!L45</f>
        <v>0</v>
      </c>
      <c r="N39" s="1139">
        <f>Renting!M45</f>
        <v>0</v>
      </c>
      <c r="O39" s="2156">
        <f>SUM(C39:N39)</f>
        <v>0</v>
      </c>
      <c r="P39" s="389"/>
    </row>
    <row r="40" spans="1:16" x14ac:dyDescent="0.3">
      <c r="A40" s="1435" t="s">
        <v>799</v>
      </c>
      <c r="B40" s="1138"/>
      <c r="C40" s="1138">
        <f>Préstamos!B37</f>
        <v>0</v>
      </c>
      <c r="D40" s="1138">
        <f>Préstamos!C37</f>
        <v>0</v>
      </c>
      <c r="E40" s="1138">
        <f>Préstamos!D37</f>
        <v>0</v>
      </c>
      <c r="F40" s="1138">
        <f>Préstamos!E37</f>
        <v>0</v>
      </c>
      <c r="G40" s="1139">
        <f>Préstamos!F37</f>
        <v>0</v>
      </c>
      <c r="H40" s="1139">
        <f>Préstamos!G37</f>
        <v>0</v>
      </c>
      <c r="I40" s="1139">
        <f>Préstamos!H37</f>
        <v>0</v>
      </c>
      <c r="J40" s="1139">
        <f>Préstamos!I37</f>
        <v>0</v>
      </c>
      <c r="K40" s="1139">
        <f>Préstamos!J37</f>
        <v>0</v>
      </c>
      <c r="L40" s="1139">
        <f>Préstamos!K37</f>
        <v>0</v>
      </c>
      <c r="M40" s="1139">
        <f>Préstamos!L37</f>
        <v>0</v>
      </c>
      <c r="N40" s="1139">
        <f>Préstamos!M37</f>
        <v>0</v>
      </c>
      <c r="O40" s="2157">
        <f>SUM(C40:N40)</f>
        <v>0</v>
      </c>
      <c r="P40" s="1139"/>
    </row>
    <row r="41" spans="1:16" x14ac:dyDescent="0.3">
      <c r="A41" s="1435" t="s">
        <v>814</v>
      </c>
      <c r="B41" s="1138"/>
      <c r="C41" s="1138">
        <f>Leasing!B42</f>
        <v>0</v>
      </c>
      <c r="D41" s="1138">
        <f>Leasing!C42</f>
        <v>0</v>
      </c>
      <c r="E41" s="1138">
        <f>Leasing!D42</f>
        <v>0</v>
      </c>
      <c r="F41" s="1138">
        <f>Leasing!E42</f>
        <v>0</v>
      </c>
      <c r="G41" s="1139">
        <f>Leasing!F42</f>
        <v>0</v>
      </c>
      <c r="H41" s="1139">
        <f>Leasing!G42</f>
        <v>0</v>
      </c>
      <c r="I41" s="1139">
        <f>Leasing!H42</f>
        <v>0</v>
      </c>
      <c r="J41" s="1139">
        <f>Leasing!I42</f>
        <v>0</v>
      </c>
      <c r="K41" s="1139">
        <f>Leasing!J42</f>
        <v>0</v>
      </c>
      <c r="L41" s="1139">
        <f>Leasing!K42</f>
        <v>0</v>
      </c>
      <c r="M41" s="1139">
        <f>Leasing!L42</f>
        <v>0</v>
      </c>
      <c r="N41" s="1139">
        <f>Leasing!M42</f>
        <v>0</v>
      </c>
      <c r="O41" s="2157">
        <f>SUM(C41:N41)</f>
        <v>0</v>
      </c>
      <c r="P41" s="1139"/>
    </row>
    <row r="42" spans="1:16" ht="18" thickBot="1" x14ac:dyDescent="0.35">
      <c r="A42" s="2149" t="s">
        <v>860</v>
      </c>
      <c r="B42" s="2150"/>
      <c r="C42" s="2151">
        <f t="shared" ref="C42:N42" si="10">SUM(C37:C41)</f>
        <v>338.82591668870754</v>
      </c>
      <c r="D42" s="2151">
        <f t="shared" si="10"/>
        <v>350.01521170939168</v>
      </c>
      <c r="E42" s="2151">
        <f t="shared" si="10"/>
        <v>361.26977761769643</v>
      </c>
      <c r="F42" s="2151">
        <f t="shared" si="10"/>
        <v>372.58999516046634</v>
      </c>
      <c r="G42" s="2152">
        <f t="shared" si="10"/>
        <v>383.97624730556913</v>
      </c>
      <c r="H42" s="2152">
        <f t="shared" si="10"/>
        <v>395.42891925485156</v>
      </c>
      <c r="I42" s="2152">
        <f t="shared" si="10"/>
        <v>406.94839845717149</v>
      </c>
      <c r="J42" s="2152">
        <f t="shared" si="10"/>
        <v>418.53507462150503</v>
      </c>
      <c r="K42" s="2152">
        <f t="shared" si="10"/>
        <v>430.18933973013043</v>
      </c>
      <c r="L42" s="2152">
        <f t="shared" si="10"/>
        <v>441.91158805188957</v>
      </c>
      <c r="M42" s="2152">
        <f t="shared" si="10"/>
        <v>453.70221615552555</v>
      </c>
      <c r="N42" s="2152">
        <f t="shared" si="10"/>
        <v>465.56162292309943</v>
      </c>
      <c r="O42" s="2158">
        <f>SUM(O38:O41)</f>
        <v>4818.9543076760046</v>
      </c>
      <c r="P42" s="1136"/>
    </row>
    <row r="43" spans="1:16" ht="18" thickBot="1" x14ac:dyDescent="0.35">
      <c r="B43" s="644"/>
      <c r="C43" s="305"/>
      <c r="D43" s="305"/>
      <c r="E43" s="305"/>
      <c r="F43" s="305"/>
      <c r="G43" s="305"/>
      <c r="H43" s="305"/>
      <c r="I43" s="305"/>
      <c r="J43" s="305"/>
      <c r="K43" s="305"/>
      <c r="L43" s="305"/>
      <c r="M43" s="305"/>
      <c r="N43" s="305"/>
      <c r="O43" s="305"/>
      <c r="P43" s="305"/>
    </row>
    <row r="44" spans="1:16" s="407" customFormat="1" x14ac:dyDescent="0.25">
      <c r="A44" s="1843" t="str">
        <f>CONCATENATE("Gastos Financieros ",'Datos Básicos'!$D$17+2)</f>
        <v>Gastos Financieros 2030</v>
      </c>
      <c r="B44" s="1844" t="s">
        <v>1075</v>
      </c>
      <c r="C44" s="1844" t="str">
        <f t="shared" ref="C44:N44" si="11">C$8</f>
        <v>enero</v>
      </c>
      <c r="D44" s="1844" t="str">
        <f t="shared" si="11"/>
        <v>febrero</v>
      </c>
      <c r="E44" s="1844" t="str">
        <f t="shared" si="11"/>
        <v>marzo</v>
      </c>
      <c r="F44" s="1844" t="str">
        <f t="shared" si="11"/>
        <v>abril</v>
      </c>
      <c r="G44" s="1844" t="str">
        <f t="shared" si="11"/>
        <v>mayo</v>
      </c>
      <c r="H44" s="1844" t="str">
        <f t="shared" si="11"/>
        <v>junio</v>
      </c>
      <c r="I44" s="1844" t="str">
        <f t="shared" si="11"/>
        <v>julio</v>
      </c>
      <c r="J44" s="1844" t="str">
        <f t="shared" si="11"/>
        <v>agosto</v>
      </c>
      <c r="K44" s="1844" t="str">
        <f t="shared" si="11"/>
        <v>septiembre</v>
      </c>
      <c r="L44" s="1844" t="str">
        <f t="shared" si="11"/>
        <v>octubre</v>
      </c>
      <c r="M44" s="1844" t="str">
        <f t="shared" si="11"/>
        <v>noviembre</v>
      </c>
      <c r="N44" s="1844" t="str">
        <f t="shared" si="11"/>
        <v>diciembre</v>
      </c>
      <c r="O44" s="2153" t="s">
        <v>860</v>
      </c>
      <c r="P44" s="481"/>
    </row>
    <row r="45" spans="1:16" x14ac:dyDescent="0.3">
      <c r="A45" s="1839" t="s">
        <v>1076</v>
      </c>
      <c r="B45" s="1840">
        <f>'Tesorería 4'!B27</f>
        <v>81855.464496597284</v>
      </c>
      <c r="C45" s="1841">
        <f>'Tesorería 4'!C27</f>
        <v>83967.232007920771</v>
      </c>
      <c r="D45" s="1841">
        <f>'Tesorería 4'!D27</f>
        <v>86091.318163060307</v>
      </c>
      <c r="E45" s="1841">
        <f>'Tesorería 4'!E27</f>
        <v>88227.794820771494</v>
      </c>
      <c r="F45" s="1841">
        <f>'Tesorería 4'!F27</f>
        <v>90376.734258985991</v>
      </c>
      <c r="G45" s="1842">
        <f>'Tesorería 4'!G27</f>
        <v>92538.209177256736</v>
      </c>
      <c r="H45" s="1842">
        <f>'Tesorería 4'!H27</f>
        <v>94712.292699217403</v>
      </c>
      <c r="I45" s="1842">
        <f>'Tesorería 4'!I27</f>
        <v>96899.058375056178</v>
      </c>
      <c r="J45" s="1842">
        <f>'Tesorería 4'!J27</f>
        <v>99098.580184004008</v>
      </c>
      <c r="K45" s="1842">
        <f>'Tesorería 4'!K27</f>
        <v>101310.93253683737</v>
      </c>
      <c r="L45" s="1842">
        <f>'Tesorería 4'!L27</f>
        <v>103536.19027839559</v>
      </c>
      <c r="M45" s="1842">
        <f>'Tesorería 4'!M27</f>
        <v>105774.42869011289</v>
      </c>
      <c r="N45" s="1842">
        <f>'Tesorería 4'!N27</f>
        <v>108025.72349256522</v>
      </c>
      <c r="O45" s="2154"/>
      <c r="P45" s="1138"/>
    </row>
    <row r="46" spans="1:16" ht="19.5" x14ac:dyDescent="0.3">
      <c r="A46" s="1174"/>
      <c r="B46" s="1138"/>
      <c r="C46" s="1138"/>
      <c r="D46" s="1138"/>
      <c r="E46" s="1138"/>
      <c r="F46" s="1138"/>
      <c r="G46" s="1138"/>
      <c r="H46" s="1138"/>
      <c r="I46" s="1138"/>
      <c r="J46" s="1138"/>
      <c r="K46" s="1138"/>
      <c r="L46" s="1138"/>
      <c r="M46" s="1138"/>
      <c r="N46" s="1138"/>
      <c r="O46" s="2155"/>
      <c r="P46" s="1138"/>
    </row>
    <row r="47" spans="1:16" x14ac:dyDescent="0.3">
      <c r="A47" s="1435" t="s">
        <v>801</v>
      </c>
      <c r="B47" s="1436">
        <f>'Gastos Financieros'!B29</f>
        <v>7.0000000000000007E-2</v>
      </c>
      <c r="C47" s="1138">
        <f t="shared" ref="C47:N47" si="12">$B47/12*B45</f>
        <v>477.4902095634842</v>
      </c>
      <c r="D47" s="1138">
        <f t="shared" si="12"/>
        <v>489.80885337953788</v>
      </c>
      <c r="E47" s="1138">
        <f t="shared" si="12"/>
        <v>502.19935595118517</v>
      </c>
      <c r="F47" s="1138">
        <f t="shared" si="12"/>
        <v>514.66213645450046</v>
      </c>
      <c r="G47" s="1139">
        <f t="shared" si="12"/>
        <v>527.19761651075169</v>
      </c>
      <c r="H47" s="1139">
        <f t="shared" si="12"/>
        <v>539.80622020066437</v>
      </c>
      <c r="I47" s="1139">
        <f t="shared" si="12"/>
        <v>552.48837407876817</v>
      </c>
      <c r="J47" s="1139">
        <f t="shared" si="12"/>
        <v>565.24450718782771</v>
      </c>
      <c r="K47" s="1139">
        <f t="shared" si="12"/>
        <v>578.07505107335669</v>
      </c>
      <c r="L47" s="1139">
        <f t="shared" si="12"/>
        <v>590.98043979821796</v>
      </c>
      <c r="M47" s="1139">
        <f t="shared" si="12"/>
        <v>603.9611099573076</v>
      </c>
      <c r="N47" s="1139">
        <f t="shared" si="12"/>
        <v>617.01750069232526</v>
      </c>
      <c r="O47" s="2156">
        <f>SUM(C47:N47)</f>
        <v>6558.9313748479281</v>
      </c>
      <c r="P47" s="389"/>
    </row>
    <row r="48" spans="1:16" x14ac:dyDescent="0.3">
      <c r="A48" s="1435" t="s">
        <v>802</v>
      </c>
      <c r="B48" s="643"/>
      <c r="C48" s="1138">
        <f>Renting!B53</f>
        <v>0</v>
      </c>
      <c r="D48" s="1138">
        <f>Renting!C53</f>
        <v>0</v>
      </c>
      <c r="E48" s="1138">
        <f>Renting!D53</f>
        <v>0</v>
      </c>
      <c r="F48" s="1138">
        <f>Renting!E53</f>
        <v>0</v>
      </c>
      <c r="G48" s="1139">
        <f>Renting!F53</f>
        <v>0</v>
      </c>
      <c r="H48" s="1139">
        <f>Renting!G53</f>
        <v>0</v>
      </c>
      <c r="I48" s="1139">
        <f>Renting!H53</f>
        <v>0</v>
      </c>
      <c r="J48" s="1139">
        <f>Renting!I53</f>
        <v>0</v>
      </c>
      <c r="K48" s="1139">
        <f>Renting!J53</f>
        <v>0</v>
      </c>
      <c r="L48" s="1139">
        <f>Renting!K53</f>
        <v>0</v>
      </c>
      <c r="M48" s="1139">
        <f>Renting!L53</f>
        <v>0</v>
      </c>
      <c r="N48" s="1139">
        <f>Renting!M53</f>
        <v>0</v>
      </c>
      <c r="O48" s="2156">
        <f>SUM(C48:N48)</f>
        <v>0</v>
      </c>
      <c r="P48" s="389"/>
    </row>
    <row r="49" spans="1:16" x14ac:dyDescent="0.3">
      <c r="A49" s="1435" t="s">
        <v>799</v>
      </c>
      <c r="B49" s="1138"/>
      <c r="C49" s="1138">
        <f>Préstamos!B43</f>
        <v>0</v>
      </c>
      <c r="D49" s="1138">
        <f>Préstamos!C43</f>
        <v>0</v>
      </c>
      <c r="E49" s="1138">
        <f>Préstamos!D43</f>
        <v>0</v>
      </c>
      <c r="F49" s="1138">
        <f>Préstamos!E43</f>
        <v>0</v>
      </c>
      <c r="G49" s="1139">
        <f>Préstamos!F43</f>
        <v>0</v>
      </c>
      <c r="H49" s="1139">
        <f>Préstamos!G43</f>
        <v>0</v>
      </c>
      <c r="I49" s="1139">
        <f>Préstamos!H43</f>
        <v>0</v>
      </c>
      <c r="J49" s="1139">
        <f>Préstamos!I43</f>
        <v>0</v>
      </c>
      <c r="K49" s="1139">
        <f>Préstamos!J43</f>
        <v>0</v>
      </c>
      <c r="L49" s="1139">
        <f>Préstamos!K43</f>
        <v>0</v>
      </c>
      <c r="M49" s="1139">
        <f>Préstamos!L43</f>
        <v>0</v>
      </c>
      <c r="N49" s="1139">
        <f>Préstamos!M43</f>
        <v>0</v>
      </c>
      <c r="O49" s="2157">
        <f>SUM(C49:N49)</f>
        <v>0</v>
      </c>
      <c r="P49" s="1139"/>
    </row>
    <row r="50" spans="1:16" x14ac:dyDescent="0.3">
      <c r="A50" s="1435" t="s">
        <v>814</v>
      </c>
      <c r="B50" s="1138"/>
      <c r="C50" s="1138">
        <f>Leasing!B49</f>
        <v>0</v>
      </c>
      <c r="D50" s="1138">
        <f>Leasing!C49</f>
        <v>0</v>
      </c>
      <c r="E50" s="1138">
        <f>Leasing!D49</f>
        <v>0</v>
      </c>
      <c r="F50" s="1138">
        <f>Leasing!E49</f>
        <v>0</v>
      </c>
      <c r="G50" s="1139">
        <f>Leasing!F49</f>
        <v>0</v>
      </c>
      <c r="H50" s="1139">
        <f>Leasing!G49</f>
        <v>0</v>
      </c>
      <c r="I50" s="1139">
        <f>Leasing!H49</f>
        <v>0</v>
      </c>
      <c r="J50" s="1139">
        <f>Leasing!I49</f>
        <v>0</v>
      </c>
      <c r="K50" s="1139">
        <f>Leasing!J49</f>
        <v>0</v>
      </c>
      <c r="L50" s="1139">
        <f>Leasing!K49</f>
        <v>0</v>
      </c>
      <c r="M50" s="1139">
        <f>Leasing!L49</f>
        <v>0</v>
      </c>
      <c r="N50" s="1139">
        <f>Leasing!M49</f>
        <v>0</v>
      </c>
      <c r="O50" s="2157">
        <f>SUM(C50:N50)</f>
        <v>0</v>
      </c>
      <c r="P50" s="1139"/>
    </row>
    <row r="51" spans="1:16" ht="18" thickBot="1" x14ac:dyDescent="0.35">
      <c r="A51" s="2149" t="s">
        <v>860</v>
      </c>
      <c r="B51" s="2150"/>
      <c r="C51" s="2151">
        <f t="shared" ref="C51:N51" si="13">SUM(C46:C50)</f>
        <v>477.4902095634842</v>
      </c>
      <c r="D51" s="2151">
        <f t="shared" si="13"/>
        <v>489.80885337953788</v>
      </c>
      <c r="E51" s="2151">
        <f t="shared" si="13"/>
        <v>502.19935595118517</v>
      </c>
      <c r="F51" s="2151">
        <f t="shared" si="13"/>
        <v>514.66213645450046</v>
      </c>
      <c r="G51" s="2152">
        <f t="shared" si="13"/>
        <v>527.19761651075169</v>
      </c>
      <c r="H51" s="2152">
        <f t="shared" si="13"/>
        <v>539.80622020066437</v>
      </c>
      <c r="I51" s="2152">
        <f t="shared" si="13"/>
        <v>552.48837407876817</v>
      </c>
      <c r="J51" s="2152">
        <f t="shared" si="13"/>
        <v>565.24450718782771</v>
      </c>
      <c r="K51" s="2152">
        <f t="shared" si="13"/>
        <v>578.07505107335669</v>
      </c>
      <c r="L51" s="2152">
        <f t="shared" si="13"/>
        <v>590.98043979821796</v>
      </c>
      <c r="M51" s="2152">
        <f t="shared" si="13"/>
        <v>603.9611099573076</v>
      </c>
      <c r="N51" s="2152">
        <f t="shared" si="13"/>
        <v>617.01750069232526</v>
      </c>
      <c r="O51" s="2158">
        <f>SUM(O47:O50)</f>
        <v>6558.9313748479281</v>
      </c>
      <c r="P51" s="1136"/>
    </row>
    <row r="52" spans="1:16" x14ac:dyDescent="0.3">
      <c r="B52" s="644"/>
      <c r="C52" s="305"/>
      <c r="D52" s="305"/>
      <c r="E52" s="305"/>
      <c r="F52" s="305"/>
      <c r="G52" s="305"/>
      <c r="H52" s="305"/>
      <c r="I52" s="305"/>
      <c r="J52" s="305"/>
      <c r="K52" s="305"/>
      <c r="L52" s="305"/>
      <c r="M52" s="305"/>
      <c r="N52" s="305"/>
      <c r="O52" s="305"/>
      <c r="P52" s="305"/>
    </row>
    <row r="53" spans="1:16" x14ac:dyDescent="0.3">
      <c r="B53" s="644"/>
      <c r="C53" s="305"/>
      <c r="D53" s="305"/>
      <c r="E53" s="305"/>
      <c r="F53" s="305"/>
      <c r="G53" s="305"/>
      <c r="H53" s="305"/>
      <c r="I53" s="305"/>
      <c r="J53" s="305"/>
      <c r="K53" s="305"/>
      <c r="L53" s="305"/>
      <c r="M53" s="305"/>
      <c r="N53" s="305"/>
      <c r="O53" s="305"/>
      <c r="P53" s="305"/>
    </row>
    <row r="54" spans="1:16" ht="27.75" x14ac:dyDescent="0.45">
      <c r="A54" s="1308" t="s">
        <v>872</v>
      </c>
      <c r="B54" s="1232"/>
      <c r="C54" s="1233"/>
      <c r="D54" s="1233"/>
      <c r="E54" s="1233"/>
      <c r="F54" s="1233"/>
      <c r="G54" s="1233"/>
      <c r="H54" s="1233"/>
      <c r="I54" s="1234"/>
      <c r="J54" s="1234"/>
      <c r="K54" s="1234"/>
      <c r="L54" s="1234"/>
      <c r="M54" s="1234"/>
      <c r="N54" s="1234"/>
      <c r="O54" s="1234"/>
      <c r="P54" s="661"/>
    </row>
    <row r="55" spans="1:16" ht="11.25" customHeight="1" thickBot="1" x14ac:dyDescent="0.35"/>
    <row r="56" spans="1:16" s="407" customFormat="1" x14ac:dyDescent="0.25">
      <c r="A56" s="1843" t="str">
        <f>CONCATENATE("Ingresos Financieros ",'Datos Básicos'!$B$17)</f>
        <v>Ingresos Financieros 2026</v>
      </c>
      <c r="B56" s="1844" t="s">
        <v>1075</v>
      </c>
      <c r="C56" s="1844" t="str">
        <f t="shared" ref="C56:N56" si="14">C$8</f>
        <v>enero</v>
      </c>
      <c r="D56" s="1844" t="str">
        <f t="shared" si="14"/>
        <v>febrero</v>
      </c>
      <c r="E56" s="1844" t="str">
        <f t="shared" si="14"/>
        <v>marzo</v>
      </c>
      <c r="F56" s="1844" t="str">
        <f t="shared" si="14"/>
        <v>abril</v>
      </c>
      <c r="G56" s="1844" t="str">
        <f t="shared" si="14"/>
        <v>mayo</v>
      </c>
      <c r="H56" s="1844" t="str">
        <f t="shared" si="14"/>
        <v>junio</v>
      </c>
      <c r="I56" s="1844" t="str">
        <f t="shared" si="14"/>
        <v>julio</v>
      </c>
      <c r="J56" s="1844" t="str">
        <f t="shared" si="14"/>
        <v>agosto</v>
      </c>
      <c r="K56" s="1844" t="str">
        <f t="shared" si="14"/>
        <v>septiembre</v>
      </c>
      <c r="L56" s="1844" t="str">
        <f t="shared" si="14"/>
        <v>octubre</v>
      </c>
      <c r="M56" s="1844" t="str">
        <f t="shared" si="14"/>
        <v>noviembre</v>
      </c>
      <c r="N56" s="1844" t="str">
        <f t="shared" si="14"/>
        <v>diciembre</v>
      </c>
      <c r="O56" s="2153" t="s">
        <v>860</v>
      </c>
      <c r="P56" s="481"/>
    </row>
    <row r="57" spans="1:16" x14ac:dyDescent="0.3">
      <c r="A57" s="1435" t="s">
        <v>0</v>
      </c>
      <c r="B57" s="1436">
        <f>Parametros!$C$8</f>
        <v>0</v>
      </c>
      <c r="C57" s="1437">
        <f>IF(COLUMN(C$17)-2&lt;mes0,0,$B57*'Tesorería 0'!B$29/12)</f>
        <v>0</v>
      </c>
      <c r="D57" s="1437">
        <f>IF(COLUMN(D$17)-2&lt;mes0,0,$B57*'Tesorería 0'!C$29/12)</f>
        <v>0</v>
      </c>
      <c r="E57" s="1437">
        <f>IF(COLUMN(E$17)-2&lt;mes0,0,$B57*'Tesorería 0'!D$29/12)</f>
        <v>0</v>
      </c>
      <c r="F57" s="1437">
        <f>IF(COLUMN(F$17)-2&lt;mes0,0,$B57*'Tesorería 0'!E$29/12)</f>
        <v>0</v>
      </c>
      <c r="G57" s="1799">
        <f>IF(COLUMN(G$17)-2&lt;mes0,0,$B57*'Tesorería 0'!F$29/12)</f>
        <v>0</v>
      </c>
      <c r="H57" s="1799">
        <f>IF(COLUMN(H$17)-2&lt;mes0,0,$B57*'Tesorería 0'!G$29/12)</f>
        <v>0</v>
      </c>
      <c r="I57" s="1799">
        <f>IF(COLUMN(I$17)-2&lt;mes0,0,$B57*'Tesorería 0'!H$29/12)</f>
        <v>0</v>
      </c>
      <c r="J57" s="1799">
        <f>IF(COLUMN(J$17)-2&lt;mes0,0,$B57*'Tesorería 0'!I$29/12)</f>
        <v>0</v>
      </c>
      <c r="K57" s="1799">
        <f>IF(COLUMN(K$17)-2&lt;mes0,0,$B57*'Tesorería 0'!J$29/12)</f>
        <v>0</v>
      </c>
      <c r="L57" s="1799">
        <f>IF(COLUMN(L$17)-2&lt;mes0,0,$B57*'Tesorería 0'!K$29/12)</f>
        <v>0</v>
      </c>
      <c r="M57" s="1799">
        <f>IF(COLUMN(M$17)-2&lt;mes0,0,$B57*'Tesorería 0'!L$29/12)</f>
        <v>0</v>
      </c>
      <c r="N57" s="1799">
        <f>IF(COLUMN(N$17)-2&lt;mes0,0,$B57*'Tesorería 0'!M$29/12)</f>
        <v>0</v>
      </c>
      <c r="O57" s="2160">
        <f>SUM(C57:N57)</f>
        <v>0</v>
      </c>
      <c r="P57" s="389"/>
    </row>
    <row r="58" spans="1:16" x14ac:dyDescent="0.3">
      <c r="A58" s="1435" t="s">
        <v>1077</v>
      </c>
      <c r="B58" s="1138"/>
      <c r="C58" s="1437"/>
      <c r="D58" s="1437"/>
      <c r="E58" s="1437"/>
      <c r="F58" s="1437"/>
      <c r="G58" s="1437"/>
      <c r="H58" s="1437"/>
      <c r="I58" s="1437"/>
      <c r="J58" s="1437"/>
      <c r="K58" s="1437"/>
      <c r="L58" s="1437"/>
      <c r="M58" s="1437"/>
      <c r="N58" s="1437"/>
      <c r="O58" s="2160">
        <f>SUM(C58:N58)</f>
        <v>0</v>
      </c>
      <c r="P58" s="389"/>
    </row>
    <row r="59" spans="1:16" ht="18" thickBot="1" x14ac:dyDescent="0.35">
      <c r="A59" s="2149" t="s">
        <v>860</v>
      </c>
      <c r="B59" s="2159"/>
      <c r="C59" s="2151">
        <f>SUM(C57:C58)</f>
        <v>0</v>
      </c>
      <c r="D59" s="2151">
        <f>SUM(D57:D58)</f>
        <v>0</v>
      </c>
      <c r="E59" s="2151">
        <f t="shared" ref="E59:N59" si="15">SUM(E57:E58)</f>
        <v>0</v>
      </c>
      <c r="F59" s="2151">
        <f t="shared" si="15"/>
        <v>0</v>
      </c>
      <c r="G59" s="2152">
        <f t="shared" si="15"/>
        <v>0</v>
      </c>
      <c r="H59" s="2152">
        <f t="shared" si="15"/>
        <v>0</v>
      </c>
      <c r="I59" s="2152">
        <f t="shared" si="15"/>
        <v>0</v>
      </c>
      <c r="J59" s="2152">
        <f t="shared" si="15"/>
        <v>0</v>
      </c>
      <c r="K59" s="2152">
        <f t="shared" si="15"/>
        <v>0</v>
      </c>
      <c r="L59" s="2152">
        <f t="shared" si="15"/>
        <v>0</v>
      </c>
      <c r="M59" s="2152">
        <f t="shared" si="15"/>
        <v>0</v>
      </c>
      <c r="N59" s="2152">
        <f t="shared" si="15"/>
        <v>0</v>
      </c>
      <c r="O59" s="2158">
        <f>SUM(O57:O58)</f>
        <v>0</v>
      </c>
      <c r="P59" s="1136"/>
    </row>
    <row r="60" spans="1:16" ht="18" thickBot="1" x14ac:dyDescent="0.35">
      <c r="B60" s="393"/>
      <c r="C60" s="305"/>
      <c r="D60" s="305"/>
      <c r="E60" s="305"/>
      <c r="F60" s="305"/>
      <c r="G60" s="305"/>
      <c r="H60" s="305"/>
      <c r="I60" s="305"/>
      <c r="J60" s="305"/>
      <c r="K60" s="305"/>
      <c r="L60" s="305"/>
      <c r="M60" s="305"/>
      <c r="N60" s="305"/>
      <c r="O60" s="305"/>
      <c r="P60" s="305"/>
    </row>
    <row r="61" spans="1:16" s="407" customFormat="1" x14ac:dyDescent="0.25">
      <c r="A61" s="1843" t="str">
        <f>CONCATENATE("Ingresos Financieros ",'Datos Básicos'!$C$17)</f>
        <v>Ingresos Financieros 2027</v>
      </c>
      <c r="B61" s="1844" t="s">
        <v>1075</v>
      </c>
      <c r="C61" s="1844" t="str">
        <f t="shared" ref="C61:N61" si="16">C$8</f>
        <v>enero</v>
      </c>
      <c r="D61" s="1844" t="str">
        <f t="shared" si="16"/>
        <v>febrero</v>
      </c>
      <c r="E61" s="1844" t="str">
        <f t="shared" si="16"/>
        <v>marzo</v>
      </c>
      <c r="F61" s="1844" t="str">
        <f t="shared" si="16"/>
        <v>abril</v>
      </c>
      <c r="G61" s="1844" t="str">
        <f t="shared" si="16"/>
        <v>mayo</v>
      </c>
      <c r="H61" s="1844" t="str">
        <f t="shared" si="16"/>
        <v>junio</v>
      </c>
      <c r="I61" s="1844" t="str">
        <f t="shared" si="16"/>
        <v>julio</v>
      </c>
      <c r="J61" s="1844" t="str">
        <f t="shared" si="16"/>
        <v>agosto</v>
      </c>
      <c r="K61" s="1844" t="str">
        <f t="shared" si="16"/>
        <v>septiembre</v>
      </c>
      <c r="L61" s="1844" t="str">
        <f t="shared" si="16"/>
        <v>octubre</v>
      </c>
      <c r="M61" s="1844" t="str">
        <f t="shared" si="16"/>
        <v>noviembre</v>
      </c>
      <c r="N61" s="1844" t="str">
        <f t="shared" si="16"/>
        <v>diciembre</v>
      </c>
      <c r="O61" s="2153" t="s">
        <v>860</v>
      </c>
      <c r="P61" s="481"/>
    </row>
    <row r="62" spans="1:16" x14ac:dyDescent="0.3">
      <c r="A62" s="1435" t="s">
        <v>0</v>
      </c>
      <c r="B62" s="1436">
        <f>$B$57</f>
        <v>0</v>
      </c>
      <c r="C62" s="1437">
        <f>$B62*'Tesorería 1'!B$29/12</f>
        <v>0</v>
      </c>
      <c r="D62" s="1437">
        <f>$B62*'Tesorería 1'!C$29/12</f>
        <v>0</v>
      </c>
      <c r="E62" s="1437">
        <f>$B62*'Tesorería 1'!D$29/12</f>
        <v>0</v>
      </c>
      <c r="F62" s="1437">
        <f>$B62*'Tesorería 1'!E$29/12</f>
        <v>0</v>
      </c>
      <c r="G62" s="1799">
        <f>$B62*'Tesorería 1'!F$29/12</f>
        <v>0</v>
      </c>
      <c r="H62" s="1799">
        <f>$B62*'Tesorería 1'!G$29/12</f>
        <v>0</v>
      </c>
      <c r="I62" s="1799">
        <f>$B62*'Tesorería 1'!H$29/12</f>
        <v>0</v>
      </c>
      <c r="J62" s="1799">
        <f>$B62*'Tesorería 1'!I$29/12</f>
        <v>0</v>
      </c>
      <c r="K62" s="1799">
        <f>$B62*'Tesorería 1'!J$29/12</f>
        <v>0</v>
      </c>
      <c r="L62" s="1799">
        <f>$B62*'Tesorería 1'!K$29/12</f>
        <v>0</v>
      </c>
      <c r="M62" s="1799">
        <f>$B62*'Tesorería 1'!L$29/12</f>
        <v>0</v>
      </c>
      <c r="N62" s="1799">
        <f>$B62*'Tesorería 1'!M$29/12</f>
        <v>0</v>
      </c>
      <c r="O62" s="2160">
        <f>SUM(C62:N62)</f>
        <v>0</v>
      </c>
      <c r="P62" s="389"/>
    </row>
    <row r="63" spans="1:16" x14ac:dyDescent="0.3">
      <c r="A63" s="1435" t="s">
        <v>1077</v>
      </c>
      <c r="B63" s="1138"/>
      <c r="C63" s="1437"/>
      <c r="D63" s="1437"/>
      <c r="E63" s="1437"/>
      <c r="F63" s="1437"/>
      <c r="G63" s="1437"/>
      <c r="H63" s="1437"/>
      <c r="I63" s="1437"/>
      <c r="J63" s="1437"/>
      <c r="K63" s="1437"/>
      <c r="L63" s="1437"/>
      <c r="M63" s="1437"/>
      <c r="N63" s="1437"/>
      <c r="O63" s="2160">
        <f>SUM(C63:N63)</f>
        <v>0</v>
      </c>
      <c r="P63" s="389"/>
    </row>
    <row r="64" spans="1:16" ht="18" thickBot="1" x14ac:dyDescent="0.35">
      <c r="A64" s="2149" t="s">
        <v>860</v>
      </c>
      <c r="B64" s="2159"/>
      <c r="C64" s="2151">
        <f t="shared" ref="C64:N64" si="17">SUM(C62:C63)</f>
        <v>0</v>
      </c>
      <c r="D64" s="2151">
        <f t="shared" si="17"/>
        <v>0</v>
      </c>
      <c r="E64" s="2151">
        <f t="shared" si="17"/>
        <v>0</v>
      </c>
      <c r="F64" s="2151">
        <f t="shared" si="17"/>
        <v>0</v>
      </c>
      <c r="G64" s="2152">
        <f t="shared" si="17"/>
        <v>0</v>
      </c>
      <c r="H64" s="2152">
        <f t="shared" si="17"/>
        <v>0</v>
      </c>
      <c r="I64" s="2152">
        <f t="shared" si="17"/>
        <v>0</v>
      </c>
      <c r="J64" s="2152">
        <f t="shared" si="17"/>
        <v>0</v>
      </c>
      <c r="K64" s="2152">
        <f t="shared" si="17"/>
        <v>0</v>
      </c>
      <c r="L64" s="2152">
        <f t="shared" si="17"/>
        <v>0</v>
      </c>
      <c r="M64" s="2152">
        <f t="shared" si="17"/>
        <v>0</v>
      </c>
      <c r="N64" s="2152">
        <f t="shared" si="17"/>
        <v>0</v>
      </c>
      <c r="O64" s="2158">
        <f>SUM(O62:O63)</f>
        <v>0</v>
      </c>
      <c r="P64" s="1136"/>
    </row>
    <row r="65" spans="1:16" ht="18" thickBot="1" x14ac:dyDescent="0.35">
      <c r="B65" s="393"/>
      <c r="C65" s="305"/>
      <c r="D65" s="305"/>
      <c r="E65" s="305"/>
      <c r="F65" s="305"/>
      <c r="G65" s="305"/>
      <c r="H65" s="305"/>
      <c r="I65" s="305"/>
      <c r="J65" s="305"/>
      <c r="K65" s="305"/>
      <c r="L65" s="305"/>
      <c r="M65" s="305"/>
      <c r="N65" s="305"/>
      <c r="O65" s="305"/>
      <c r="P65" s="305"/>
    </row>
    <row r="66" spans="1:16" s="407" customFormat="1" x14ac:dyDescent="0.25">
      <c r="A66" s="1843" t="str">
        <f>CONCATENATE("Ingresos Financieros ",'Datos Básicos'!$D$17)</f>
        <v>Ingresos Financieros 2028</v>
      </c>
      <c r="B66" s="1844" t="s">
        <v>1075</v>
      </c>
      <c r="C66" s="1844" t="str">
        <f t="shared" ref="C66:N66" si="18">C$8</f>
        <v>enero</v>
      </c>
      <c r="D66" s="1844" t="str">
        <f t="shared" si="18"/>
        <v>febrero</v>
      </c>
      <c r="E66" s="1844" t="str">
        <f t="shared" si="18"/>
        <v>marzo</v>
      </c>
      <c r="F66" s="1844" t="str">
        <f t="shared" si="18"/>
        <v>abril</v>
      </c>
      <c r="G66" s="1844" t="str">
        <f t="shared" si="18"/>
        <v>mayo</v>
      </c>
      <c r="H66" s="1844" t="str">
        <f t="shared" si="18"/>
        <v>junio</v>
      </c>
      <c r="I66" s="1844" t="str">
        <f t="shared" si="18"/>
        <v>julio</v>
      </c>
      <c r="J66" s="1844" t="str">
        <f t="shared" si="18"/>
        <v>agosto</v>
      </c>
      <c r="K66" s="1844" t="str">
        <f t="shared" si="18"/>
        <v>septiembre</v>
      </c>
      <c r="L66" s="1844" t="str">
        <f t="shared" si="18"/>
        <v>octubre</v>
      </c>
      <c r="M66" s="1844" t="str">
        <f t="shared" si="18"/>
        <v>noviembre</v>
      </c>
      <c r="N66" s="1844" t="str">
        <f t="shared" si="18"/>
        <v>diciembre</v>
      </c>
      <c r="O66" s="2153" t="s">
        <v>860</v>
      </c>
      <c r="P66" s="481"/>
    </row>
    <row r="67" spans="1:16" x14ac:dyDescent="0.3">
      <c r="A67" s="1435" t="s">
        <v>0</v>
      </c>
      <c r="B67" s="1436">
        <f>B62</f>
        <v>0</v>
      </c>
      <c r="C67" s="1437">
        <f>$B67*'Tesorería 2'!B$29/12</f>
        <v>0</v>
      </c>
      <c r="D67" s="1437">
        <f>$B67*'Tesorería 2'!C$29/12</f>
        <v>0</v>
      </c>
      <c r="E67" s="1437">
        <f>$B67*'Tesorería 2'!D$29/12</f>
        <v>0</v>
      </c>
      <c r="F67" s="1437">
        <f>$B67*'Tesorería 2'!E$29/12</f>
        <v>0</v>
      </c>
      <c r="G67" s="1799">
        <f>$B67*'Tesorería 2'!F$29/12</f>
        <v>0</v>
      </c>
      <c r="H67" s="1799">
        <f>$B67*'Tesorería 2'!G$29/12</f>
        <v>0</v>
      </c>
      <c r="I67" s="1799">
        <f>$B67*'Tesorería 2'!H$29/12</f>
        <v>0</v>
      </c>
      <c r="J67" s="1799">
        <f>$B67*'Tesorería 2'!I$29/12</f>
        <v>0</v>
      </c>
      <c r="K67" s="1799">
        <f>$B67*'Tesorería 2'!J$29/12</f>
        <v>0</v>
      </c>
      <c r="L67" s="1799">
        <f>$B67*'Tesorería 2'!K$29/12</f>
        <v>0</v>
      </c>
      <c r="M67" s="1799">
        <f>$B67*'Tesorería 2'!L$29/12</f>
        <v>0</v>
      </c>
      <c r="N67" s="1799">
        <f>$B67*'Tesorería 2'!M$29/12</f>
        <v>0</v>
      </c>
      <c r="O67" s="2160">
        <f>SUM(C67:N67)</f>
        <v>0</v>
      </c>
      <c r="P67" s="389"/>
    </row>
    <row r="68" spans="1:16" x14ac:dyDescent="0.3">
      <c r="A68" s="1435" t="s">
        <v>1077</v>
      </c>
      <c r="B68" s="1138"/>
      <c r="C68" s="1437"/>
      <c r="D68" s="1437"/>
      <c r="E68" s="1437"/>
      <c r="F68" s="1437"/>
      <c r="G68" s="1437"/>
      <c r="H68" s="1437"/>
      <c r="I68" s="1437"/>
      <c r="J68" s="1437"/>
      <c r="K68" s="1437"/>
      <c r="L68" s="1437"/>
      <c r="M68" s="1437"/>
      <c r="N68" s="1437"/>
      <c r="O68" s="2160">
        <f>SUM(C68:N68)</f>
        <v>0</v>
      </c>
      <c r="P68" s="389"/>
    </row>
    <row r="69" spans="1:16" ht="18" thickBot="1" x14ac:dyDescent="0.35">
      <c r="A69" s="2149" t="s">
        <v>860</v>
      </c>
      <c r="B69" s="2159"/>
      <c r="C69" s="2151">
        <f t="shared" ref="C69:N69" si="19">SUM(C67:C68)</f>
        <v>0</v>
      </c>
      <c r="D69" s="2151">
        <f t="shared" si="19"/>
        <v>0</v>
      </c>
      <c r="E69" s="2151">
        <f t="shared" si="19"/>
        <v>0</v>
      </c>
      <c r="F69" s="2151">
        <f t="shared" si="19"/>
        <v>0</v>
      </c>
      <c r="G69" s="2152">
        <f t="shared" si="19"/>
        <v>0</v>
      </c>
      <c r="H69" s="2152">
        <f t="shared" si="19"/>
        <v>0</v>
      </c>
      <c r="I69" s="2152">
        <f t="shared" si="19"/>
        <v>0</v>
      </c>
      <c r="J69" s="2152">
        <f t="shared" si="19"/>
        <v>0</v>
      </c>
      <c r="K69" s="2152">
        <f t="shared" si="19"/>
        <v>0</v>
      </c>
      <c r="L69" s="2152">
        <f t="shared" si="19"/>
        <v>0</v>
      </c>
      <c r="M69" s="2152">
        <f t="shared" si="19"/>
        <v>0</v>
      </c>
      <c r="N69" s="2152">
        <f t="shared" si="19"/>
        <v>0</v>
      </c>
      <c r="O69" s="2158">
        <f>SUM(O67:O68)</f>
        <v>0</v>
      </c>
      <c r="P69" s="1136"/>
    </row>
    <row r="70" spans="1:16" ht="18" thickBot="1" x14ac:dyDescent="0.35"/>
    <row r="71" spans="1:16" s="407" customFormat="1" x14ac:dyDescent="0.25">
      <c r="A71" s="1843" t="str">
        <f>CONCATENATE("Ingresos Financieros ",'Datos Básicos'!$D$17+1)</f>
        <v>Ingresos Financieros 2029</v>
      </c>
      <c r="B71" s="1844" t="s">
        <v>1075</v>
      </c>
      <c r="C71" s="1844" t="s">
        <v>960</v>
      </c>
      <c r="D71" s="1844" t="s">
        <v>961</v>
      </c>
      <c r="E71" s="1844" t="s">
        <v>962</v>
      </c>
      <c r="F71" s="1844" t="s">
        <v>963</v>
      </c>
      <c r="G71" s="1844" t="s">
        <v>964</v>
      </c>
      <c r="H71" s="1844" t="s">
        <v>965</v>
      </c>
      <c r="I71" s="1844" t="s">
        <v>966</v>
      </c>
      <c r="J71" s="1844" t="s">
        <v>967</v>
      </c>
      <c r="K71" s="1844" t="s">
        <v>968</v>
      </c>
      <c r="L71" s="1844" t="s">
        <v>969</v>
      </c>
      <c r="M71" s="1844" t="s">
        <v>970</v>
      </c>
      <c r="N71" s="1844" t="s">
        <v>972</v>
      </c>
      <c r="O71" s="2153" t="s">
        <v>860</v>
      </c>
      <c r="P71" s="481"/>
    </row>
    <row r="72" spans="1:16" x14ac:dyDescent="0.3">
      <c r="A72" s="1435" t="s">
        <v>0</v>
      </c>
      <c r="B72" s="1436">
        <f>B67</f>
        <v>0</v>
      </c>
      <c r="C72" s="1437">
        <f>$B72*'Tesorería 3'!B$29/12</f>
        <v>0</v>
      </c>
      <c r="D72" s="1437">
        <f>$B72*'Tesorería 3'!C$29/12</f>
        <v>0</v>
      </c>
      <c r="E72" s="1437">
        <f>$B72*'Tesorería 3'!D$29/12</f>
        <v>0</v>
      </c>
      <c r="F72" s="1437">
        <f>$B72*'Tesorería 3'!E$29/12</f>
        <v>0</v>
      </c>
      <c r="G72" s="1799">
        <f>$B72*'Tesorería 3'!F$29/12</f>
        <v>0</v>
      </c>
      <c r="H72" s="1799">
        <f>$B72*'Tesorería 3'!G$29/12</f>
        <v>0</v>
      </c>
      <c r="I72" s="1799">
        <f>$B72*'Tesorería 3'!H$29/12</f>
        <v>0</v>
      </c>
      <c r="J72" s="1799">
        <f>$B72*'Tesorería 3'!I$29/12</f>
        <v>0</v>
      </c>
      <c r="K72" s="1799">
        <f>$B72*'Tesorería 3'!J$29/12</f>
        <v>0</v>
      </c>
      <c r="L72" s="1799">
        <f>$B72*'Tesorería 3'!K$29/12</f>
        <v>0</v>
      </c>
      <c r="M72" s="1799">
        <f>$B72*'Tesorería 3'!L$29/12</f>
        <v>0</v>
      </c>
      <c r="N72" s="1799">
        <f>$B72*'Tesorería 3'!M$29/12</f>
        <v>0</v>
      </c>
      <c r="O72" s="2160">
        <f>SUM(C72:N72)</f>
        <v>0</v>
      </c>
      <c r="P72" s="389"/>
    </row>
    <row r="73" spans="1:16" x14ac:dyDescent="0.3">
      <c r="A73" s="1435" t="s">
        <v>1077</v>
      </c>
      <c r="B73" s="1138"/>
      <c r="C73" s="1437"/>
      <c r="D73" s="1437"/>
      <c r="E73" s="1437"/>
      <c r="F73" s="1437"/>
      <c r="G73" s="1437"/>
      <c r="H73" s="1437"/>
      <c r="I73" s="1437"/>
      <c r="J73" s="1437"/>
      <c r="K73" s="1437"/>
      <c r="L73" s="1437"/>
      <c r="M73" s="1437"/>
      <c r="N73" s="1437"/>
      <c r="O73" s="2160">
        <f>SUM(C73:N73)</f>
        <v>0</v>
      </c>
      <c r="P73" s="389"/>
    </row>
    <row r="74" spans="1:16" ht="18" thickBot="1" x14ac:dyDescent="0.35">
      <c r="A74" s="2149" t="s">
        <v>860</v>
      </c>
      <c r="B74" s="2159"/>
      <c r="C74" s="2151">
        <f t="shared" ref="C74:N74" si="20">SUM(C72:C73)</f>
        <v>0</v>
      </c>
      <c r="D74" s="2151">
        <f t="shared" si="20"/>
        <v>0</v>
      </c>
      <c r="E74" s="2151">
        <f t="shared" si="20"/>
        <v>0</v>
      </c>
      <c r="F74" s="2151">
        <f t="shared" si="20"/>
        <v>0</v>
      </c>
      <c r="G74" s="2152">
        <f t="shared" si="20"/>
        <v>0</v>
      </c>
      <c r="H74" s="2152">
        <f t="shared" si="20"/>
        <v>0</v>
      </c>
      <c r="I74" s="2152">
        <f t="shared" si="20"/>
        <v>0</v>
      </c>
      <c r="J74" s="2152">
        <f t="shared" si="20"/>
        <v>0</v>
      </c>
      <c r="K74" s="2152">
        <f t="shared" si="20"/>
        <v>0</v>
      </c>
      <c r="L74" s="2152">
        <f t="shared" si="20"/>
        <v>0</v>
      </c>
      <c r="M74" s="2152">
        <f t="shared" si="20"/>
        <v>0</v>
      </c>
      <c r="N74" s="2152">
        <f t="shared" si="20"/>
        <v>0</v>
      </c>
      <c r="O74" s="2158">
        <f>SUM(O72:O73)</f>
        <v>0</v>
      </c>
      <c r="P74" s="1136"/>
    </row>
    <row r="75" spans="1:16" ht="18" thickBot="1" x14ac:dyDescent="0.35"/>
    <row r="76" spans="1:16" s="407" customFormat="1" x14ac:dyDescent="0.25">
      <c r="A76" s="1843" t="str">
        <f>CONCATENATE("Ingresos Financieros ",'Datos Básicos'!$D$17+2)</f>
        <v>Ingresos Financieros 2030</v>
      </c>
      <c r="B76" s="1844" t="s">
        <v>1075</v>
      </c>
      <c r="C76" s="1844" t="s">
        <v>960</v>
      </c>
      <c r="D76" s="1844" t="s">
        <v>961</v>
      </c>
      <c r="E76" s="1844" t="s">
        <v>962</v>
      </c>
      <c r="F76" s="1844" t="s">
        <v>963</v>
      </c>
      <c r="G76" s="1844" t="s">
        <v>964</v>
      </c>
      <c r="H76" s="1844" t="s">
        <v>965</v>
      </c>
      <c r="I76" s="1844" t="s">
        <v>966</v>
      </c>
      <c r="J76" s="1844" t="s">
        <v>967</v>
      </c>
      <c r="K76" s="1844" t="s">
        <v>968</v>
      </c>
      <c r="L76" s="1844" t="s">
        <v>969</v>
      </c>
      <c r="M76" s="1844" t="s">
        <v>970</v>
      </c>
      <c r="N76" s="1844" t="s">
        <v>972</v>
      </c>
      <c r="O76" s="2153" t="s">
        <v>860</v>
      </c>
      <c r="P76" s="481"/>
    </row>
    <row r="77" spans="1:16" x14ac:dyDescent="0.3">
      <c r="A77" s="1435" t="s">
        <v>0</v>
      </c>
      <c r="B77" s="1436">
        <f>B72</f>
        <v>0</v>
      </c>
      <c r="C77" s="1437">
        <f>$B77*'Tesorería 4'!B$29/12</f>
        <v>0</v>
      </c>
      <c r="D77" s="1437">
        <f>$B77*'Tesorería 4'!C$29/12</f>
        <v>0</v>
      </c>
      <c r="E77" s="1437">
        <f>$B77*'Tesorería 4'!D$29/12</f>
        <v>0</v>
      </c>
      <c r="F77" s="1437">
        <f>$B77*'Tesorería 4'!E$29/12</f>
        <v>0</v>
      </c>
      <c r="G77" s="1799">
        <f>$B77*'Tesorería 4'!F$29/12</f>
        <v>0</v>
      </c>
      <c r="H77" s="1799">
        <f>$B77*'Tesorería 4'!G$29/12</f>
        <v>0</v>
      </c>
      <c r="I77" s="1799">
        <f>$B77*'Tesorería 4'!H$29/12</f>
        <v>0</v>
      </c>
      <c r="J77" s="1799">
        <f>$B77*'Tesorería 4'!I$29/12</f>
        <v>0</v>
      </c>
      <c r="K77" s="1799">
        <f>$B77*'Tesorería 4'!J$29/12</f>
        <v>0</v>
      </c>
      <c r="L77" s="1799">
        <f>$B77*'Tesorería 4'!K$29/12</f>
        <v>0</v>
      </c>
      <c r="M77" s="1799">
        <f>$B77*'Tesorería 4'!L$29/12</f>
        <v>0</v>
      </c>
      <c r="N77" s="1799">
        <f>$B77*'Tesorería 4'!M$29/12</f>
        <v>0</v>
      </c>
      <c r="O77" s="2160">
        <f>SUM(C77:N77)</f>
        <v>0</v>
      </c>
      <c r="P77" s="389"/>
    </row>
    <row r="78" spans="1:16" x14ac:dyDescent="0.3">
      <c r="A78" s="1435" t="s">
        <v>1077</v>
      </c>
      <c r="B78" s="1138"/>
      <c r="C78" s="1437"/>
      <c r="D78" s="1437"/>
      <c r="E78" s="1437"/>
      <c r="F78" s="1437"/>
      <c r="G78" s="1437"/>
      <c r="H78" s="1437"/>
      <c r="I78" s="1437"/>
      <c r="J78" s="1437"/>
      <c r="K78" s="1437"/>
      <c r="L78" s="1437"/>
      <c r="M78" s="1437"/>
      <c r="N78" s="1437"/>
      <c r="O78" s="2160">
        <f>SUM(C78:N78)</f>
        <v>0</v>
      </c>
      <c r="P78" s="389"/>
    </row>
    <row r="79" spans="1:16" ht="18" thickBot="1" x14ac:dyDescent="0.35">
      <c r="A79" s="2149" t="s">
        <v>860</v>
      </c>
      <c r="B79" s="2159"/>
      <c r="C79" s="2151">
        <f>SUM(C77:C78)</f>
        <v>0</v>
      </c>
      <c r="D79" s="2151">
        <f>SUM(D77:D78)</f>
        <v>0</v>
      </c>
      <c r="E79" s="2151">
        <f>SUM(E77:E78)</f>
        <v>0</v>
      </c>
      <c r="F79" s="2151">
        <f t="shared" ref="F79:N79" si="21">SUM(F77:F78)</f>
        <v>0</v>
      </c>
      <c r="G79" s="2152">
        <f t="shared" si="21"/>
        <v>0</v>
      </c>
      <c r="H79" s="2152">
        <f t="shared" si="21"/>
        <v>0</v>
      </c>
      <c r="I79" s="2152">
        <f t="shared" si="21"/>
        <v>0</v>
      </c>
      <c r="J79" s="2152">
        <f t="shared" si="21"/>
        <v>0</v>
      </c>
      <c r="K79" s="2152">
        <f t="shared" si="21"/>
        <v>0</v>
      </c>
      <c r="L79" s="2152">
        <f t="shared" si="21"/>
        <v>0</v>
      </c>
      <c r="M79" s="2152">
        <f t="shared" si="21"/>
        <v>0</v>
      </c>
      <c r="N79" s="2152">
        <f t="shared" si="21"/>
        <v>0</v>
      </c>
      <c r="O79" s="2158">
        <f>SUM(O77:O78)</f>
        <v>0</v>
      </c>
      <c r="P79" s="1136"/>
    </row>
  </sheetData>
  <sheetProtection sheet="1" objects="1" scenarios="1" formatCells="0" formatColumns="0"/>
  <phoneticPr fontId="13" type="noConversion"/>
  <conditionalFormatting sqref="G9:N9 G11:N15 G18:N18 G20:N24 G27:N27 G29:N33 G36:N36 G38:N42 G45:N45 G47:N51 G57:N57 G59:N59 G62:N62 G64:N64 G67:N67 G69:N69 G72:N72 G74:N74 G77:N77 G79:N79">
    <cfRule type="expression" dxfId="12" priority="3" stopIfTrue="1">
      <formula>G$16&lt;mes0</formula>
    </cfRule>
  </conditionalFormatting>
  <printOptions horizontalCentered="1"/>
  <pageMargins left="0.75" right="0.75" top="0.4" bottom="0.41" header="0" footer="0"/>
  <pageSetup paperSize="9" scale="62" fitToHeight="2" orientation="landscape" horizontalDpi="300" r:id="rId1"/>
  <headerFooter alignWithMargins="0"/>
  <rowBreaks count="1" manualBreakCount="1">
    <brk id="51" max="16383" man="1"/>
  </rowBreaks>
  <drawing r:id="rId2"/>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Hoja30">
    <tabColor rgb="FF7CC9D0"/>
    <pageSetUpPr fitToPage="1"/>
  </sheetPr>
  <dimension ref="A1:O53"/>
  <sheetViews>
    <sheetView showGridLines="0" workbookViewId="0"/>
  </sheetViews>
  <sheetFormatPr baseColWidth="10" defaultRowHeight="15" x14ac:dyDescent="0.25"/>
  <cols>
    <col min="1" max="1" width="28.875" style="446" customWidth="1"/>
    <col min="2" max="2" width="11.625" style="446" customWidth="1"/>
    <col min="3" max="3" width="11.75" style="446" customWidth="1"/>
    <col min="4" max="4" width="12.75" style="446" customWidth="1"/>
    <col min="5" max="5" width="13.125" style="446" customWidth="1"/>
    <col min="6" max="6" width="12.625" style="446" customWidth="1"/>
    <col min="7" max="7" width="13" style="446" customWidth="1"/>
    <col min="8" max="8" width="12.25" style="446" bestFit="1" customWidth="1"/>
    <col min="9" max="9" width="12" style="446" bestFit="1" customWidth="1"/>
    <col min="10" max="10" width="12.25" style="446" bestFit="1" customWidth="1"/>
    <col min="11" max="11" width="12" style="446" bestFit="1" customWidth="1"/>
    <col min="12" max="12" width="12.25" style="446" bestFit="1" customWidth="1"/>
    <col min="13" max="13" width="14.125" style="446" bestFit="1" customWidth="1"/>
    <col min="14" max="14" width="12.25" style="446" bestFit="1" customWidth="1"/>
    <col min="15" max="15" width="12.75" style="305" customWidth="1"/>
    <col min="16" max="16384" width="11" style="446"/>
  </cols>
  <sheetData>
    <row r="1" spans="1:15" ht="27.75" x14ac:dyDescent="0.45">
      <c r="A1" s="645" t="s">
        <v>450</v>
      </c>
      <c r="B1" s="409"/>
      <c r="C1" s="470">
        <f>'Datos Básicos'!$B$17</f>
        <v>2026</v>
      </c>
      <c r="E1" s="450"/>
      <c r="F1" s="398"/>
      <c r="G1" s="646"/>
      <c r="H1" s="450"/>
      <c r="I1" s="398"/>
      <c r="J1" s="646"/>
      <c r="K1" s="398"/>
    </row>
    <row r="2" spans="1:15" ht="27.75" x14ac:dyDescent="0.45">
      <c r="A2" s="408">
        <f>'Datos Básicos'!B8</f>
        <v>0</v>
      </c>
      <c r="B2" s="408"/>
      <c r="D2" s="645"/>
      <c r="F2" s="450"/>
      <c r="G2" s="398"/>
      <c r="H2" s="398"/>
      <c r="I2" s="398"/>
      <c r="J2" s="398"/>
      <c r="K2" s="398"/>
    </row>
    <row r="3" spans="1:15" ht="18" thickBot="1" x14ac:dyDescent="0.35">
      <c r="A3" s="307"/>
      <c r="B3" s="307"/>
    </row>
    <row r="4" spans="1:15" s="445" customFormat="1" ht="18" customHeight="1" thickTop="1" thickBot="1" x14ac:dyDescent="0.3">
      <c r="A4" s="677" t="s">
        <v>847</v>
      </c>
      <c r="B4" s="460"/>
      <c r="C4" s="460" t="str">
        <f>'Datos Gastos Fijos'!D7</f>
        <v>enero</v>
      </c>
      <c r="D4" s="460" t="str">
        <f>'Datos Gastos Fijos'!E7</f>
        <v>febrero</v>
      </c>
      <c r="E4" s="460" t="str">
        <f>'Datos Gastos Fijos'!F7</f>
        <v>marzo</v>
      </c>
      <c r="F4" s="460" t="str">
        <f>'Datos Gastos Fijos'!G7</f>
        <v>abril</v>
      </c>
      <c r="G4" s="460" t="str">
        <f>'Datos Gastos Fijos'!H7</f>
        <v>mayo</v>
      </c>
      <c r="H4" s="460" t="str">
        <f>'Datos Gastos Fijos'!I7</f>
        <v>junio</v>
      </c>
      <c r="I4" s="460" t="str">
        <f>'Datos Gastos Fijos'!J7</f>
        <v>julio</v>
      </c>
      <c r="J4" s="460" t="str">
        <f>'Datos Gastos Fijos'!K7</f>
        <v>agosto</v>
      </c>
      <c r="K4" s="460" t="str">
        <f>'Datos Gastos Fijos'!L7</f>
        <v>septiembre</v>
      </c>
      <c r="L4" s="460" t="str">
        <f>'Datos Gastos Fijos'!M7</f>
        <v>octubre</v>
      </c>
      <c r="M4" s="460" t="str">
        <f>'Datos Gastos Fijos'!N7</f>
        <v>noviembre</v>
      </c>
      <c r="N4" s="460" t="str">
        <f>'Datos Gastos Fijos'!O7</f>
        <v>diciembre</v>
      </c>
      <c r="O4" s="678" t="s">
        <v>860</v>
      </c>
    </row>
    <row r="5" spans="1:15" s="445" customFormat="1" ht="18" customHeight="1" thickBot="1" x14ac:dyDescent="0.3">
      <c r="A5" s="679" t="s">
        <v>980</v>
      </c>
      <c r="B5" s="680"/>
      <c r="C5" s="680"/>
      <c r="D5" s="680"/>
      <c r="E5" s="680"/>
      <c r="F5" s="680"/>
      <c r="G5" s="680"/>
      <c r="H5" s="680"/>
      <c r="I5" s="680"/>
      <c r="J5" s="680"/>
      <c r="K5" s="680"/>
      <c r="L5" s="680"/>
      <c r="M5" s="680"/>
      <c r="N5" s="680"/>
      <c r="O5" s="681"/>
    </row>
    <row r="6" spans="1:15" ht="21" customHeight="1" x14ac:dyDescent="0.25">
      <c r="A6" s="682" t="s">
        <v>876</v>
      </c>
      <c r="B6" s="647"/>
      <c r="C6" s="482">
        <f>'Cobros y pagos 0'!B27</f>
        <v>0</v>
      </c>
      <c r="D6" s="482">
        <f>'Cobros y pagos 0'!C27</f>
        <v>0</v>
      </c>
      <c r="E6" s="482">
        <f>'Cobros y pagos 0'!D27</f>
        <v>0</v>
      </c>
      <c r="F6" s="482">
        <f>'Cobros y pagos 0'!E27</f>
        <v>0</v>
      </c>
      <c r="G6" s="482">
        <f>'Cobros y pagos 0'!F27</f>
        <v>0</v>
      </c>
      <c r="H6" s="482">
        <f>'Cobros y pagos 0'!G27</f>
        <v>0</v>
      </c>
      <c r="I6" s="482">
        <f>'Cobros y pagos 0'!H27</f>
        <v>0</v>
      </c>
      <c r="J6" s="482">
        <f>'Cobros y pagos 0'!I27</f>
        <v>0</v>
      </c>
      <c r="K6" s="482">
        <f>'Cobros y pagos 0'!J27</f>
        <v>0</v>
      </c>
      <c r="L6" s="482">
        <f>'Cobros y pagos 0'!K27</f>
        <v>0</v>
      </c>
      <c r="M6" s="482">
        <f>'Cobros y pagos 0'!L27</f>
        <v>0</v>
      </c>
      <c r="N6" s="482">
        <f>'Cobros y pagos 0'!M27</f>
        <v>0</v>
      </c>
      <c r="O6" s="683">
        <f t="shared" ref="O6:O20" si="0">SUM(C6:N6)</f>
        <v>0</v>
      </c>
    </row>
    <row r="7" spans="1:15" ht="21" customHeight="1" x14ac:dyDescent="0.25">
      <c r="A7" s="684" t="s">
        <v>877</v>
      </c>
      <c r="B7" s="648"/>
      <c r="C7" s="685">
        <f>'Otros cobros y pagos'!B13</f>
        <v>0</v>
      </c>
      <c r="D7" s="685">
        <f>'Otros cobros y pagos'!C13</f>
        <v>0</v>
      </c>
      <c r="E7" s="685">
        <f>'Otros cobros y pagos'!D13</f>
        <v>0</v>
      </c>
      <c r="F7" s="685">
        <f>'Otros cobros y pagos'!E13</f>
        <v>0</v>
      </c>
      <c r="G7" s="685">
        <f>'Otros cobros y pagos'!F13</f>
        <v>0</v>
      </c>
      <c r="H7" s="685">
        <f>'Otros cobros y pagos'!G13</f>
        <v>0</v>
      </c>
      <c r="I7" s="685">
        <f>'Otros cobros y pagos'!H13</f>
        <v>0</v>
      </c>
      <c r="J7" s="685">
        <f>'Otros cobros y pagos'!I13</f>
        <v>0</v>
      </c>
      <c r="K7" s="685">
        <f>'Otros cobros y pagos'!J13</f>
        <v>0</v>
      </c>
      <c r="L7" s="685">
        <f>'Otros cobros y pagos'!K13</f>
        <v>0</v>
      </c>
      <c r="M7" s="685">
        <f>'Otros cobros y pagos'!L13</f>
        <v>0</v>
      </c>
      <c r="N7" s="685">
        <f>'Otros cobros y pagos'!M13</f>
        <v>0</v>
      </c>
      <c r="O7" s="686">
        <f t="shared" si="0"/>
        <v>0</v>
      </c>
    </row>
    <row r="8" spans="1:15" ht="21" customHeight="1" x14ac:dyDescent="0.25">
      <c r="A8" s="684" t="s">
        <v>9</v>
      </c>
      <c r="B8" s="648"/>
      <c r="C8" s="685">
        <f>-'IVA 0'!C26</f>
        <v>0</v>
      </c>
      <c r="D8" s="685">
        <f>-'IVA 0'!D26</f>
        <v>0</v>
      </c>
      <c r="E8" s="685">
        <f>-'IVA 0'!E26</f>
        <v>0</v>
      </c>
      <c r="F8" s="685">
        <f>-'IVA 0'!F26</f>
        <v>0</v>
      </c>
      <c r="G8" s="685">
        <f>-'IVA 0'!G26</f>
        <v>0</v>
      </c>
      <c r="H8" s="685">
        <f>-'IVA 0'!H26</f>
        <v>0</v>
      </c>
      <c r="I8" s="685">
        <f>-'IVA 0'!I26</f>
        <v>0</v>
      </c>
      <c r="J8" s="685">
        <f>-'IVA 0'!J26</f>
        <v>0</v>
      </c>
      <c r="K8" s="685">
        <f>-'IVA 0'!K26</f>
        <v>0</v>
      </c>
      <c r="L8" s="685">
        <f>-'IVA 0'!L26</f>
        <v>0</v>
      </c>
      <c r="M8" s="685">
        <f>-'IVA 0'!M26</f>
        <v>0</v>
      </c>
      <c r="N8" s="685">
        <f>-'IVA 0'!N26</f>
        <v>0</v>
      </c>
      <c r="O8" s="686">
        <f t="shared" si="0"/>
        <v>0</v>
      </c>
    </row>
    <row r="9" spans="1:15" ht="21" customHeight="1" x14ac:dyDescent="0.25">
      <c r="A9" s="687" t="s">
        <v>1</v>
      </c>
      <c r="B9" s="649"/>
      <c r="C9" s="685">
        <f>'Gastos Financieros'!C59</f>
        <v>0</v>
      </c>
      <c r="D9" s="685">
        <f>'Gastos Financieros'!D59</f>
        <v>0</v>
      </c>
      <c r="E9" s="685">
        <f>'Gastos Financieros'!E59</f>
        <v>0</v>
      </c>
      <c r="F9" s="685">
        <f>'Gastos Financieros'!F59</f>
        <v>0</v>
      </c>
      <c r="G9" s="685">
        <f>'Gastos Financieros'!G59</f>
        <v>0</v>
      </c>
      <c r="H9" s="685">
        <f>'Gastos Financieros'!H59</f>
        <v>0</v>
      </c>
      <c r="I9" s="685">
        <f>'Gastos Financieros'!I59</f>
        <v>0</v>
      </c>
      <c r="J9" s="685">
        <f>'Gastos Financieros'!J59</f>
        <v>0</v>
      </c>
      <c r="K9" s="685">
        <f>'Gastos Financieros'!K59</f>
        <v>0</v>
      </c>
      <c r="L9" s="685">
        <f>'Gastos Financieros'!L59</f>
        <v>0</v>
      </c>
      <c r="M9" s="685">
        <f>'Gastos Financieros'!M59</f>
        <v>0</v>
      </c>
      <c r="N9" s="685">
        <f>'Gastos Financieros'!N59</f>
        <v>0</v>
      </c>
      <c r="O9" s="686">
        <f t="shared" si="0"/>
        <v>0</v>
      </c>
    </row>
    <row r="10" spans="1:15" s="305" customFormat="1" ht="21" customHeight="1" thickBot="1" x14ac:dyDescent="0.3">
      <c r="A10" s="688" t="s">
        <v>984</v>
      </c>
      <c r="B10" s="650"/>
      <c r="C10" s="689">
        <f>SUM(C6:C9)</f>
        <v>0</v>
      </c>
      <c r="D10" s="689">
        <f t="shared" ref="D10:K10" si="1">SUM(D6:D9)</f>
        <v>0</v>
      </c>
      <c r="E10" s="689">
        <f t="shared" si="1"/>
        <v>0</v>
      </c>
      <c r="F10" s="689">
        <f t="shared" si="1"/>
        <v>0</v>
      </c>
      <c r="G10" s="689">
        <f t="shared" si="1"/>
        <v>0</v>
      </c>
      <c r="H10" s="689">
        <f t="shared" si="1"/>
        <v>0</v>
      </c>
      <c r="I10" s="689">
        <f t="shared" si="1"/>
        <v>0</v>
      </c>
      <c r="J10" s="689">
        <f t="shared" si="1"/>
        <v>0</v>
      </c>
      <c r="K10" s="689">
        <f t="shared" si="1"/>
        <v>0</v>
      </c>
      <c r="L10" s="689">
        <f>SUM(L6:L9)</f>
        <v>0</v>
      </c>
      <c r="M10" s="689">
        <f>SUM(M6:M9)</f>
        <v>0</v>
      </c>
      <c r="N10" s="689">
        <f>SUM(N6:N9)</f>
        <v>0</v>
      </c>
      <c r="O10" s="690">
        <f t="shared" si="0"/>
        <v>0</v>
      </c>
    </row>
    <row r="11" spans="1:15" s="305" customFormat="1" ht="9.75" customHeight="1" x14ac:dyDescent="0.25">
      <c r="A11" s="691"/>
      <c r="B11" s="651"/>
      <c r="C11" s="1017">
        <v>1</v>
      </c>
      <c r="D11" s="1017">
        <v>2</v>
      </c>
      <c r="E11" s="1017">
        <v>3</v>
      </c>
      <c r="F11" s="1017">
        <v>4</v>
      </c>
      <c r="G11" s="1017">
        <v>5</v>
      </c>
      <c r="H11" s="1017">
        <v>6</v>
      </c>
      <c r="I11" s="1017">
        <v>7</v>
      </c>
      <c r="J11" s="1017">
        <v>8</v>
      </c>
      <c r="K11" s="1017">
        <v>9</v>
      </c>
      <c r="L11" s="1017">
        <v>10</v>
      </c>
      <c r="M11" s="1017">
        <v>11</v>
      </c>
      <c r="N11" s="1017">
        <v>12</v>
      </c>
      <c r="O11" s="692"/>
    </row>
    <row r="12" spans="1:15" s="305" customFormat="1" ht="21" customHeight="1" thickBot="1" x14ac:dyDescent="0.3">
      <c r="A12" s="679" t="s">
        <v>981</v>
      </c>
      <c r="B12" s="652"/>
      <c r="C12" s="652"/>
      <c r="D12" s="652"/>
      <c r="E12" s="652"/>
      <c r="F12" s="652"/>
      <c r="G12" s="652"/>
      <c r="H12" s="652"/>
      <c r="I12" s="652"/>
      <c r="J12" s="652"/>
      <c r="K12" s="652"/>
      <c r="L12" s="652"/>
      <c r="M12" s="652"/>
      <c r="N12" s="652"/>
      <c r="O12" s="693"/>
    </row>
    <row r="13" spans="1:15" s="305" customFormat="1" ht="21" customHeight="1" x14ac:dyDescent="0.25">
      <c r="A13" s="682" t="s">
        <v>264</v>
      </c>
      <c r="B13" s="647"/>
      <c r="C13" s="482">
        <f>'G.F. 0'!C48+'G.F. 0'!C50
+IF(COLUMN(C$4)-2&lt;mes0,0,IF(COLUMN(C$4)-2&lt;mes0+'Datos Gastos Fijos'!$C$30,-'Datos Gastos Fijos'!$B$23,0))</f>
        <v>1309.72</v>
      </c>
      <c r="D13" s="482">
        <f>'G.F. 0'!D48+'G.F. 0'!D50
+IF(COLUMN(D$4)-2&lt;mes0,0,IF(COLUMN(D$4)-2&lt;mes0+'Datos Gastos Fijos'!$C$30,-'Datos Gastos Fijos'!$B$23,0))</f>
        <v>1309.72</v>
      </c>
      <c r="E13" s="482">
        <f>'G.F. 0'!E48+'G.F. 0'!E50
+IF(COLUMN(E$4)-2&lt;mes0,0,IF(COLUMN(E$4)-2&lt;mes0+'Datos Gastos Fijos'!$C$30,-'Datos Gastos Fijos'!$B$23,0))</f>
        <v>1309.72</v>
      </c>
      <c r="F13" s="482">
        <f>'G.F. 0'!F48+'G.F. 0'!F50
+IF(COLUMN(F$4)-2&lt;mes0,0,IF(COLUMN(F$4)-2&lt;mes0+'Datos Gastos Fijos'!$C$30,-'Datos Gastos Fijos'!$B$23,0))</f>
        <v>1309.72</v>
      </c>
      <c r="G13" s="482">
        <f>'G.F. 0'!G48+'G.F. 0'!G50
+IF(COLUMN(G$4)-2&lt;mes0,0,IF(COLUMN(G$4)-2&lt;mes0+'Datos Gastos Fijos'!$C$30,-'Datos Gastos Fijos'!$B$23,0))</f>
        <v>1309.72</v>
      </c>
      <c r="H13" s="482">
        <f>'G.F. 0'!H48+'G.F. 0'!H50
+IF(COLUMN(H$4)-2&lt;mes0,0,IF(COLUMN(H$4)-2&lt;mes0+'Datos Gastos Fijos'!$C$30,-'Datos Gastos Fijos'!$B$23,0))</f>
        <v>1309.72</v>
      </c>
      <c r="I13" s="482">
        <f>'G.F. 0'!I48+'G.F. 0'!I50
+IF(COLUMN(I$4)-2&lt;mes0,0,IF(COLUMN(I$4)-2&lt;mes0+'Datos Gastos Fijos'!$C$30,-'Datos Gastos Fijos'!$B$23,0))</f>
        <v>1309.72</v>
      </c>
      <c r="J13" s="482">
        <f>'G.F. 0'!J48+'G.F. 0'!J50
+IF(COLUMN(J$4)-2&lt;mes0,0,IF(COLUMN(J$4)-2&lt;mes0+'Datos Gastos Fijos'!$C$30,-'Datos Gastos Fijos'!$B$23,0))</f>
        <v>1309.72</v>
      </c>
      <c r="K13" s="482">
        <f>'G.F. 0'!K48+'G.F. 0'!K50
+IF(COLUMN(K$4)-2&lt;mes0,0,IF(COLUMN(K$4)-2&lt;mes0+'Datos Gastos Fijos'!$C$30,-'Datos Gastos Fijos'!$B$23,0))</f>
        <v>1309.72</v>
      </c>
      <c r="L13" s="482">
        <f>'G.F. 0'!L48+'G.F. 0'!L50
+IF(COLUMN(L$4)-2&lt;mes0,0,IF(COLUMN(L$4)-2&lt;mes0+'Datos Gastos Fijos'!$C$30,-'Datos Gastos Fijos'!$B$23,0))</f>
        <v>1309.72</v>
      </c>
      <c r="M13" s="482">
        <f>'G.F. 0'!M48+'G.F. 0'!M50
+IF(COLUMN(M$4)-2&lt;mes0,0,IF(COLUMN(M$4)-2&lt;mes0+'Datos Gastos Fijos'!$C$30,-'Datos Gastos Fijos'!$B$23,0))</f>
        <v>1309.72</v>
      </c>
      <c r="N13" s="482">
        <f>'G.F. 0'!N48+'G.F. 0'!N50
+IF(COLUMN(N$4)-2&lt;mes0,0,IF(COLUMN(N$4)-2&lt;mes0+'Datos Gastos Fijos'!$C$30,-'Datos Gastos Fijos'!$B$23,0))</f>
        <v>1309.72</v>
      </c>
      <c r="O13" s="683">
        <f t="shared" si="0"/>
        <v>15716.639999999998</v>
      </c>
    </row>
    <row r="14" spans="1:15" ht="21" customHeight="1" x14ac:dyDescent="0.25">
      <c r="A14" s="687" t="s">
        <v>263</v>
      </c>
      <c r="B14" s="648"/>
      <c r="C14" s="685">
        <f>'Cobros y pagos 0'!B53</f>
        <v>0</v>
      </c>
      <c r="D14" s="685">
        <f>'Cobros y pagos 0'!C53</f>
        <v>0</v>
      </c>
      <c r="E14" s="685">
        <f>'Cobros y pagos 0'!D53</f>
        <v>0</v>
      </c>
      <c r="F14" s="685">
        <f>'Cobros y pagos 0'!E53</f>
        <v>0</v>
      </c>
      <c r="G14" s="685">
        <f>'Cobros y pagos 0'!F53</f>
        <v>0</v>
      </c>
      <c r="H14" s="685">
        <f>'Cobros y pagos 0'!G53</f>
        <v>0</v>
      </c>
      <c r="I14" s="685">
        <f>'Cobros y pagos 0'!H53</f>
        <v>0</v>
      </c>
      <c r="J14" s="685">
        <f>'Cobros y pagos 0'!I53</f>
        <v>0</v>
      </c>
      <c r="K14" s="685">
        <f>'Cobros y pagos 0'!J53</f>
        <v>0</v>
      </c>
      <c r="L14" s="685">
        <f>'Cobros y pagos 0'!K53</f>
        <v>0</v>
      </c>
      <c r="M14" s="685">
        <f>'Cobros y pagos 0'!L53</f>
        <v>0</v>
      </c>
      <c r="N14" s="685">
        <f>'Cobros y pagos 0'!M53</f>
        <v>0</v>
      </c>
      <c r="O14" s="686">
        <f t="shared" si="0"/>
        <v>0</v>
      </c>
    </row>
    <row r="15" spans="1:15" ht="21" customHeight="1" x14ac:dyDescent="0.25">
      <c r="A15" s="687" t="s">
        <v>1047</v>
      </c>
      <c r="B15" s="649"/>
      <c r="C15" s="685">
        <f>'Gastos Financieros'!C15</f>
        <v>0</v>
      </c>
      <c r="D15" s="685">
        <f>'Gastos Financieros'!D15</f>
        <v>19.306700000000003</v>
      </c>
      <c r="E15" s="685">
        <f>'Gastos Financieros'!E15</f>
        <v>27.059355749999998</v>
      </c>
      <c r="F15" s="685">
        <f>'Gastos Financieros'!F15</f>
        <v>34.857235325208336</v>
      </c>
      <c r="G15" s="685">
        <f>'Gastos Financieros'!G15</f>
        <v>42.700602531272054</v>
      </c>
      <c r="H15" s="685">
        <f>'Gastos Financieros'!H15</f>
        <v>50.589722712704479</v>
      </c>
      <c r="I15" s="685">
        <f>'Gastos Financieros'!I15</f>
        <v>58.524862761861918</v>
      </c>
      <c r="J15" s="685">
        <f>'Gastos Financieros'!J15</f>
        <v>66.506291127972773</v>
      </c>
      <c r="K15" s="685">
        <f>'Gastos Financieros'!K15</f>
        <v>74.534277826219281</v>
      </c>
      <c r="L15" s="685">
        <f>'Gastos Financieros'!L15</f>
        <v>82.609094446872234</v>
      </c>
      <c r="M15" s="685">
        <f>'Gastos Financieros'!M15</f>
        <v>90.731014164478978</v>
      </c>
      <c r="N15" s="685">
        <f>'Gastos Financieros'!N15</f>
        <v>98.900311747105093</v>
      </c>
      <c r="O15" s="686">
        <f t="shared" si="0"/>
        <v>646.31946839369516</v>
      </c>
    </row>
    <row r="16" spans="1:15" ht="21" customHeight="1" x14ac:dyDescent="0.25">
      <c r="A16" s="687" t="s">
        <v>839</v>
      </c>
      <c r="B16" s="649"/>
      <c r="C16" s="685">
        <f>Leasing!B23+Renting!B22</f>
        <v>0</v>
      </c>
      <c r="D16" s="685">
        <f>Leasing!C23+Renting!C22</f>
        <v>0</v>
      </c>
      <c r="E16" s="685">
        <f>Leasing!D23+Renting!D22</f>
        <v>0</v>
      </c>
      <c r="F16" s="685">
        <f>Leasing!E23+Renting!E22</f>
        <v>0</v>
      </c>
      <c r="G16" s="685">
        <f>Leasing!F23+Renting!F22</f>
        <v>0</v>
      </c>
      <c r="H16" s="685">
        <f>Leasing!G23+Renting!G22</f>
        <v>0</v>
      </c>
      <c r="I16" s="685">
        <f>Leasing!H23+Renting!H22</f>
        <v>0</v>
      </c>
      <c r="J16" s="685">
        <f>Leasing!I23+Renting!I22</f>
        <v>0</v>
      </c>
      <c r="K16" s="685">
        <f>Leasing!J23+Renting!J22</f>
        <v>0</v>
      </c>
      <c r="L16" s="685">
        <f>Leasing!K23+Renting!K22</f>
        <v>0</v>
      </c>
      <c r="M16" s="685">
        <f>Leasing!L23+Renting!L22</f>
        <v>0</v>
      </c>
      <c r="N16" s="685">
        <f>Leasing!M23+Renting!M22</f>
        <v>0</v>
      </c>
      <c r="O16" s="686">
        <f t="shared" si="0"/>
        <v>0</v>
      </c>
    </row>
    <row r="17" spans="1:15" ht="9.75" customHeight="1" x14ac:dyDescent="0.25">
      <c r="A17" s="694"/>
      <c r="B17" s="653"/>
      <c r="C17" s="653"/>
      <c r="D17" s="653"/>
      <c r="E17" s="653"/>
      <c r="F17" s="653"/>
      <c r="G17" s="653"/>
      <c r="H17" s="653"/>
      <c r="I17" s="653"/>
      <c r="J17" s="653"/>
      <c r="K17" s="653"/>
      <c r="L17" s="653"/>
      <c r="M17" s="653"/>
      <c r="N17" s="653"/>
      <c r="O17" s="695"/>
    </row>
    <row r="18" spans="1:15" ht="21" customHeight="1" x14ac:dyDescent="0.25">
      <c r="A18" s="696" t="s">
        <v>987</v>
      </c>
      <c r="B18" s="654"/>
      <c r="C18" s="654"/>
      <c r="D18" s="654"/>
      <c r="E18" s="654"/>
      <c r="F18" s="654"/>
      <c r="G18" s="654"/>
      <c r="H18" s="654"/>
      <c r="I18" s="654"/>
      <c r="J18" s="654"/>
      <c r="K18" s="654"/>
      <c r="L18" s="654"/>
      <c r="M18" s="654"/>
      <c r="N18" s="654"/>
      <c r="O18" s="697"/>
    </row>
    <row r="19" spans="1:15" ht="21" customHeight="1" x14ac:dyDescent="0.25">
      <c r="A19" s="687" t="s">
        <v>837</v>
      </c>
      <c r="B19" s="648"/>
      <c r="C19" s="685">
        <f>Préstamos!B20+Leasing!B22</f>
        <v>0</v>
      </c>
      <c r="D19" s="685">
        <f>Préstamos!C20+Leasing!C22</f>
        <v>0</v>
      </c>
      <c r="E19" s="685">
        <f>Préstamos!D20+Leasing!D22</f>
        <v>0</v>
      </c>
      <c r="F19" s="685">
        <f>Préstamos!E20+Leasing!E22</f>
        <v>0</v>
      </c>
      <c r="G19" s="685">
        <f>Préstamos!F20+Leasing!F22</f>
        <v>0</v>
      </c>
      <c r="H19" s="685">
        <f>Préstamos!G20+Leasing!G22</f>
        <v>0</v>
      </c>
      <c r="I19" s="685">
        <f>Préstamos!H20+Leasing!H22</f>
        <v>0</v>
      </c>
      <c r="J19" s="685">
        <f>Préstamos!I20+Leasing!I22</f>
        <v>0</v>
      </c>
      <c r="K19" s="685">
        <f>Préstamos!J20+Leasing!J22</f>
        <v>0</v>
      </c>
      <c r="L19" s="685">
        <f>Préstamos!K20+Leasing!K22</f>
        <v>0</v>
      </c>
      <c r="M19" s="685">
        <f>Préstamos!L20+Leasing!L22</f>
        <v>0</v>
      </c>
      <c r="N19" s="685">
        <f>Préstamos!M20+Leasing!M22</f>
        <v>0</v>
      </c>
      <c r="O19" s="686">
        <f t="shared" si="0"/>
        <v>0</v>
      </c>
    </row>
    <row r="20" spans="1:15" ht="21" customHeight="1" x14ac:dyDescent="0.25">
      <c r="A20" s="684" t="s">
        <v>1006</v>
      </c>
      <c r="B20" s="648"/>
      <c r="C20" s="685">
        <f>'Otros cobros y pagos'!B70</f>
        <v>0</v>
      </c>
      <c r="D20" s="685">
        <f>'Otros cobros y pagos'!C70</f>
        <v>0</v>
      </c>
      <c r="E20" s="685">
        <f>'Otros cobros y pagos'!D70</f>
        <v>0</v>
      </c>
      <c r="F20" s="685">
        <f>'Otros cobros y pagos'!E70</f>
        <v>0</v>
      </c>
      <c r="G20" s="685">
        <f>'Otros cobros y pagos'!F70</f>
        <v>0</v>
      </c>
      <c r="H20" s="685">
        <f>'Otros cobros y pagos'!G70</f>
        <v>0</v>
      </c>
      <c r="I20" s="685">
        <f>'Otros cobros y pagos'!H70</f>
        <v>0</v>
      </c>
      <c r="J20" s="685">
        <f>'Otros cobros y pagos'!I70</f>
        <v>0</v>
      </c>
      <c r="K20" s="685">
        <f>'Otros cobros y pagos'!J70</f>
        <v>0</v>
      </c>
      <c r="L20" s="685">
        <f>'Otros cobros y pagos'!K70</f>
        <v>0</v>
      </c>
      <c r="M20" s="685">
        <f>'Otros cobros y pagos'!L70</f>
        <v>0</v>
      </c>
      <c r="N20" s="685">
        <f>'Otros cobros y pagos'!M70</f>
        <v>0</v>
      </c>
      <c r="O20" s="686">
        <f t="shared" si="0"/>
        <v>0</v>
      </c>
    </row>
    <row r="21" spans="1:15" ht="21" customHeight="1" x14ac:dyDescent="0.25">
      <c r="A21" s="684" t="s">
        <v>993</v>
      </c>
      <c r="B21" s="648"/>
      <c r="C21" s="685">
        <f>'IVA 0'!C24</f>
        <v>0</v>
      </c>
      <c r="D21" s="685">
        <f>'IVA 0'!D24</f>
        <v>0</v>
      </c>
      <c r="E21" s="685">
        <f>'IVA 0'!E24</f>
        <v>0</v>
      </c>
      <c r="F21" s="685">
        <f>'IVA 0'!F24</f>
        <v>0</v>
      </c>
      <c r="G21" s="685">
        <f>'IVA 0'!G24</f>
        <v>0</v>
      </c>
      <c r="H21" s="685">
        <f>'IVA 0'!H24</f>
        <v>0</v>
      </c>
      <c r="I21" s="685">
        <f>'IVA 0'!I24</f>
        <v>0</v>
      </c>
      <c r="J21" s="685">
        <f>'IVA 0'!J24</f>
        <v>0</v>
      </c>
      <c r="K21" s="685">
        <f>'IVA 0'!K24</f>
        <v>0</v>
      </c>
      <c r="L21" s="685">
        <f>'IVA 0'!L24</f>
        <v>0</v>
      </c>
      <c r="M21" s="685">
        <f>'IVA 0'!M24</f>
        <v>0</v>
      </c>
      <c r="N21" s="685">
        <f>'IVA 0'!N24</f>
        <v>0</v>
      </c>
      <c r="O21" s="686">
        <f>SUM(C21:N21)</f>
        <v>0</v>
      </c>
    </row>
    <row r="22" spans="1:15" ht="21" customHeight="1" x14ac:dyDescent="0.25">
      <c r="A22" s="684" t="s">
        <v>111</v>
      </c>
      <c r="B22" s="648"/>
      <c r="C22" s="685">
        <v>0</v>
      </c>
      <c r="D22" s="685">
        <v>0</v>
      </c>
      <c r="E22" s="685">
        <v>0</v>
      </c>
      <c r="F22" s="685">
        <f>Imp.Sociedades!B14+'Ret IRPF'!E13</f>
        <v>0</v>
      </c>
      <c r="G22" s="685">
        <v>0</v>
      </c>
      <c r="H22" s="685">
        <v>0</v>
      </c>
      <c r="I22" s="685">
        <f>'Ret IRPF'!H13</f>
        <v>0</v>
      </c>
      <c r="J22" s="685">
        <v>0</v>
      </c>
      <c r="K22" s="685">
        <v>0</v>
      </c>
      <c r="L22" s="685">
        <f>'Ret IRPF'!K13</f>
        <v>0</v>
      </c>
      <c r="M22" s="685">
        <v>0</v>
      </c>
      <c r="N22" s="685">
        <f>Imp.Sociedades!B16</f>
        <v>0</v>
      </c>
      <c r="O22" s="686">
        <f>SUM(C22:N22)</f>
        <v>0</v>
      </c>
    </row>
    <row r="23" spans="1:15" s="305" customFormat="1" ht="21" customHeight="1" thickBot="1" x14ac:dyDescent="0.3">
      <c r="A23" s="688" t="s">
        <v>266</v>
      </c>
      <c r="B23" s="650"/>
      <c r="C23" s="698">
        <f>SUM(C13:C22)</f>
        <v>1309.72</v>
      </c>
      <c r="D23" s="698">
        <f t="shared" ref="D23:N23" si="2">SUM(D13:D22)</f>
        <v>1329.0267000000001</v>
      </c>
      <c r="E23" s="698">
        <f t="shared" si="2"/>
        <v>1336.7793557499999</v>
      </c>
      <c r="F23" s="698">
        <f t="shared" si="2"/>
        <v>1344.5772353252084</v>
      </c>
      <c r="G23" s="698">
        <f t="shared" si="2"/>
        <v>1352.4206025312722</v>
      </c>
      <c r="H23" s="698">
        <f t="shared" si="2"/>
        <v>1360.3097227127046</v>
      </c>
      <c r="I23" s="698">
        <f t="shared" si="2"/>
        <v>1368.2448627618619</v>
      </c>
      <c r="J23" s="698">
        <f t="shared" si="2"/>
        <v>1376.2262911279729</v>
      </c>
      <c r="K23" s="698">
        <f t="shared" si="2"/>
        <v>1384.2542778262193</v>
      </c>
      <c r="L23" s="698">
        <f t="shared" si="2"/>
        <v>1392.3290944468722</v>
      </c>
      <c r="M23" s="698">
        <f t="shared" si="2"/>
        <v>1400.4510141644789</v>
      </c>
      <c r="N23" s="698">
        <f t="shared" si="2"/>
        <v>1408.620311747105</v>
      </c>
      <c r="O23" s="690">
        <f>SUM(O13:O22)</f>
        <v>16362.959468393692</v>
      </c>
    </row>
    <row r="24" spans="1:15" s="305" customFormat="1" ht="21" customHeight="1" thickBot="1" x14ac:dyDescent="0.3">
      <c r="A24" s="691"/>
      <c r="B24" s="657"/>
      <c r="C24" s="657"/>
      <c r="D24" s="657"/>
      <c r="E24" s="657"/>
      <c r="F24" s="657"/>
      <c r="G24" s="657"/>
      <c r="H24" s="657"/>
      <c r="I24" s="657"/>
      <c r="J24" s="657"/>
      <c r="K24" s="657"/>
      <c r="L24" s="657"/>
      <c r="M24" s="657"/>
      <c r="N24" s="657"/>
      <c r="O24" s="699"/>
    </row>
    <row r="25" spans="1:15" s="305" customFormat="1" ht="21" customHeight="1" thickBot="1" x14ac:dyDescent="0.3">
      <c r="A25" s="700" t="s">
        <v>983</v>
      </c>
      <c r="B25" s="656"/>
      <c r="C25" s="701">
        <f t="shared" ref="C25:O25" si="3">C10-C23</f>
        <v>-1309.72</v>
      </c>
      <c r="D25" s="701">
        <f t="shared" si="3"/>
        <v>-1329.0267000000001</v>
      </c>
      <c r="E25" s="701">
        <f t="shared" si="3"/>
        <v>-1336.7793557499999</v>
      </c>
      <c r="F25" s="701">
        <f t="shared" si="3"/>
        <v>-1344.5772353252084</v>
      </c>
      <c r="G25" s="701">
        <f t="shared" si="3"/>
        <v>-1352.4206025312722</v>
      </c>
      <c r="H25" s="701">
        <f t="shared" si="3"/>
        <v>-1360.3097227127046</v>
      </c>
      <c r="I25" s="701">
        <f t="shared" si="3"/>
        <v>-1368.2448627618619</v>
      </c>
      <c r="J25" s="701">
        <f t="shared" si="3"/>
        <v>-1376.2262911279729</v>
      </c>
      <c r="K25" s="701">
        <f t="shared" si="3"/>
        <v>-1384.2542778262193</v>
      </c>
      <c r="L25" s="701">
        <f t="shared" si="3"/>
        <v>-1392.3290944468722</v>
      </c>
      <c r="M25" s="701">
        <f t="shared" si="3"/>
        <v>-1400.4510141644789</v>
      </c>
      <c r="N25" s="701">
        <f t="shared" si="3"/>
        <v>-1408.620311747105</v>
      </c>
      <c r="O25" s="702">
        <f t="shared" si="3"/>
        <v>-16362.959468393692</v>
      </c>
    </row>
    <row r="26" spans="1:15" s="305" customFormat="1" ht="21" customHeight="1" thickBot="1" x14ac:dyDescent="0.3">
      <c r="A26" s="703"/>
      <c r="B26" s="655"/>
      <c r="C26" s="704"/>
      <c r="D26" s="704"/>
      <c r="E26" s="704"/>
      <c r="F26" s="704"/>
      <c r="G26" s="704"/>
      <c r="H26" s="704"/>
      <c r="I26" s="704"/>
      <c r="J26" s="704"/>
      <c r="K26" s="704"/>
      <c r="L26" s="704"/>
      <c r="M26" s="704"/>
      <c r="N26" s="704"/>
      <c r="O26" s="705"/>
    </row>
    <row r="27" spans="1:15" s="305" customFormat="1" ht="21" customHeight="1" thickBot="1" x14ac:dyDescent="0.3">
      <c r="A27" s="706" t="s">
        <v>1008</v>
      </c>
      <c r="B27" s="707">
        <f>'Financiación Inicial'!$B$25</f>
        <v>0</v>
      </c>
      <c r="C27" s="708">
        <f t="shared" ref="C27:N27" si="4">IF(COLUMN(C4)-2&lt;mes0,0,IF(B29+C25-B27&gt;tesoreriasec,0,B27-B29-C25+tesoreriasec))</f>
        <v>3309.7200000000003</v>
      </c>
      <c r="D27" s="709">
        <f t="shared" si="4"/>
        <v>4638.7466999999997</v>
      </c>
      <c r="E27" s="709">
        <f t="shared" si="4"/>
        <v>5975.5260557500005</v>
      </c>
      <c r="F27" s="709">
        <f t="shared" si="4"/>
        <v>7320.1032910752092</v>
      </c>
      <c r="G27" s="709">
        <f>IF(COLUMN(G4)-2&lt;mes0,0,IF(F29+G25-F27&gt;tesoreriasec,0,F27-F29-G25+tesoreriasec))</f>
        <v>8672.5238936064816</v>
      </c>
      <c r="H27" s="709">
        <f t="shared" si="4"/>
        <v>10032.833616319185</v>
      </c>
      <c r="I27" s="709">
        <f t="shared" si="4"/>
        <v>11401.078479081047</v>
      </c>
      <c r="J27" s="709">
        <f t="shared" si="4"/>
        <v>12777.304770209019</v>
      </c>
      <c r="K27" s="709">
        <f t="shared" si="4"/>
        <v>14161.559048035238</v>
      </c>
      <c r="L27" s="709">
        <f t="shared" si="4"/>
        <v>15553.88814248211</v>
      </c>
      <c r="M27" s="709">
        <f t="shared" si="4"/>
        <v>16954.339156646587</v>
      </c>
      <c r="N27" s="709">
        <f t="shared" si="4"/>
        <v>18362.959468393696</v>
      </c>
      <c r="O27" s="710"/>
    </row>
    <row r="28" spans="1:15" s="305" customFormat="1" ht="21" customHeight="1" thickBot="1" x14ac:dyDescent="0.3">
      <c r="A28" s="703"/>
      <c r="B28" s="656"/>
      <c r="C28" s="657"/>
      <c r="D28" s="657"/>
      <c r="E28" s="657"/>
      <c r="F28" s="657"/>
      <c r="G28" s="657"/>
      <c r="H28" s="657"/>
      <c r="I28" s="657"/>
      <c r="J28" s="657"/>
      <c r="K28" s="657"/>
      <c r="L28" s="657"/>
      <c r="M28" s="657"/>
      <c r="N28" s="657"/>
      <c r="O28" s="711"/>
    </row>
    <row r="29" spans="1:15" s="658" customFormat="1" ht="21" customHeight="1" thickBot="1" x14ac:dyDescent="0.3">
      <c r="A29" s="1019" t="s">
        <v>982</v>
      </c>
      <c r="B29" s="1018">
        <f>'Inversiones AC'!B21</f>
        <v>0</v>
      </c>
      <c r="C29" s="1020">
        <f t="shared" ref="C29:N29" si="5">IF(COLUMN(C$4)&lt;mes0+1,0,
IF(COLUMN(C$4)=mes0+1,$B$29,B29+C25+C27-B27)
)</f>
        <v>2000.0000000000002</v>
      </c>
      <c r="D29" s="1021">
        <f t="shared" si="5"/>
        <v>1999.9999999999991</v>
      </c>
      <c r="E29" s="1021">
        <f t="shared" si="5"/>
        <v>2000</v>
      </c>
      <c r="F29" s="1021">
        <f t="shared" si="5"/>
        <v>2000</v>
      </c>
      <c r="G29" s="1021">
        <f t="shared" si="5"/>
        <v>2000</v>
      </c>
      <c r="H29" s="1021">
        <f t="shared" si="5"/>
        <v>2000</v>
      </c>
      <c r="I29" s="1021">
        <f t="shared" si="5"/>
        <v>2000</v>
      </c>
      <c r="J29" s="1021">
        <f t="shared" si="5"/>
        <v>2000</v>
      </c>
      <c r="K29" s="1021">
        <f t="shared" si="5"/>
        <v>2000</v>
      </c>
      <c r="L29" s="1021">
        <f t="shared" si="5"/>
        <v>2000</v>
      </c>
      <c r="M29" s="1021">
        <f t="shared" si="5"/>
        <v>1999.9999999999982</v>
      </c>
      <c r="N29" s="1021">
        <f t="shared" si="5"/>
        <v>2000</v>
      </c>
      <c r="O29" s="1022"/>
    </row>
    <row r="30" spans="1:15" ht="15.75" thickTop="1" x14ac:dyDescent="0.25">
      <c r="A30" s="386"/>
      <c r="B30" s="386"/>
    </row>
    <row r="31" spans="1:15" x14ac:dyDescent="0.25">
      <c r="A31" s="386"/>
      <c r="B31" s="386"/>
    </row>
    <row r="32" spans="1:15" s="483" customFormat="1" ht="19.5" customHeight="1" x14ac:dyDescent="0.25">
      <c r="A32" s="712"/>
      <c r="B32" s="659" t="s">
        <v>66</v>
      </c>
      <c r="C32" s="660">
        <f>MAX(C27:N27)</f>
        <v>18362.959468393696</v>
      </c>
      <c r="D32" s="713" t="str">
        <f>IF(C32&lt;&gt;0,INDEX(C4:N4,1,MATCH(C32,C27:N27,0)),"")</f>
        <v>diciembre</v>
      </c>
      <c r="O32" s="658"/>
    </row>
    <row r="33" spans="1:15" s="483" customFormat="1" ht="18.75" customHeight="1" x14ac:dyDescent="0.25">
      <c r="A33" s="712"/>
      <c r="B33" s="659" t="s">
        <v>193</v>
      </c>
      <c r="C33" s="714">
        <f>N29-B29+B27-N27</f>
        <v>-16362.959468393696</v>
      </c>
      <c r="D33" s="715"/>
      <c r="O33" s="658"/>
    </row>
    <row r="34" spans="1:15" s="483" customFormat="1" ht="21" customHeight="1" x14ac:dyDescent="0.25">
      <c r="A34" s="712"/>
      <c r="B34" s="659" t="s">
        <v>307</v>
      </c>
      <c r="C34" s="660">
        <f>MAX(C29:N29)</f>
        <v>2000.0000000000002</v>
      </c>
      <c r="D34" s="713" t="str">
        <f>INDEX(C4:N4,1,MATCH(C34,C29:N29,0))</f>
        <v>enero</v>
      </c>
      <c r="O34" s="658"/>
    </row>
    <row r="35" spans="1:15" ht="18" customHeight="1" x14ac:dyDescent="0.25">
      <c r="A35" s="386"/>
      <c r="B35" s="386"/>
    </row>
    <row r="36" spans="1:15" x14ac:dyDescent="0.25">
      <c r="A36" s="386"/>
      <c r="B36" s="386"/>
    </row>
    <row r="37" spans="1:15" ht="17.25" x14ac:dyDescent="0.3">
      <c r="A37" s="307"/>
      <c r="B37" s="307"/>
    </row>
    <row r="38" spans="1:15" ht="17.25" x14ac:dyDescent="0.3">
      <c r="A38" s="307"/>
      <c r="B38" s="307"/>
    </row>
    <row r="39" spans="1:15" ht="17.25" x14ac:dyDescent="0.3">
      <c r="A39" s="307"/>
      <c r="B39" s="307"/>
    </row>
    <row r="40" spans="1:15" ht="17.25" x14ac:dyDescent="0.3">
      <c r="A40" s="307"/>
      <c r="B40" s="307"/>
    </row>
    <row r="41" spans="1:15" ht="17.25" x14ac:dyDescent="0.3">
      <c r="A41" s="307"/>
      <c r="B41" s="307"/>
    </row>
    <row r="42" spans="1:15" ht="17.25" x14ac:dyDescent="0.3">
      <c r="A42" s="307"/>
      <c r="B42" s="307"/>
    </row>
    <row r="43" spans="1:15" ht="17.25" x14ac:dyDescent="0.3">
      <c r="A43" s="307"/>
      <c r="B43" s="307"/>
    </row>
    <row r="44" spans="1:15" ht="17.25" x14ac:dyDescent="0.3">
      <c r="A44" s="307"/>
      <c r="B44" s="307"/>
    </row>
    <row r="45" spans="1:15" ht="17.25" x14ac:dyDescent="0.3">
      <c r="A45" s="307"/>
      <c r="B45" s="307"/>
    </row>
    <row r="46" spans="1:15" ht="17.25" x14ac:dyDescent="0.3">
      <c r="A46" s="307"/>
      <c r="B46" s="307"/>
    </row>
    <row r="47" spans="1:15" ht="17.25" x14ac:dyDescent="0.3">
      <c r="A47" s="307"/>
      <c r="B47" s="307"/>
    </row>
    <row r="48" spans="1:15" ht="17.25" x14ac:dyDescent="0.3">
      <c r="A48" s="307"/>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row r="53" spans="1:2" ht="17.25" x14ac:dyDescent="0.3">
      <c r="A53" s="307"/>
      <c r="B53" s="307"/>
    </row>
  </sheetData>
  <sheetProtection formatCells="0" formatColumns="0"/>
  <phoneticPr fontId="13" type="noConversion"/>
  <conditionalFormatting sqref="C6:N10 C13:N16 C19:N23 C25:N25 C27:N27 C29:N29">
    <cfRule type="expression" dxfId="11" priority="1" stopIfTrue="1">
      <formula>C$11&lt;mes0</formula>
    </cfRule>
  </conditionalFormatting>
  <printOptions horizontalCentered="1" verticalCentered="1"/>
  <pageMargins left="0.19685039370078741" right="0.19685039370078741" top="0.39370078740157483" bottom="0.39370078740157483" header="0.11811023622047245" footer="0.11811023622047245"/>
  <pageSetup paperSize="9" scale="66" orientation="landscape" horizontalDpi="300" verticalDpi="300" r:id="rId1"/>
  <headerFooter alignWithMargins="0">
    <oddFooter>&amp;A</oddFooter>
  </headerFooter>
  <legacyDrawing r:id="rId2"/>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Hoja31">
    <tabColor rgb="FF7CC9D0"/>
    <pageSetUpPr fitToPage="1"/>
  </sheetPr>
  <dimension ref="A1:O53"/>
  <sheetViews>
    <sheetView showGridLines="0" workbookViewId="0">
      <selection activeCell="C15" sqref="C15"/>
    </sheetView>
  </sheetViews>
  <sheetFormatPr baseColWidth="10" defaultRowHeight="15" x14ac:dyDescent="0.25"/>
  <cols>
    <col min="1" max="1" width="27" style="446" customWidth="1"/>
    <col min="2" max="2" width="11.75" style="446" customWidth="1"/>
    <col min="3" max="3" width="12" style="446" customWidth="1"/>
    <col min="4" max="4" width="13.75" style="446" customWidth="1"/>
    <col min="5" max="5" width="11.75" style="446" bestFit="1" customWidth="1"/>
    <col min="6" max="7" width="12.125" style="446" bestFit="1" customWidth="1"/>
    <col min="8" max="8" width="11.375" style="446" customWidth="1"/>
    <col min="9" max="9" width="12.5" style="446" customWidth="1"/>
    <col min="10" max="13" width="11.375" style="446" customWidth="1"/>
    <col min="14" max="14" width="12.5" style="446" customWidth="1"/>
    <col min="15" max="15" width="13.375" style="305" customWidth="1"/>
    <col min="16" max="16384" width="11" style="446"/>
  </cols>
  <sheetData>
    <row r="1" spans="1:15" ht="27.75" x14ac:dyDescent="0.45">
      <c r="A1" s="645" t="s">
        <v>450</v>
      </c>
      <c r="B1" s="409"/>
      <c r="C1" s="470">
        <f>'Datos Básicos'!$C$17</f>
        <v>2027</v>
      </c>
      <c r="E1" s="450"/>
      <c r="F1" s="398"/>
      <c r="G1" s="646"/>
      <c r="H1" s="450"/>
      <c r="I1" s="398"/>
      <c r="J1" s="646"/>
      <c r="K1" s="398"/>
    </row>
    <row r="2" spans="1:15" ht="27.75" x14ac:dyDescent="0.45">
      <c r="A2" s="408">
        <f>'Datos Básicos'!B8</f>
        <v>0</v>
      </c>
      <c r="B2" s="408"/>
      <c r="D2" s="645"/>
      <c r="F2" s="450"/>
      <c r="G2" s="398"/>
      <c r="H2" s="398"/>
      <c r="I2" s="398"/>
      <c r="J2" s="398"/>
      <c r="K2" s="398"/>
    </row>
    <row r="3" spans="1:15" ht="18" thickBot="1" x14ac:dyDescent="0.35">
      <c r="A3" s="307"/>
      <c r="B3" s="307"/>
    </row>
    <row r="4" spans="1:15" s="445" customFormat="1" ht="18" customHeight="1" thickTop="1" thickBot="1" x14ac:dyDescent="0.3">
      <c r="A4" s="677" t="s">
        <v>847</v>
      </c>
      <c r="B4" s="460"/>
      <c r="C4" s="460" t="str">
        <f>'Datos Gastos Fijos'!D7</f>
        <v>enero</v>
      </c>
      <c r="D4" s="460" t="str">
        <f>'Datos Gastos Fijos'!E7</f>
        <v>febrero</v>
      </c>
      <c r="E4" s="460" t="str">
        <f>'Datos Gastos Fijos'!F7</f>
        <v>marzo</v>
      </c>
      <c r="F4" s="460" t="str">
        <f>'Datos Gastos Fijos'!G7</f>
        <v>abril</v>
      </c>
      <c r="G4" s="460" t="str">
        <f>'Datos Gastos Fijos'!H7</f>
        <v>mayo</v>
      </c>
      <c r="H4" s="460" t="str">
        <f>'Datos Gastos Fijos'!I7</f>
        <v>junio</v>
      </c>
      <c r="I4" s="460" t="str">
        <f>'Datos Gastos Fijos'!J7</f>
        <v>julio</v>
      </c>
      <c r="J4" s="460" t="str">
        <f>'Datos Gastos Fijos'!K7</f>
        <v>agosto</v>
      </c>
      <c r="K4" s="460" t="str">
        <f>'Datos Gastos Fijos'!L7</f>
        <v>septiembre</v>
      </c>
      <c r="L4" s="460" t="str">
        <f>'Datos Gastos Fijos'!M7</f>
        <v>octubre</v>
      </c>
      <c r="M4" s="460" t="str">
        <f>'Datos Gastos Fijos'!N7</f>
        <v>noviembre</v>
      </c>
      <c r="N4" s="460" t="str">
        <f>'Datos Gastos Fijos'!O7</f>
        <v>diciembre</v>
      </c>
      <c r="O4" s="678" t="s">
        <v>860</v>
      </c>
    </row>
    <row r="5" spans="1:15" s="445" customFormat="1" ht="18" customHeight="1" thickBot="1" x14ac:dyDescent="0.3">
      <c r="A5" s="679" t="s">
        <v>980</v>
      </c>
      <c r="B5" s="680"/>
      <c r="C5" s="680"/>
      <c r="D5" s="680"/>
      <c r="E5" s="680"/>
      <c r="F5" s="680"/>
      <c r="G5" s="680"/>
      <c r="H5" s="680"/>
      <c r="I5" s="680"/>
      <c r="J5" s="680"/>
      <c r="K5" s="680"/>
      <c r="L5" s="680"/>
      <c r="M5" s="680"/>
      <c r="N5" s="680"/>
      <c r="O5" s="681"/>
    </row>
    <row r="6" spans="1:15" ht="21" customHeight="1" x14ac:dyDescent="0.25">
      <c r="A6" s="682" t="s">
        <v>876</v>
      </c>
      <c r="B6" s="647"/>
      <c r="C6" s="482">
        <f>'Cobros y pagos 1'!B27</f>
        <v>0</v>
      </c>
      <c r="D6" s="482">
        <f>'Cobros y pagos 1'!C27</f>
        <v>0</v>
      </c>
      <c r="E6" s="482">
        <f>'Cobros y pagos 1'!D27</f>
        <v>0</v>
      </c>
      <c r="F6" s="482">
        <f>'Cobros y pagos 1'!E27</f>
        <v>0</v>
      </c>
      <c r="G6" s="482">
        <f>'Cobros y pagos 1'!F27</f>
        <v>0</v>
      </c>
      <c r="H6" s="482">
        <f>'Cobros y pagos 1'!G27</f>
        <v>0</v>
      </c>
      <c r="I6" s="482">
        <f>'Cobros y pagos 1'!H27</f>
        <v>0</v>
      </c>
      <c r="J6" s="482">
        <f>'Cobros y pagos 1'!I27</f>
        <v>0</v>
      </c>
      <c r="K6" s="482">
        <f>'Cobros y pagos 1'!J27</f>
        <v>0</v>
      </c>
      <c r="L6" s="482">
        <f>'Cobros y pagos 1'!K27</f>
        <v>0</v>
      </c>
      <c r="M6" s="482">
        <f>'Cobros y pagos 1'!L27</f>
        <v>0</v>
      </c>
      <c r="N6" s="482">
        <f>'Cobros y pagos 1'!M27</f>
        <v>0</v>
      </c>
      <c r="O6" s="683">
        <f>SUM(C6:N6)</f>
        <v>0</v>
      </c>
    </row>
    <row r="7" spans="1:15" ht="21" customHeight="1" x14ac:dyDescent="0.25">
      <c r="A7" s="684" t="s">
        <v>877</v>
      </c>
      <c r="B7" s="648"/>
      <c r="C7" s="685">
        <f>'Otros cobros y pagos'!B24</f>
        <v>0</v>
      </c>
      <c r="D7" s="685">
        <f>'Otros cobros y pagos'!C24</f>
        <v>0</v>
      </c>
      <c r="E7" s="685">
        <f>'Otros cobros y pagos'!D24</f>
        <v>0</v>
      </c>
      <c r="F7" s="685">
        <f>'Otros cobros y pagos'!E24</f>
        <v>0</v>
      </c>
      <c r="G7" s="685">
        <f>'Otros cobros y pagos'!F24</f>
        <v>0</v>
      </c>
      <c r="H7" s="685">
        <f>'Otros cobros y pagos'!G24</f>
        <v>0</v>
      </c>
      <c r="I7" s="685">
        <f>'Otros cobros y pagos'!H24+IF('IRPF Prof y Autónomos'!K26&lt;0,-'IRPF Prof y Autónomos'!K26*'IRPF Prof y Autónomos'!K19,0)</f>
        <v>0</v>
      </c>
      <c r="J7" s="685">
        <f>'Otros cobros y pagos'!I24</f>
        <v>0</v>
      </c>
      <c r="K7" s="685">
        <f>'Otros cobros y pagos'!J24</f>
        <v>0</v>
      </c>
      <c r="L7" s="685">
        <f>'Otros cobros y pagos'!K24</f>
        <v>0</v>
      </c>
      <c r="M7" s="685">
        <f>'Otros cobros y pagos'!L24</f>
        <v>0</v>
      </c>
      <c r="N7" s="685">
        <f>'Otros cobros y pagos'!M24</f>
        <v>0</v>
      </c>
      <c r="O7" s="686">
        <f>SUM(C7:N7)</f>
        <v>0</v>
      </c>
    </row>
    <row r="8" spans="1:15" ht="21" customHeight="1" x14ac:dyDescent="0.25">
      <c r="A8" s="684" t="s">
        <v>9</v>
      </c>
      <c r="B8" s="648"/>
      <c r="C8" s="685">
        <f>-'IVA 1'!C26</f>
        <v>0</v>
      </c>
      <c r="D8" s="685">
        <f>-'IVA 1'!D26</f>
        <v>0</v>
      </c>
      <c r="E8" s="685">
        <f>-'IVA 1'!E26</f>
        <v>0</v>
      </c>
      <c r="F8" s="685">
        <f>-'IVA 1'!F26</f>
        <v>0</v>
      </c>
      <c r="G8" s="685">
        <f>-'IVA 1'!G26</f>
        <v>0</v>
      </c>
      <c r="H8" s="685">
        <f>-'IVA 1'!H26</f>
        <v>0</v>
      </c>
      <c r="I8" s="685">
        <f>-'IVA 1'!I26</f>
        <v>0</v>
      </c>
      <c r="J8" s="685">
        <f>-'IVA 1'!J26</f>
        <v>0</v>
      </c>
      <c r="K8" s="685">
        <f>-'IVA 1'!K26</f>
        <v>0</v>
      </c>
      <c r="L8" s="685">
        <f>-'IVA 1'!L26</f>
        <v>0</v>
      </c>
      <c r="M8" s="685">
        <f>-'IVA 1'!M26</f>
        <v>0</v>
      </c>
      <c r="N8" s="685">
        <f>-'IVA 1'!N26</f>
        <v>0</v>
      </c>
      <c r="O8" s="686">
        <f>SUM(C8:N8)</f>
        <v>0</v>
      </c>
    </row>
    <row r="9" spans="1:15" ht="21" customHeight="1" x14ac:dyDescent="0.25">
      <c r="A9" s="684" t="s">
        <v>1</v>
      </c>
      <c r="B9" s="648"/>
      <c r="C9" s="685">
        <f>'Gastos Financieros'!C64</f>
        <v>0</v>
      </c>
      <c r="D9" s="685">
        <f>'Gastos Financieros'!D64</f>
        <v>0</v>
      </c>
      <c r="E9" s="685">
        <f>'Gastos Financieros'!E64</f>
        <v>0</v>
      </c>
      <c r="F9" s="685">
        <f>'Gastos Financieros'!F64</f>
        <v>0</v>
      </c>
      <c r="G9" s="685">
        <f>'Gastos Financieros'!G64</f>
        <v>0</v>
      </c>
      <c r="H9" s="685">
        <f>'Gastos Financieros'!H64</f>
        <v>0</v>
      </c>
      <c r="I9" s="685">
        <f>'Gastos Financieros'!I64</f>
        <v>0</v>
      </c>
      <c r="J9" s="685">
        <f>'Gastos Financieros'!J64</f>
        <v>0</v>
      </c>
      <c r="K9" s="685">
        <f>'Gastos Financieros'!K64</f>
        <v>0</v>
      </c>
      <c r="L9" s="685">
        <f>'Gastos Financieros'!L64</f>
        <v>0</v>
      </c>
      <c r="M9" s="685">
        <f>'Gastos Financieros'!M64</f>
        <v>0</v>
      </c>
      <c r="N9" s="685">
        <f>'Gastos Financieros'!N64</f>
        <v>0</v>
      </c>
      <c r="O9" s="686">
        <f>SUM(C9:N9)</f>
        <v>0</v>
      </c>
    </row>
    <row r="10" spans="1:15" s="305" customFormat="1" ht="21" customHeight="1" thickBot="1" x14ac:dyDescent="0.3">
      <c r="A10" s="688" t="s">
        <v>984</v>
      </c>
      <c r="B10" s="650"/>
      <c r="C10" s="689">
        <f>SUM(C6:C9)</f>
        <v>0</v>
      </c>
      <c r="D10" s="689">
        <f t="shared" ref="D10:K10" si="0">SUM(D6:D9)</f>
        <v>0</v>
      </c>
      <c r="E10" s="689">
        <f t="shared" si="0"/>
        <v>0</v>
      </c>
      <c r="F10" s="689">
        <f t="shared" si="0"/>
        <v>0</v>
      </c>
      <c r="G10" s="689">
        <f t="shared" si="0"/>
        <v>0</v>
      </c>
      <c r="H10" s="689">
        <f t="shared" si="0"/>
        <v>0</v>
      </c>
      <c r="I10" s="689">
        <f t="shared" si="0"/>
        <v>0</v>
      </c>
      <c r="J10" s="689">
        <f t="shared" si="0"/>
        <v>0</v>
      </c>
      <c r="K10" s="689">
        <f t="shared" si="0"/>
        <v>0</v>
      </c>
      <c r="L10" s="689">
        <f>SUM(L6:L9)</f>
        <v>0</v>
      </c>
      <c r="M10" s="689">
        <f>SUM(M6:M9)</f>
        <v>0</v>
      </c>
      <c r="N10" s="689">
        <f>SUM(N6:N9)</f>
        <v>0</v>
      </c>
      <c r="O10" s="690">
        <f>SUM(C10:N10)</f>
        <v>0</v>
      </c>
    </row>
    <row r="11" spans="1:15" s="305" customFormat="1" ht="9.75" customHeight="1" x14ac:dyDescent="0.25">
      <c r="A11" s="691"/>
      <c r="B11" s="651"/>
      <c r="C11" s="651"/>
      <c r="D11" s="651"/>
      <c r="E11" s="651"/>
      <c r="F11" s="651"/>
      <c r="G11" s="651"/>
      <c r="H11" s="651"/>
      <c r="I11" s="651"/>
      <c r="J11" s="651"/>
      <c r="K11" s="651"/>
      <c r="L11" s="651"/>
      <c r="M11" s="651"/>
      <c r="N11" s="651"/>
      <c r="O11" s="692"/>
    </row>
    <row r="12" spans="1:15" s="305" customFormat="1" ht="21" customHeight="1" thickBot="1" x14ac:dyDescent="0.3">
      <c r="A12" s="679" t="s">
        <v>981</v>
      </c>
      <c r="B12" s="652"/>
      <c r="C12" s="652"/>
      <c r="D12" s="652"/>
      <c r="E12" s="652"/>
      <c r="F12" s="652"/>
      <c r="G12" s="652"/>
      <c r="H12" s="652"/>
      <c r="I12" s="652"/>
      <c r="J12" s="652"/>
      <c r="K12" s="652"/>
      <c r="L12" s="652"/>
      <c r="M12" s="652"/>
      <c r="N12" s="652"/>
      <c r="O12" s="693"/>
    </row>
    <row r="13" spans="1:15" s="305" customFormat="1" ht="21" customHeight="1" x14ac:dyDescent="0.25">
      <c r="A13" s="682" t="s">
        <v>264</v>
      </c>
      <c r="B13" s="647"/>
      <c r="C13" s="482">
        <f>'G.F. 1'!C48+'G.F. 1'!C50
+IF(mes0+'Datos Gastos Fijos'!$C$30&lt;13,0,IF(COLUMN(C$4)-2+11&lt;mes0+'Datos Gastos Fijos'!$C$30,-'Datos Gastos Fijos'!$B$23,0))</f>
        <v>1358.5600000000002</v>
      </c>
      <c r="D13" s="482">
        <f>'G.F. 1'!D48+'G.F. 1'!D50
+IF(mes0+'Datos Gastos Fijos'!$C$30&lt;13,0,IF(COLUMN(D$4)-2+11&lt;mes0+'Datos Gastos Fijos'!$C$30,-'Datos Gastos Fijos'!$B$23,0))</f>
        <v>1358.5600000000002</v>
      </c>
      <c r="E13" s="482">
        <f>'G.F. 1'!E48+'G.F. 1'!E50
+IF(mes0+'Datos Gastos Fijos'!$C$30&lt;13,0,IF(COLUMN(E$4)-2+11&lt;mes0+'Datos Gastos Fijos'!$C$30,-'Datos Gastos Fijos'!$B$23,0))</f>
        <v>1358.5600000000002</v>
      </c>
      <c r="F13" s="482">
        <f>'G.F. 1'!F48+'G.F. 1'!F50
+IF(mes0+'Datos Gastos Fijos'!$C$30&lt;13,0,IF(COLUMN(F$4)-2+11&lt;mes0+'Datos Gastos Fijos'!$C$30,-'Datos Gastos Fijos'!$B$23,0))</f>
        <v>1358.5600000000002</v>
      </c>
      <c r="G13" s="482">
        <f>'G.F. 1'!G48+'G.F. 1'!G50
+IF(mes0+'Datos Gastos Fijos'!$C$30&lt;13,0,IF(COLUMN(G$4)-2+11&lt;mes0+'Datos Gastos Fijos'!$C$30,-'Datos Gastos Fijos'!$B$23,0))</f>
        <v>1358.5600000000002</v>
      </c>
      <c r="H13" s="482">
        <f>'G.F. 1'!H48+'G.F. 1'!H50
+IF(mes0+'Datos Gastos Fijos'!$C$30&lt;13,0,IF(COLUMN(H$4)-2+11&lt;mes0+'Datos Gastos Fijos'!$C$30,-'Datos Gastos Fijos'!$B$23,0))</f>
        <v>1358.5600000000002</v>
      </c>
      <c r="I13" s="482">
        <f>'G.F. 1'!I48+'G.F. 1'!I50
+IF(mes0+'Datos Gastos Fijos'!$C$30&lt;13,0,IF(COLUMN(I$4)-2+11&lt;mes0+'Datos Gastos Fijos'!$C$30,-'Datos Gastos Fijos'!$B$23,0))</f>
        <v>1358.5600000000002</v>
      </c>
      <c r="J13" s="482">
        <f>'G.F. 1'!J48+'G.F. 1'!J50
+IF(mes0+'Datos Gastos Fijos'!$C$30&lt;13,0,IF(COLUMN(J$4)-2+11&lt;mes0+'Datos Gastos Fijos'!$C$30,-'Datos Gastos Fijos'!$B$23,0))</f>
        <v>1358.5600000000002</v>
      </c>
      <c r="K13" s="482">
        <f>'G.F. 1'!K48+'G.F. 1'!K50
+IF(mes0+'Datos Gastos Fijos'!$C$30&lt;13,0,IF(COLUMN(K$4)-2+11&lt;mes0+'Datos Gastos Fijos'!$C$30,-'Datos Gastos Fijos'!$B$23,0))</f>
        <v>1358.5600000000002</v>
      </c>
      <c r="L13" s="482">
        <f>'G.F. 1'!L48+'G.F. 1'!L50
+IF(mes0+'Datos Gastos Fijos'!$C$30&lt;13,0,IF(COLUMN(L$4)-2+11&lt;mes0+'Datos Gastos Fijos'!$C$30,-'Datos Gastos Fijos'!$B$23,0))</f>
        <v>1358.5600000000002</v>
      </c>
      <c r="M13" s="482">
        <f>'G.F. 1'!M48+'G.F. 1'!M50
+IF(mes0+'Datos Gastos Fijos'!$C$30&lt;13,0,IF(COLUMN(M$4)-2+11&lt;mes0+'Datos Gastos Fijos'!$C$30,-'Datos Gastos Fijos'!$B$23,0))</f>
        <v>1358.5600000000002</v>
      </c>
      <c r="N13" s="482">
        <f>'G.F. 1'!N48+'G.F. 1'!N50
+IF(mes0+'Datos Gastos Fijos'!$C$30&lt;13,0,IF(COLUMN(N$4)-2+11&lt;mes0+'Datos Gastos Fijos'!$C$30,-'Datos Gastos Fijos'!$B$23,0))</f>
        <v>1358.5600000000002</v>
      </c>
      <c r="O13" s="683">
        <f>SUM(C13:N13)</f>
        <v>16302.72</v>
      </c>
    </row>
    <row r="14" spans="1:15" ht="21" customHeight="1" x14ac:dyDescent="0.25">
      <c r="A14" s="684" t="s">
        <v>263</v>
      </c>
      <c r="B14" s="648"/>
      <c r="C14" s="685">
        <f>'Cobros y pagos 1'!B53</f>
        <v>0</v>
      </c>
      <c r="D14" s="685">
        <f>'Cobros y pagos 1'!C53</f>
        <v>0</v>
      </c>
      <c r="E14" s="685">
        <f>'Cobros y pagos 1'!D53</f>
        <v>0</v>
      </c>
      <c r="F14" s="685">
        <f>'Cobros y pagos 1'!E53</f>
        <v>0</v>
      </c>
      <c r="G14" s="685">
        <f>'Cobros y pagos 1'!F53</f>
        <v>0</v>
      </c>
      <c r="H14" s="685">
        <f>'Cobros y pagos 1'!G53</f>
        <v>0</v>
      </c>
      <c r="I14" s="685">
        <f>'Cobros y pagos 1'!H53</f>
        <v>0</v>
      </c>
      <c r="J14" s="685">
        <f>'Cobros y pagos 1'!I53</f>
        <v>0</v>
      </c>
      <c r="K14" s="685">
        <f>'Cobros y pagos 1'!J53</f>
        <v>0</v>
      </c>
      <c r="L14" s="685">
        <f>'Cobros y pagos 1'!K53</f>
        <v>0</v>
      </c>
      <c r="M14" s="685">
        <f>'Cobros y pagos 1'!L53</f>
        <v>0</v>
      </c>
      <c r="N14" s="685">
        <f>'Cobros y pagos 1'!M53</f>
        <v>0</v>
      </c>
      <c r="O14" s="686">
        <f>SUM(C14:N14)</f>
        <v>0</v>
      </c>
    </row>
    <row r="15" spans="1:15" ht="21" customHeight="1" x14ac:dyDescent="0.25">
      <c r="A15" s="684" t="s">
        <v>1047</v>
      </c>
      <c r="B15" s="648"/>
      <c r="C15" s="685">
        <f>'Gastos Financieros'!C24</f>
        <v>107.1172635656299</v>
      </c>
      <c r="D15" s="685">
        <f>'Gastos Financieros'!D24</f>
        <v>115.66704760309608</v>
      </c>
      <c r="E15" s="685">
        <f>'Gastos Financieros'!E24</f>
        <v>124.26670538078081</v>
      </c>
      <c r="F15" s="685">
        <f>'Gastos Financieros'!F24</f>
        <v>132.91652782883537</v>
      </c>
      <c r="G15" s="685">
        <f>'Gastos Financieros'!G24</f>
        <v>141.61680757450355</v>
      </c>
      <c r="H15" s="685">
        <f>'Gastos Financieros'!H24</f>
        <v>150.36783895202149</v>
      </c>
      <c r="I15" s="685">
        <f>'Gastos Financieros'!I24</f>
        <v>159.16991801257495</v>
      </c>
      <c r="J15" s="685">
        <f>'Gastos Financieros'!J24</f>
        <v>168.02334253431496</v>
      </c>
      <c r="K15" s="685">
        <f>'Gastos Financieros'!K24</f>
        <v>176.92841203243182</v>
      </c>
      <c r="L15" s="685">
        <f>'Gastos Financieros'!L24</f>
        <v>185.88542776928767</v>
      </c>
      <c r="M15" s="685">
        <f>'Gastos Financieros'!M24</f>
        <v>194.89469276460852</v>
      </c>
      <c r="N15" s="685">
        <f>'Gastos Financieros'!N24</f>
        <v>203.9565118057354</v>
      </c>
      <c r="O15" s="686">
        <f>SUM(C15:N15)</f>
        <v>1860.8104958238205</v>
      </c>
    </row>
    <row r="16" spans="1:15" ht="21" customHeight="1" x14ac:dyDescent="0.25">
      <c r="A16" s="684" t="s">
        <v>839</v>
      </c>
      <c r="B16" s="648"/>
      <c r="C16" s="685">
        <f>Leasing!B30+Renting!B30</f>
        <v>0</v>
      </c>
      <c r="D16" s="685">
        <f>Leasing!C30+Renting!C30</f>
        <v>0</v>
      </c>
      <c r="E16" s="685">
        <f>Leasing!D30+Renting!D30</f>
        <v>0</v>
      </c>
      <c r="F16" s="685">
        <f>Leasing!E30+Renting!E30</f>
        <v>0</v>
      </c>
      <c r="G16" s="685">
        <f>Leasing!F30+Renting!F30</f>
        <v>0</v>
      </c>
      <c r="H16" s="685">
        <f>Leasing!G30+Renting!G30</f>
        <v>0</v>
      </c>
      <c r="I16" s="685">
        <f>Leasing!H30+Renting!H30</f>
        <v>0</v>
      </c>
      <c r="J16" s="685">
        <f>Leasing!I30+Renting!I30</f>
        <v>0</v>
      </c>
      <c r="K16" s="685">
        <f>Leasing!J30+Renting!J30</f>
        <v>0</v>
      </c>
      <c r="L16" s="685">
        <f>Leasing!K30+Renting!K30</f>
        <v>0</v>
      </c>
      <c r="M16" s="685">
        <f>Leasing!L30+Renting!L30</f>
        <v>0</v>
      </c>
      <c r="N16" s="685">
        <f>Leasing!M30+Renting!M30</f>
        <v>0</v>
      </c>
      <c r="O16" s="686">
        <f>SUM(C16:N16)</f>
        <v>0</v>
      </c>
    </row>
    <row r="17" spans="1:15" ht="9.75" customHeight="1" x14ac:dyDescent="0.25">
      <c r="A17" s="694"/>
      <c r="B17" s="653"/>
      <c r="C17" s="653"/>
      <c r="D17" s="653"/>
      <c r="E17" s="653"/>
      <c r="F17" s="653"/>
      <c r="G17" s="653"/>
      <c r="H17" s="653"/>
      <c r="I17" s="653"/>
      <c r="J17" s="653"/>
      <c r="K17" s="653"/>
      <c r="L17" s="653"/>
      <c r="M17" s="653"/>
      <c r="N17" s="653"/>
      <c r="O17" s="695"/>
    </row>
    <row r="18" spans="1:15" ht="21" customHeight="1" x14ac:dyDescent="0.25">
      <c r="A18" s="696" t="s">
        <v>987</v>
      </c>
      <c r="B18" s="654"/>
      <c r="C18" s="654"/>
      <c r="D18" s="654"/>
      <c r="E18" s="654"/>
      <c r="F18" s="654"/>
      <c r="G18" s="654"/>
      <c r="H18" s="654"/>
      <c r="I18" s="654"/>
      <c r="J18" s="654"/>
      <c r="K18" s="654"/>
      <c r="L18" s="654"/>
      <c r="M18" s="654"/>
      <c r="N18" s="654"/>
      <c r="O18" s="697"/>
    </row>
    <row r="19" spans="1:15" ht="21" customHeight="1" x14ac:dyDescent="0.25">
      <c r="A19" s="684" t="s">
        <v>837</v>
      </c>
      <c r="B19" s="648"/>
      <c r="C19" s="685">
        <f>Préstamos!B26+Leasing!B29</f>
        <v>0</v>
      </c>
      <c r="D19" s="685">
        <f>Préstamos!C26+Leasing!C29</f>
        <v>0</v>
      </c>
      <c r="E19" s="685">
        <f>Préstamos!D26+Leasing!D29</f>
        <v>0</v>
      </c>
      <c r="F19" s="685">
        <f>Préstamos!E26+Leasing!E29</f>
        <v>0</v>
      </c>
      <c r="G19" s="685">
        <f>Préstamos!F26+Leasing!F29</f>
        <v>0</v>
      </c>
      <c r="H19" s="685">
        <f>Préstamos!G26+Leasing!G29</f>
        <v>0</v>
      </c>
      <c r="I19" s="685">
        <f>Préstamos!H26+Leasing!H29</f>
        <v>0</v>
      </c>
      <c r="J19" s="685">
        <f>Préstamos!I26+Leasing!I29</f>
        <v>0</v>
      </c>
      <c r="K19" s="685">
        <f>Préstamos!J26+Leasing!J29</f>
        <v>0</v>
      </c>
      <c r="L19" s="685">
        <f>Préstamos!K26+Leasing!K29</f>
        <v>0</v>
      </c>
      <c r="M19" s="685">
        <f>Préstamos!L26+Leasing!L29</f>
        <v>0</v>
      </c>
      <c r="N19" s="685">
        <f>Préstamos!M26+Leasing!M29</f>
        <v>0</v>
      </c>
      <c r="O19" s="686">
        <f>SUM(C19:N19)</f>
        <v>0</v>
      </c>
    </row>
    <row r="20" spans="1:15" ht="21" customHeight="1" x14ac:dyDescent="0.25">
      <c r="A20" s="684" t="s">
        <v>1006</v>
      </c>
      <c r="B20" s="648"/>
      <c r="C20" s="685">
        <f>'Otros cobros y pagos'!B81</f>
        <v>0</v>
      </c>
      <c r="D20" s="685">
        <f>'Otros cobros y pagos'!C81</f>
        <v>0</v>
      </c>
      <c r="E20" s="685">
        <f>'Otros cobros y pagos'!D81</f>
        <v>0</v>
      </c>
      <c r="F20" s="685">
        <f>'Otros cobros y pagos'!E81</f>
        <v>0</v>
      </c>
      <c r="G20" s="685">
        <f>'Otros cobros y pagos'!F81</f>
        <v>0</v>
      </c>
      <c r="H20" s="685">
        <f>'Otros cobros y pagos'!G81</f>
        <v>0</v>
      </c>
      <c r="I20" s="685">
        <f>'Otros cobros y pagos'!H81</f>
        <v>0</v>
      </c>
      <c r="J20" s="685">
        <f>'Otros cobros y pagos'!I81</f>
        <v>0</v>
      </c>
      <c r="K20" s="685">
        <f>'Otros cobros y pagos'!J81</f>
        <v>0</v>
      </c>
      <c r="L20" s="685">
        <f>'Otros cobros y pagos'!K81</f>
        <v>0</v>
      </c>
      <c r="M20" s="685">
        <f>'Otros cobros y pagos'!L81</f>
        <v>0</v>
      </c>
      <c r="N20" s="685">
        <f>'Otros cobros y pagos'!M81</f>
        <v>0</v>
      </c>
      <c r="O20" s="686">
        <f>SUM(C20:N20)</f>
        <v>0</v>
      </c>
    </row>
    <row r="21" spans="1:15" ht="21" customHeight="1" x14ac:dyDescent="0.25">
      <c r="A21" s="684" t="s">
        <v>993</v>
      </c>
      <c r="B21" s="648"/>
      <c r="C21" s="685">
        <f>'IVA 1'!C24</f>
        <v>0</v>
      </c>
      <c r="D21" s="685">
        <f>'IVA 1'!D24</f>
        <v>0</v>
      </c>
      <c r="E21" s="685">
        <f>'IVA 1'!E24</f>
        <v>0</v>
      </c>
      <c r="F21" s="685">
        <f>'IVA 1'!F24</f>
        <v>0</v>
      </c>
      <c r="G21" s="685">
        <f>'IVA 1'!G24</f>
        <v>0</v>
      </c>
      <c r="H21" s="685">
        <f>'IVA 1'!H24</f>
        <v>0</v>
      </c>
      <c r="I21" s="685">
        <f>'IVA 1'!I24</f>
        <v>0</v>
      </c>
      <c r="J21" s="685">
        <f>'IVA 1'!J24</f>
        <v>0</v>
      </c>
      <c r="K21" s="685">
        <f>'IVA 1'!K24</f>
        <v>0</v>
      </c>
      <c r="L21" s="685">
        <f>'IVA 1'!L24</f>
        <v>0</v>
      </c>
      <c r="M21" s="685">
        <f>'IVA 1'!M24</f>
        <v>0</v>
      </c>
      <c r="N21" s="685">
        <f>'IVA 1'!N24</f>
        <v>0</v>
      </c>
      <c r="O21" s="686">
        <f>SUM(C21:N21)</f>
        <v>0</v>
      </c>
    </row>
    <row r="22" spans="1:15" ht="21" customHeight="1" x14ac:dyDescent="0.25">
      <c r="A22" s="684" t="s">
        <v>111</v>
      </c>
      <c r="B22" s="648"/>
      <c r="C22" s="685">
        <f>'Ret IRPF'!B22</f>
        <v>0</v>
      </c>
      <c r="D22" s="685"/>
      <c r="E22" s="685"/>
      <c r="F22" s="685">
        <f>Imp.Sociedades!D14+'Ret IRPF'!E22</f>
        <v>0</v>
      </c>
      <c r="G22" s="685"/>
      <c r="H22" s="685">
        <f>IF('IRPF Prof y Autónomos'!K26&lt;0,0,'IRPF Prof y Autónomos'!K26*'IRPF Prof y Autónomos'!K19)</f>
        <v>0</v>
      </c>
      <c r="I22" s="685">
        <f>IF(Imp.Sociedades!B20&gt;0,Imp.Sociedades!B20,0)+'Ret IRPF'!H22</f>
        <v>0</v>
      </c>
      <c r="J22" s="685"/>
      <c r="K22" s="685"/>
      <c r="L22" s="685">
        <f>Imp.Sociedades!D15+'Ret IRPF'!K22</f>
        <v>0</v>
      </c>
      <c r="M22" s="685"/>
      <c r="N22" s="685">
        <f>Imp.Sociedades!D16</f>
        <v>0</v>
      </c>
      <c r="O22" s="686">
        <f>SUM(C22:N22)</f>
        <v>0</v>
      </c>
    </row>
    <row r="23" spans="1:15" s="305" customFormat="1" ht="21" customHeight="1" thickBot="1" x14ac:dyDescent="0.3">
      <c r="A23" s="688" t="s">
        <v>266</v>
      </c>
      <c r="B23" s="650"/>
      <c r="C23" s="698">
        <f>SUM(C13:C22)</f>
        <v>1465.67726356563</v>
      </c>
      <c r="D23" s="698">
        <f t="shared" ref="D23:N23" si="1">SUM(D13:D22)</f>
        <v>1474.2270476030963</v>
      </c>
      <c r="E23" s="698">
        <f t="shared" si="1"/>
        <v>1482.826705380781</v>
      </c>
      <c r="F23" s="698">
        <f t="shared" si="1"/>
        <v>1491.4765278288355</v>
      </c>
      <c r="G23" s="698">
        <f t="shared" si="1"/>
        <v>1500.1768075745038</v>
      </c>
      <c r="H23" s="698">
        <f t="shared" si="1"/>
        <v>1508.9278389520216</v>
      </c>
      <c r="I23" s="698">
        <f t="shared" si="1"/>
        <v>1517.7299180125751</v>
      </c>
      <c r="J23" s="698">
        <f t="shared" si="1"/>
        <v>1526.5833425343151</v>
      </c>
      <c r="K23" s="698">
        <f t="shared" si="1"/>
        <v>1535.4884120324321</v>
      </c>
      <c r="L23" s="698">
        <f t="shared" si="1"/>
        <v>1544.4454277692878</v>
      </c>
      <c r="M23" s="698">
        <f t="shared" si="1"/>
        <v>1553.4546927646088</v>
      </c>
      <c r="N23" s="698">
        <f t="shared" si="1"/>
        <v>1562.5165118057355</v>
      </c>
      <c r="O23" s="690">
        <f>SUM(O13:O22)</f>
        <v>18163.530495823819</v>
      </c>
    </row>
    <row r="24" spans="1:15" s="305" customFormat="1" ht="21" customHeight="1" thickBot="1" x14ac:dyDescent="0.3">
      <c r="A24" s="691"/>
      <c r="B24" s="657"/>
      <c r="C24" s="657"/>
      <c r="D24" s="657"/>
      <c r="E24" s="657"/>
      <c r="F24" s="657"/>
      <c r="G24" s="657"/>
      <c r="H24" s="657"/>
      <c r="I24" s="657"/>
      <c r="J24" s="657"/>
      <c r="K24" s="657"/>
      <c r="L24" s="657"/>
      <c r="M24" s="657"/>
      <c r="N24" s="657"/>
      <c r="O24" s="699"/>
    </row>
    <row r="25" spans="1:15" s="305" customFormat="1" ht="21" customHeight="1" thickBot="1" x14ac:dyDescent="0.3">
      <c r="A25" s="700" t="s">
        <v>983</v>
      </c>
      <c r="B25" s="656"/>
      <c r="C25" s="701">
        <f t="shared" ref="C25:O25" si="2">C10-C23</f>
        <v>-1465.67726356563</v>
      </c>
      <c r="D25" s="701">
        <f t="shared" si="2"/>
        <v>-1474.2270476030963</v>
      </c>
      <c r="E25" s="701">
        <f t="shared" si="2"/>
        <v>-1482.826705380781</v>
      </c>
      <c r="F25" s="701">
        <f t="shared" si="2"/>
        <v>-1491.4765278288355</v>
      </c>
      <c r="G25" s="701">
        <f t="shared" si="2"/>
        <v>-1500.1768075745038</v>
      </c>
      <c r="H25" s="701">
        <f t="shared" si="2"/>
        <v>-1508.9278389520216</v>
      </c>
      <c r="I25" s="701">
        <f t="shared" si="2"/>
        <v>-1517.7299180125751</v>
      </c>
      <c r="J25" s="701">
        <f t="shared" si="2"/>
        <v>-1526.5833425343151</v>
      </c>
      <c r="K25" s="701">
        <f t="shared" si="2"/>
        <v>-1535.4884120324321</v>
      </c>
      <c r="L25" s="701">
        <f t="shared" si="2"/>
        <v>-1544.4454277692878</v>
      </c>
      <c r="M25" s="701">
        <f t="shared" si="2"/>
        <v>-1553.4546927646088</v>
      </c>
      <c r="N25" s="701">
        <f t="shared" si="2"/>
        <v>-1562.5165118057355</v>
      </c>
      <c r="O25" s="702">
        <f t="shared" si="2"/>
        <v>-18163.530495823819</v>
      </c>
    </row>
    <row r="26" spans="1:15" s="305" customFormat="1" ht="21" customHeight="1" thickBot="1" x14ac:dyDescent="0.3">
      <c r="A26" s="703"/>
      <c r="B26" s="655"/>
      <c r="C26" s="704"/>
      <c r="D26" s="704"/>
      <c r="E26" s="704"/>
      <c r="F26" s="704"/>
      <c r="G26" s="704"/>
      <c r="H26" s="704"/>
      <c r="I26" s="704"/>
      <c r="J26" s="704"/>
      <c r="K26" s="704"/>
      <c r="L26" s="704"/>
      <c r="M26" s="704"/>
      <c r="N26" s="704"/>
      <c r="O26" s="705"/>
    </row>
    <row r="27" spans="1:15" s="305" customFormat="1" ht="21" customHeight="1" thickBot="1" x14ac:dyDescent="0.3">
      <c r="A27" s="706" t="s">
        <v>1008</v>
      </c>
      <c r="B27" s="707">
        <f>'Tesorería 0'!N27</f>
        <v>18362.959468393696</v>
      </c>
      <c r="C27" s="708">
        <f t="shared" ref="C27:N27" si="3">IF(B29+C25-B27&gt;tesoreriasec,0,B27-B29-C25+tesoreriasec)</f>
        <v>19828.636731959326</v>
      </c>
      <c r="D27" s="709">
        <f t="shared" si="3"/>
        <v>21302.863779562424</v>
      </c>
      <c r="E27" s="709">
        <f t="shared" si="3"/>
        <v>22785.690484943203</v>
      </c>
      <c r="F27" s="709">
        <f t="shared" si="3"/>
        <v>24277.167012772039</v>
      </c>
      <c r="G27" s="709">
        <f t="shared" si="3"/>
        <v>25777.343820346541</v>
      </c>
      <c r="H27" s="709">
        <f t="shared" si="3"/>
        <v>27286.271659298563</v>
      </c>
      <c r="I27" s="709">
        <f t="shared" si="3"/>
        <v>28804.001577311137</v>
      </c>
      <c r="J27" s="709">
        <f t="shared" si="3"/>
        <v>30330.584919845453</v>
      </c>
      <c r="K27" s="709">
        <f t="shared" si="3"/>
        <v>31866.073331877884</v>
      </c>
      <c r="L27" s="709">
        <f t="shared" si="3"/>
        <v>33410.518759647173</v>
      </c>
      <c r="M27" s="709">
        <f t="shared" si="3"/>
        <v>34963.973452411781</v>
      </c>
      <c r="N27" s="709">
        <f t="shared" si="3"/>
        <v>36526.489964217515</v>
      </c>
      <c r="O27" s="710"/>
    </row>
    <row r="28" spans="1:15" s="305" customFormat="1" ht="21" customHeight="1" thickBot="1" x14ac:dyDescent="0.3">
      <c r="A28" s="703"/>
      <c r="B28" s="656"/>
      <c r="C28" s="657"/>
      <c r="D28" s="657"/>
      <c r="E28" s="657"/>
      <c r="F28" s="657"/>
      <c r="G28" s="657"/>
      <c r="H28" s="657"/>
      <c r="I28" s="657"/>
      <c r="J28" s="657"/>
      <c r="K28" s="657"/>
      <c r="L28" s="657"/>
      <c r="M28" s="657"/>
      <c r="N28" s="657"/>
      <c r="O28" s="711"/>
    </row>
    <row r="29" spans="1:15" s="658" customFormat="1" ht="21" customHeight="1" thickBot="1" x14ac:dyDescent="0.3">
      <c r="A29" s="1019" t="s">
        <v>982</v>
      </c>
      <c r="B29" s="1018">
        <f>'Tesorería 0'!N29</f>
        <v>2000</v>
      </c>
      <c r="C29" s="1020">
        <f>B29+C25+C27-B27</f>
        <v>2000</v>
      </c>
      <c r="D29" s="1021">
        <f t="shared" ref="D29:N29" si="4">C29+D25+D27-C27</f>
        <v>2000</v>
      </c>
      <c r="E29" s="1021">
        <f t="shared" si="4"/>
        <v>2000</v>
      </c>
      <c r="F29" s="1021">
        <f t="shared" si="4"/>
        <v>2000</v>
      </c>
      <c r="G29" s="1021">
        <f t="shared" si="4"/>
        <v>2000</v>
      </c>
      <c r="H29" s="1021">
        <f t="shared" si="4"/>
        <v>2000</v>
      </c>
      <c r="I29" s="1021">
        <f>H29+I25+I27-H27</f>
        <v>2000</v>
      </c>
      <c r="J29" s="1021">
        <f t="shared" si="4"/>
        <v>2000</v>
      </c>
      <c r="K29" s="1021">
        <f t="shared" si="4"/>
        <v>2000</v>
      </c>
      <c r="L29" s="1021">
        <f t="shared" si="4"/>
        <v>2000.0000000000036</v>
      </c>
      <c r="M29" s="1021">
        <f t="shared" si="4"/>
        <v>2000</v>
      </c>
      <c r="N29" s="1021">
        <f t="shared" si="4"/>
        <v>2000</v>
      </c>
      <c r="O29" s="1022"/>
    </row>
    <row r="30" spans="1:15" ht="15.75" thickTop="1" x14ac:dyDescent="0.25">
      <c r="A30" s="386"/>
      <c r="B30" s="386"/>
    </row>
    <row r="31" spans="1:15" x14ac:dyDescent="0.25">
      <c r="A31" s="386"/>
      <c r="B31" s="386"/>
    </row>
    <row r="32" spans="1:15" s="483" customFormat="1" ht="21.75" customHeight="1" x14ac:dyDescent="0.25">
      <c r="A32" s="712"/>
      <c r="B32" s="659" t="s">
        <v>66</v>
      </c>
      <c r="C32" s="660">
        <f>MAX(C27:N27)</f>
        <v>36526.489964217515</v>
      </c>
      <c r="D32" s="717" t="str">
        <f>IF(C32&lt;&gt;0,INDEX(C4:N4,1,MATCH(C32,C27:N27,0)),"")</f>
        <v>diciembre</v>
      </c>
      <c r="O32" s="658"/>
    </row>
    <row r="33" spans="1:15" s="483" customFormat="1" ht="18.75" customHeight="1" x14ac:dyDescent="0.25">
      <c r="A33" s="712"/>
      <c r="B33" s="659" t="s">
        <v>193</v>
      </c>
      <c r="C33" s="660">
        <f>N29-B29+B27-N27</f>
        <v>-18163.530495823819</v>
      </c>
      <c r="D33" s="715"/>
      <c r="O33" s="658"/>
    </row>
    <row r="34" spans="1:15" s="483" customFormat="1" ht="21" customHeight="1" x14ac:dyDescent="0.25">
      <c r="A34" s="712"/>
      <c r="B34" s="659" t="s">
        <v>307</v>
      </c>
      <c r="C34" s="660">
        <f>MAX(C29:N29)</f>
        <v>2000.0000000000036</v>
      </c>
      <c r="D34" s="717" t="str">
        <f>INDEX(C4:N4,1,MATCH(C34,C29:N29,0))</f>
        <v>octubre</v>
      </c>
      <c r="O34" s="658"/>
    </row>
    <row r="35" spans="1:15" ht="18" customHeight="1" x14ac:dyDescent="0.25">
      <c r="A35" s="386"/>
      <c r="B35" s="386"/>
    </row>
    <row r="36" spans="1:15" x14ac:dyDescent="0.25">
      <c r="A36" s="386"/>
      <c r="B36" s="386"/>
    </row>
    <row r="37" spans="1:15" ht="17.25" x14ac:dyDescent="0.3">
      <c r="A37" s="307"/>
      <c r="B37" s="307"/>
    </row>
    <row r="38" spans="1:15" ht="17.25" x14ac:dyDescent="0.3">
      <c r="A38" s="307"/>
      <c r="B38" s="307"/>
    </row>
    <row r="39" spans="1:15" ht="17.25" x14ac:dyDescent="0.3">
      <c r="A39" s="307"/>
      <c r="B39" s="307"/>
    </row>
    <row r="40" spans="1:15" ht="17.25" x14ac:dyDescent="0.3">
      <c r="A40" s="307"/>
      <c r="B40" s="307"/>
    </row>
    <row r="41" spans="1:15" ht="17.25" x14ac:dyDescent="0.3">
      <c r="A41" s="307"/>
      <c r="B41" s="307"/>
    </row>
    <row r="42" spans="1:15" ht="17.25" x14ac:dyDescent="0.3">
      <c r="A42" s="307"/>
      <c r="B42" s="307"/>
    </row>
    <row r="43" spans="1:15" ht="17.25" x14ac:dyDescent="0.3">
      <c r="A43" s="307"/>
      <c r="B43" s="307"/>
    </row>
    <row r="44" spans="1:15" ht="17.25" x14ac:dyDescent="0.3">
      <c r="A44" s="307"/>
      <c r="B44" s="307"/>
    </row>
    <row r="45" spans="1:15" ht="17.25" x14ac:dyDescent="0.3">
      <c r="A45" s="307"/>
      <c r="B45" s="307"/>
    </row>
    <row r="46" spans="1:15" ht="17.25" x14ac:dyDescent="0.3">
      <c r="A46" s="307"/>
      <c r="B46" s="307"/>
    </row>
    <row r="47" spans="1:15" ht="17.25" x14ac:dyDescent="0.3">
      <c r="A47" s="307"/>
      <c r="B47" s="307"/>
    </row>
    <row r="48" spans="1:15" ht="17.25" x14ac:dyDescent="0.3">
      <c r="A48" s="307"/>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row r="53" spans="1:2" ht="17.25" x14ac:dyDescent="0.3">
      <c r="A53" s="307"/>
      <c r="B53" s="307"/>
    </row>
  </sheetData>
  <sheetProtection sheet="1" objects="1" scenarios="1" formatCells="0" formatColumns="0"/>
  <phoneticPr fontId="13" type="noConversion"/>
  <printOptions horizontalCentered="1" verticalCentered="1"/>
  <pageMargins left="0.19685039370078741" right="0.19685039370078741" top="0.39370078740157483" bottom="0.39370078740157483" header="0.11811023622047245" footer="0.11811023622047245"/>
  <pageSetup paperSize="9" scale="68" orientation="landscape" horizontalDpi="300" verticalDpi="300" r:id="rId1"/>
  <headerFooter alignWithMargins="0">
    <oddFooter>&amp;A</oddFooter>
  </headerFooter>
  <legacy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Hoja32">
    <tabColor rgb="FF7CC9D0"/>
    <pageSetUpPr fitToPage="1"/>
  </sheetPr>
  <dimension ref="A1:O53"/>
  <sheetViews>
    <sheetView showGridLines="0" workbookViewId="0"/>
  </sheetViews>
  <sheetFormatPr baseColWidth="10" defaultRowHeight="15" x14ac:dyDescent="0.25"/>
  <cols>
    <col min="1" max="1" width="27" style="446" customWidth="1"/>
    <col min="2" max="2" width="11.75" style="446" customWidth="1"/>
    <col min="3" max="3" width="12.125" style="446" customWidth="1"/>
    <col min="4" max="4" width="11.125" style="446" customWidth="1"/>
    <col min="5" max="5" width="12.5" style="446" customWidth="1"/>
    <col min="6" max="6" width="11" style="446"/>
    <col min="7" max="7" width="11.75" style="446" customWidth="1"/>
    <col min="8" max="8" width="12.25" style="446" bestFit="1" customWidth="1"/>
    <col min="9" max="9" width="11.75" style="446" bestFit="1" customWidth="1"/>
    <col min="10" max="10" width="12.125" style="446" customWidth="1"/>
    <col min="11" max="11" width="12.25" style="446" bestFit="1" customWidth="1"/>
    <col min="12" max="12" width="12" style="446" bestFit="1" customWidth="1"/>
    <col min="13" max="13" width="11.625" style="446" bestFit="1" customWidth="1"/>
    <col min="14" max="14" width="12" style="446" bestFit="1" customWidth="1"/>
    <col min="15" max="15" width="12.125" style="305" bestFit="1" customWidth="1"/>
    <col min="16" max="16384" width="11" style="446"/>
  </cols>
  <sheetData>
    <row r="1" spans="1:15" ht="27.75" x14ac:dyDescent="0.45">
      <c r="A1" s="645" t="s">
        <v>450</v>
      </c>
      <c r="B1" s="409"/>
      <c r="C1" s="470">
        <f>'Datos Básicos'!$D$17</f>
        <v>2028</v>
      </c>
      <c r="E1" s="450"/>
      <c r="F1" s="398"/>
      <c r="G1" s="646"/>
      <c r="H1" s="450"/>
      <c r="I1" s="398"/>
      <c r="J1" s="646"/>
      <c r="K1" s="398"/>
    </row>
    <row r="2" spans="1:15" ht="27.75" x14ac:dyDescent="0.45">
      <c r="A2" s="408">
        <f>'Datos Básicos'!B8</f>
        <v>0</v>
      </c>
      <c r="B2" s="408"/>
      <c r="D2" s="645"/>
      <c r="F2" s="450"/>
      <c r="G2" s="398"/>
      <c r="H2" s="398"/>
      <c r="I2" s="398"/>
      <c r="J2" s="398"/>
      <c r="K2" s="398"/>
    </row>
    <row r="3" spans="1:15" ht="18" thickBot="1" x14ac:dyDescent="0.35">
      <c r="A3" s="307"/>
      <c r="B3" s="307"/>
    </row>
    <row r="4" spans="1:15" s="445" customFormat="1" ht="18" customHeight="1" thickTop="1" thickBot="1" x14ac:dyDescent="0.3">
      <c r="A4" s="677" t="s">
        <v>847</v>
      </c>
      <c r="B4" s="460"/>
      <c r="C4" s="460" t="str">
        <f>'Datos Gastos Fijos'!D7</f>
        <v>enero</v>
      </c>
      <c r="D4" s="460" t="str">
        <f>'Datos Gastos Fijos'!E7</f>
        <v>febrero</v>
      </c>
      <c r="E4" s="460" t="str">
        <f>'Datos Gastos Fijos'!F7</f>
        <v>marzo</v>
      </c>
      <c r="F4" s="460" t="str">
        <f>'Datos Gastos Fijos'!G7</f>
        <v>abril</v>
      </c>
      <c r="G4" s="460" t="str">
        <f>'Datos Gastos Fijos'!H7</f>
        <v>mayo</v>
      </c>
      <c r="H4" s="460" t="str">
        <f>'Datos Gastos Fijos'!I7</f>
        <v>junio</v>
      </c>
      <c r="I4" s="460" t="str">
        <f>'Datos Gastos Fijos'!J7</f>
        <v>julio</v>
      </c>
      <c r="J4" s="460" t="str">
        <f>'Datos Gastos Fijos'!K7</f>
        <v>agosto</v>
      </c>
      <c r="K4" s="460" t="str">
        <f>'Datos Gastos Fijos'!L7</f>
        <v>septiembre</v>
      </c>
      <c r="L4" s="460" t="str">
        <f>'Datos Gastos Fijos'!M7</f>
        <v>octubre</v>
      </c>
      <c r="M4" s="460" t="str">
        <f>'Datos Gastos Fijos'!N7</f>
        <v>noviembre</v>
      </c>
      <c r="N4" s="460" t="str">
        <f>'Datos Gastos Fijos'!O7</f>
        <v>diciembre</v>
      </c>
      <c r="O4" s="678" t="s">
        <v>860</v>
      </c>
    </row>
    <row r="5" spans="1:15" s="445" customFormat="1" ht="18" customHeight="1" thickBot="1" x14ac:dyDescent="0.3">
      <c r="A5" s="679" t="s">
        <v>980</v>
      </c>
      <c r="B5" s="680"/>
      <c r="C5" s="680"/>
      <c r="D5" s="680"/>
      <c r="E5" s="680"/>
      <c r="F5" s="680"/>
      <c r="G5" s="680"/>
      <c r="H5" s="680"/>
      <c r="I5" s="680"/>
      <c r="J5" s="680"/>
      <c r="K5" s="680"/>
      <c r="L5" s="680"/>
      <c r="M5" s="680"/>
      <c r="N5" s="680"/>
      <c r="O5" s="681"/>
    </row>
    <row r="6" spans="1:15" ht="21" customHeight="1" x14ac:dyDescent="0.25">
      <c r="A6" s="682" t="s">
        <v>876</v>
      </c>
      <c r="B6" s="647"/>
      <c r="C6" s="482">
        <f>'Cobros y pagos 2'!B27</f>
        <v>0</v>
      </c>
      <c r="D6" s="482">
        <f>'Cobros y pagos 2'!C27</f>
        <v>0</v>
      </c>
      <c r="E6" s="482">
        <f>'Cobros y pagos 2'!D27</f>
        <v>0</v>
      </c>
      <c r="F6" s="482">
        <f>'Cobros y pagos 2'!E27</f>
        <v>0</v>
      </c>
      <c r="G6" s="482">
        <f>'Cobros y pagos 2'!F27</f>
        <v>0</v>
      </c>
      <c r="H6" s="482">
        <f>'Cobros y pagos 2'!G27</f>
        <v>0</v>
      </c>
      <c r="I6" s="482">
        <f>'Cobros y pagos 2'!H27</f>
        <v>0</v>
      </c>
      <c r="J6" s="482">
        <f>'Cobros y pagos 2'!I27</f>
        <v>0</v>
      </c>
      <c r="K6" s="482">
        <f>'Cobros y pagos 2'!J27</f>
        <v>0</v>
      </c>
      <c r="L6" s="482">
        <f>'Cobros y pagos 2'!K27</f>
        <v>0</v>
      </c>
      <c r="M6" s="482">
        <f>'Cobros y pagos 2'!L27</f>
        <v>0</v>
      </c>
      <c r="N6" s="482">
        <f>'Cobros y pagos 2'!M27</f>
        <v>0</v>
      </c>
      <c r="O6" s="683">
        <f>SUM(C6:N6)</f>
        <v>0</v>
      </c>
    </row>
    <row r="7" spans="1:15" ht="21" customHeight="1" x14ac:dyDescent="0.25">
      <c r="A7" s="684" t="s">
        <v>877</v>
      </c>
      <c r="B7" s="648"/>
      <c r="C7" s="685">
        <f>'Otros cobros y pagos'!B35</f>
        <v>0</v>
      </c>
      <c r="D7" s="685">
        <f>'Otros cobros y pagos'!C35</f>
        <v>0</v>
      </c>
      <c r="E7" s="685">
        <f>'Otros cobros y pagos'!D35</f>
        <v>0</v>
      </c>
      <c r="F7" s="685">
        <f>'Otros cobros y pagos'!E35</f>
        <v>0</v>
      </c>
      <c r="G7" s="685">
        <f>'Otros cobros y pagos'!F35</f>
        <v>0</v>
      </c>
      <c r="H7" s="685">
        <f>'Otros cobros y pagos'!G35</f>
        <v>0</v>
      </c>
      <c r="I7" s="685">
        <f>'Otros cobros y pagos'!H35+IF('IRPF Prof y Autónomos'!L26&lt;0,-'IRPF Prof y Autónomos'!L26*'IRPF Prof y Autónomos'!L19,0)</f>
        <v>0</v>
      </c>
      <c r="J7" s="685">
        <f>'Otros cobros y pagos'!I35</f>
        <v>0</v>
      </c>
      <c r="K7" s="685">
        <f>'Otros cobros y pagos'!J35</f>
        <v>0</v>
      </c>
      <c r="L7" s="685">
        <f>'Otros cobros y pagos'!K35</f>
        <v>0</v>
      </c>
      <c r="M7" s="685">
        <f>'Otros cobros y pagos'!L35</f>
        <v>0</v>
      </c>
      <c r="N7" s="685">
        <f>'Otros cobros y pagos'!M35</f>
        <v>0</v>
      </c>
      <c r="O7" s="686">
        <f>SUM(C7:N7)</f>
        <v>0</v>
      </c>
    </row>
    <row r="8" spans="1:15" ht="21" customHeight="1" x14ac:dyDescent="0.25">
      <c r="A8" s="684" t="s">
        <v>9</v>
      </c>
      <c r="B8" s="648"/>
      <c r="C8" s="685">
        <f>-'IVA 2'!C26</f>
        <v>0</v>
      </c>
      <c r="D8" s="685">
        <f>-'IVA 2'!D26</f>
        <v>0</v>
      </c>
      <c r="E8" s="685">
        <f>-'IVA 2'!E26</f>
        <v>0</v>
      </c>
      <c r="F8" s="685">
        <f>-'IVA 2'!F26</f>
        <v>0</v>
      </c>
      <c r="G8" s="685">
        <f>-'IVA 2'!G26</f>
        <v>0</v>
      </c>
      <c r="H8" s="685">
        <f>-'IVA 2'!H26</f>
        <v>0</v>
      </c>
      <c r="I8" s="685">
        <f>-'IVA 2'!I26</f>
        <v>0</v>
      </c>
      <c r="J8" s="685">
        <f>-'IVA 2'!J26</f>
        <v>0</v>
      </c>
      <c r="K8" s="685">
        <f>-'IVA 2'!K26</f>
        <v>0</v>
      </c>
      <c r="L8" s="685">
        <f>-'IVA 2'!L26</f>
        <v>0</v>
      </c>
      <c r="M8" s="685">
        <f>-'IVA 2'!M26</f>
        <v>0</v>
      </c>
      <c r="N8" s="685">
        <f>-'IVA 2'!N26</f>
        <v>0</v>
      </c>
      <c r="O8" s="686">
        <f>SUM(C8:N8)</f>
        <v>0</v>
      </c>
    </row>
    <row r="9" spans="1:15" ht="21" customHeight="1" x14ac:dyDescent="0.25">
      <c r="A9" s="684" t="s">
        <v>1</v>
      </c>
      <c r="B9" s="648"/>
      <c r="C9" s="685">
        <f>'Gastos Financieros'!C69</f>
        <v>0</v>
      </c>
      <c r="D9" s="685">
        <f>'Gastos Financieros'!D69</f>
        <v>0</v>
      </c>
      <c r="E9" s="685">
        <f>'Gastos Financieros'!E69</f>
        <v>0</v>
      </c>
      <c r="F9" s="685">
        <f>'Gastos Financieros'!F69</f>
        <v>0</v>
      </c>
      <c r="G9" s="685">
        <f>'Gastos Financieros'!G69</f>
        <v>0</v>
      </c>
      <c r="H9" s="685">
        <f>'Gastos Financieros'!H69</f>
        <v>0</v>
      </c>
      <c r="I9" s="685">
        <f>'Gastos Financieros'!I69</f>
        <v>0</v>
      </c>
      <c r="J9" s="685">
        <f>'Gastos Financieros'!J69</f>
        <v>0</v>
      </c>
      <c r="K9" s="685">
        <f>'Gastos Financieros'!K69</f>
        <v>0</v>
      </c>
      <c r="L9" s="685">
        <f>'Gastos Financieros'!L69</f>
        <v>0</v>
      </c>
      <c r="M9" s="685">
        <f>'Gastos Financieros'!M69</f>
        <v>0</v>
      </c>
      <c r="N9" s="685">
        <f>'Gastos Financieros'!N69</f>
        <v>0</v>
      </c>
      <c r="O9" s="686">
        <f>SUM(C9:N9)</f>
        <v>0</v>
      </c>
    </row>
    <row r="10" spans="1:15" s="305" customFormat="1" ht="21" customHeight="1" thickBot="1" x14ac:dyDescent="0.3">
      <c r="A10" s="688" t="s">
        <v>984</v>
      </c>
      <c r="B10" s="650"/>
      <c r="C10" s="689">
        <f>SUM(C6:C9)</f>
        <v>0</v>
      </c>
      <c r="D10" s="689">
        <f t="shared" ref="D10:K10" si="0">SUM(D6:D9)</f>
        <v>0</v>
      </c>
      <c r="E10" s="689">
        <f t="shared" si="0"/>
        <v>0</v>
      </c>
      <c r="F10" s="689">
        <f t="shared" si="0"/>
        <v>0</v>
      </c>
      <c r="G10" s="689">
        <f t="shared" si="0"/>
        <v>0</v>
      </c>
      <c r="H10" s="689">
        <f t="shared" si="0"/>
        <v>0</v>
      </c>
      <c r="I10" s="689">
        <f t="shared" si="0"/>
        <v>0</v>
      </c>
      <c r="J10" s="689">
        <f t="shared" si="0"/>
        <v>0</v>
      </c>
      <c r="K10" s="689">
        <f t="shared" si="0"/>
        <v>0</v>
      </c>
      <c r="L10" s="689">
        <f>SUM(L6:L9)</f>
        <v>0</v>
      </c>
      <c r="M10" s="689">
        <f>SUM(M6:M9)</f>
        <v>0</v>
      </c>
      <c r="N10" s="689">
        <f>SUM(N6:N9)</f>
        <v>0</v>
      </c>
      <c r="O10" s="690">
        <f>SUM(C10:N10)</f>
        <v>0</v>
      </c>
    </row>
    <row r="11" spans="1:15" s="305" customFormat="1" ht="9.75" customHeight="1" x14ac:dyDescent="0.25">
      <c r="A11" s="691"/>
      <c r="B11" s="651"/>
      <c r="C11" s="651"/>
      <c r="D11" s="651"/>
      <c r="E11" s="651"/>
      <c r="F11" s="651"/>
      <c r="G11" s="651"/>
      <c r="H11" s="651"/>
      <c r="I11" s="651"/>
      <c r="J11" s="651"/>
      <c r="K11" s="651"/>
      <c r="L11" s="651"/>
      <c r="M11" s="651"/>
      <c r="N11" s="651"/>
      <c r="O11" s="692"/>
    </row>
    <row r="12" spans="1:15" s="305" customFormat="1" ht="21" customHeight="1" thickBot="1" x14ac:dyDescent="0.3">
      <c r="A12" s="679" t="s">
        <v>981</v>
      </c>
      <c r="B12" s="652"/>
      <c r="C12" s="652"/>
      <c r="D12" s="652"/>
      <c r="E12" s="652"/>
      <c r="F12" s="652"/>
      <c r="G12" s="652"/>
      <c r="H12" s="652"/>
      <c r="I12" s="652"/>
      <c r="J12" s="652"/>
      <c r="K12" s="652"/>
      <c r="L12" s="652"/>
      <c r="M12" s="652"/>
      <c r="N12" s="652"/>
      <c r="O12" s="693"/>
    </row>
    <row r="13" spans="1:15" s="305" customFormat="1" ht="21" customHeight="1" x14ac:dyDescent="0.25">
      <c r="A13" s="682" t="s">
        <v>264</v>
      </c>
      <c r="B13" s="647"/>
      <c r="C13" s="482">
        <f>'G.F. 2'!C48+'G.F. 2'!C50</f>
        <v>1526.5136000000002</v>
      </c>
      <c r="D13" s="482">
        <f>'G.F. 2'!D48+'G.F. 2'!D50</f>
        <v>1526.5136000000002</v>
      </c>
      <c r="E13" s="482">
        <f>'G.F. 2'!E48+'G.F. 2'!E50</f>
        <v>1526.5136000000002</v>
      </c>
      <c r="F13" s="482">
        <f>'G.F. 2'!F48+'G.F. 2'!F50</f>
        <v>1526.5136000000002</v>
      </c>
      <c r="G13" s="482">
        <f>'G.F. 2'!G48+'G.F. 2'!G50</f>
        <v>1526.5136000000002</v>
      </c>
      <c r="H13" s="482">
        <f>'G.F. 2'!H48+'G.F. 2'!H50</f>
        <v>1526.5136000000002</v>
      </c>
      <c r="I13" s="482">
        <f>'G.F. 2'!I48+'G.F. 2'!I50</f>
        <v>1526.5136000000002</v>
      </c>
      <c r="J13" s="482">
        <f>'G.F. 2'!J48+'G.F. 2'!J50</f>
        <v>1526.5136000000002</v>
      </c>
      <c r="K13" s="482">
        <f>'G.F. 2'!K48+'G.F. 2'!K50</f>
        <v>1526.5136000000002</v>
      </c>
      <c r="L13" s="482">
        <f>'G.F. 2'!L48+'G.F. 2'!L50</f>
        <v>1526.5136000000002</v>
      </c>
      <c r="M13" s="482">
        <f>'G.F. 2'!M48+'G.F. 2'!M50</f>
        <v>1526.5136000000002</v>
      </c>
      <c r="N13" s="482">
        <f>'G.F. 2'!N48+'G.F. 2'!N50</f>
        <v>1526.5136000000002</v>
      </c>
      <c r="O13" s="683">
        <f>SUM(C13:N13)</f>
        <v>18318.163200000003</v>
      </c>
    </row>
    <row r="14" spans="1:15" ht="21" customHeight="1" x14ac:dyDescent="0.25">
      <c r="A14" s="684" t="s">
        <v>263</v>
      </c>
      <c r="B14" s="648"/>
      <c r="C14" s="685">
        <f>'Cobros y pagos 2'!B53</f>
        <v>0</v>
      </c>
      <c r="D14" s="685">
        <f>'Cobros y pagos 2'!C53</f>
        <v>0</v>
      </c>
      <c r="E14" s="685">
        <f>'Cobros y pagos 2'!D53</f>
        <v>0</v>
      </c>
      <c r="F14" s="685">
        <f>'Cobros y pagos 2'!E53</f>
        <v>0</v>
      </c>
      <c r="G14" s="685">
        <f>'Cobros y pagos 2'!F53</f>
        <v>0</v>
      </c>
      <c r="H14" s="685">
        <f>'Cobros y pagos 2'!G53</f>
        <v>0</v>
      </c>
      <c r="I14" s="685">
        <f>'Cobros y pagos 2'!H53</f>
        <v>0</v>
      </c>
      <c r="J14" s="685">
        <f>'Cobros y pagos 2'!I53</f>
        <v>0</v>
      </c>
      <c r="K14" s="685">
        <f>'Cobros y pagos 2'!J53</f>
        <v>0</v>
      </c>
      <c r="L14" s="685">
        <f>'Cobros y pagos 2'!K53</f>
        <v>0</v>
      </c>
      <c r="M14" s="685">
        <f>'Cobros y pagos 2'!L53</f>
        <v>0</v>
      </c>
      <c r="N14" s="685">
        <f>'Cobros y pagos 2'!M53</f>
        <v>0</v>
      </c>
      <c r="O14" s="686">
        <f>SUM(C14:N14)</f>
        <v>0</v>
      </c>
    </row>
    <row r="15" spans="1:15" ht="21" customHeight="1" x14ac:dyDescent="0.25">
      <c r="A15" s="684" t="s">
        <v>1047</v>
      </c>
      <c r="B15" s="648"/>
      <c r="C15" s="685">
        <f>'Gastos Financieros'!C33</f>
        <v>213.07119145793553</v>
      </c>
      <c r="D15" s="685">
        <f>'Gastos Financieros'!D33</f>
        <v>223.21876940810679</v>
      </c>
      <c r="E15" s="685">
        <f>'Gastos Financieros'!E33</f>
        <v>233.42554156298743</v>
      </c>
      <c r="F15" s="685">
        <f>'Gastos Financieros'!F33</f>
        <v>243.69185322210484</v>
      </c>
      <c r="G15" s="685">
        <f>'Gastos Financieros'!G33</f>
        <v>254.01805169923381</v>
      </c>
      <c r="H15" s="685">
        <f>'Gastos Financieros'!H33</f>
        <v>264.40448633414599</v>
      </c>
      <c r="I15" s="685">
        <f>'Gastos Financieros'!I33</f>
        <v>274.85150850442852</v>
      </c>
      <c r="J15" s="685">
        <f>'Gastos Financieros'!J33</f>
        <v>285.35947163737103</v>
      </c>
      <c r="K15" s="685">
        <f>'Gastos Financieros'!K33</f>
        <v>295.92873122192231</v>
      </c>
      <c r="L15" s="685">
        <f>'Gastos Financieros'!L33</f>
        <v>306.55964482071687</v>
      </c>
      <c r="M15" s="685">
        <f>'Gastos Financieros'!M33</f>
        <v>317.25257208217107</v>
      </c>
      <c r="N15" s="685">
        <f>'Gastos Financieros'!N33</f>
        <v>328.00787475265042</v>
      </c>
      <c r="O15" s="686">
        <f>SUM(C15:N15)</f>
        <v>3239.7896967037746</v>
      </c>
    </row>
    <row r="16" spans="1:15" ht="21" customHeight="1" x14ac:dyDescent="0.25">
      <c r="A16" s="684" t="s">
        <v>839</v>
      </c>
      <c r="B16" s="648"/>
      <c r="C16" s="685">
        <f>Leasing!B37+Renting!B38</f>
        <v>0</v>
      </c>
      <c r="D16" s="685">
        <f>Leasing!C37+Renting!C38</f>
        <v>0</v>
      </c>
      <c r="E16" s="685">
        <f>Leasing!D37+Renting!D38</f>
        <v>0</v>
      </c>
      <c r="F16" s="685">
        <f>Leasing!E37+Renting!E38</f>
        <v>0</v>
      </c>
      <c r="G16" s="685">
        <f>Leasing!F37+Renting!F38</f>
        <v>0</v>
      </c>
      <c r="H16" s="685">
        <f>Leasing!G37+Renting!G38</f>
        <v>0</v>
      </c>
      <c r="I16" s="685">
        <f>Leasing!H37+Renting!H38</f>
        <v>0</v>
      </c>
      <c r="J16" s="685">
        <f>Leasing!I37+Renting!I38</f>
        <v>0</v>
      </c>
      <c r="K16" s="685">
        <f>Leasing!J37+Renting!J38</f>
        <v>0</v>
      </c>
      <c r="L16" s="685">
        <f>Leasing!K37+Renting!K38</f>
        <v>0</v>
      </c>
      <c r="M16" s="685">
        <f>Leasing!L37+Renting!L38</f>
        <v>0</v>
      </c>
      <c r="N16" s="685">
        <f>Leasing!M37+Renting!M38</f>
        <v>0</v>
      </c>
      <c r="O16" s="686">
        <f>SUM(C16:N16)</f>
        <v>0</v>
      </c>
    </row>
    <row r="17" spans="1:15" ht="9.75" customHeight="1" x14ac:dyDescent="0.25">
      <c r="A17" s="694"/>
      <c r="B17" s="653"/>
      <c r="C17" s="653"/>
      <c r="D17" s="653"/>
      <c r="E17" s="653"/>
      <c r="F17" s="653"/>
      <c r="G17" s="653"/>
      <c r="H17" s="653"/>
      <c r="I17" s="653"/>
      <c r="J17" s="653"/>
      <c r="K17" s="653"/>
      <c r="L17" s="653"/>
      <c r="M17" s="653"/>
      <c r="N17" s="653"/>
      <c r="O17" s="695"/>
    </row>
    <row r="18" spans="1:15" ht="21" customHeight="1" x14ac:dyDescent="0.25">
      <c r="A18" s="696" t="s">
        <v>987</v>
      </c>
      <c r="B18" s="654"/>
      <c r="C18" s="654"/>
      <c r="D18" s="654"/>
      <c r="E18" s="654"/>
      <c r="F18" s="654"/>
      <c r="G18" s="654"/>
      <c r="H18" s="654"/>
      <c r="I18" s="654"/>
      <c r="J18" s="654"/>
      <c r="K18" s="654"/>
      <c r="L18" s="654"/>
      <c r="M18" s="654"/>
      <c r="N18" s="654"/>
      <c r="O18" s="697"/>
    </row>
    <row r="19" spans="1:15" ht="21" customHeight="1" x14ac:dyDescent="0.25">
      <c r="A19" s="684" t="s">
        <v>837</v>
      </c>
      <c r="B19" s="648"/>
      <c r="C19" s="685">
        <f>Préstamos!B32+Leasing!B36</f>
        <v>0</v>
      </c>
      <c r="D19" s="685">
        <f>Préstamos!C32+Leasing!C36</f>
        <v>0</v>
      </c>
      <c r="E19" s="685">
        <f>Préstamos!D32+Leasing!D36</f>
        <v>0</v>
      </c>
      <c r="F19" s="685">
        <f>Préstamos!E32+Leasing!E36</f>
        <v>0</v>
      </c>
      <c r="G19" s="685">
        <f>Préstamos!F32+Leasing!F36</f>
        <v>0</v>
      </c>
      <c r="H19" s="685">
        <f>Préstamos!G32+Leasing!G36</f>
        <v>0</v>
      </c>
      <c r="I19" s="685">
        <f>Préstamos!H32+Leasing!H36</f>
        <v>0</v>
      </c>
      <c r="J19" s="685">
        <f>Préstamos!I32+Leasing!I36</f>
        <v>0</v>
      </c>
      <c r="K19" s="685">
        <f>Préstamos!J32+Leasing!J36</f>
        <v>0</v>
      </c>
      <c r="L19" s="685">
        <f>Préstamos!K32+Leasing!K36</f>
        <v>0</v>
      </c>
      <c r="M19" s="685">
        <f>Préstamos!L32+Leasing!L36</f>
        <v>0</v>
      </c>
      <c r="N19" s="685">
        <f>Préstamos!M32+Leasing!M36</f>
        <v>0</v>
      </c>
      <c r="O19" s="686">
        <f>SUM(C19:N19)</f>
        <v>0</v>
      </c>
    </row>
    <row r="20" spans="1:15" ht="21" customHeight="1" x14ac:dyDescent="0.25">
      <c r="A20" s="684" t="s">
        <v>1006</v>
      </c>
      <c r="B20" s="648"/>
      <c r="C20" s="685">
        <f>'Otros cobros y pagos'!B92</f>
        <v>0</v>
      </c>
      <c r="D20" s="685">
        <f>'Otros cobros y pagos'!C92</f>
        <v>0</v>
      </c>
      <c r="E20" s="685">
        <f>'Otros cobros y pagos'!D92</f>
        <v>0</v>
      </c>
      <c r="F20" s="685">
        <f>'Otros cobros y pagos'!E92</f>
        <v>0</v>
      </c>
      <c r="G20" s="685">
        <f>'Otros cobros y pagos'!F92</f>
        <v>0</v>
      </c>
      <c r="H20" s="685">
        <f>'Otros cobros y pagos'!G92</f>
        <v>0</v>
      </c>
      <c r="I20" s="685">
        <f>'Otros cobros y pagos'!H92</f>
        <v>0</v>
      </c>
      <c r="J20" s="685">
        <f>'Otros cobros y pagos'!I92</f>
        <v>0</v>
      </c>
      <c r="K20" s="685">
        <f>'Otros cobros y pagos'!J92</f>
        <v>0</v>
      </c>
      <c r="L20" s="685">
        <f>'Otros cobros y pagos'!K92</f>
        <v>0</v>
      </c>
      <c r="M20" s="685">
        <f>'Otros cobros y pagos'!L92</f>
        <v>0</v>
      </c>
      <c r="N20" s="685">
        <f>'Otros cobros y pagos'!M92</f>
        <v>0</v>
      </c>
      <c r="O20" s="686">
        <f>SUM(C20:N20)</f>
        <v>0</v>
      </c>
    </row>
    <row r="21" spans="1:15" ht="21" customHeight="1" x14ac:dyDescent="0.25">
      <c r="A21" s="684" t="s">
        <v>993</v>
      </c>
      <c r="B21" s="648"/>
      <c r="C21" s="685">
        <f>'IVA 2'!C24</f>
        <v>0</v>
      </c>
      <c r="D21" s="685">
        <f>'IVA 2'!D24</f>
        <v>0</v>
      </c>
      <c r="E21" s="685">
        <f>'IVA 2'!E24</f>
        <v>0</v>
      </c>
      <c r="F21" s="685">
        <f>'IVA 2'!F24</f>
        <v>0</v>
      </c>
      <c r="G21" s="685">
        <f>'IVA 2'!G24</f>
        <v>0</v>
      </c>
      <c r="H21" s="685">
        <f>'IVA 2'!H24</f>
        <v>0</v>
      </c>
      <c r="I21" s="685">
        <f>'IVA 2'!I24</f>
        <v>0</v>
      </c>
      <c r="J21" s="685">
        <f>'IVA 2'!J24</f>
        <v>0</v>
      </c>
      <c r="K21" s="685">
        <f>'IVA 2'!K24</f>
        <v>0</v>
      </c>
      <c r="L21" s="685">
        <f>'IVA 2'!L24</f>
        <v>0</v>
      </c>
      <c r="M21" s="685">
        <f>'IVA 2'!M24</f>
        <v>0</v>
      </c>
      <c r="N21" s="685">
        <f>'IVA 2'!N24</f>
        <v>0</v>
      </c>
      <c r="O21" s="686">
        <f>SUM(C21:N21)</f>
        <v>0</v>
      </c>
    </row>
    <row r="22" spans="1:15" ht="21" customHeight="1" x14ac:dyDescent="0.25">
      <c r="A22" s="684" t="s">
        <v>111</v>
      </c>
      <c r="B22" s="648"/>
      <c r="C22" s="685">
        <f>'Ret IRPF'!N22</f>
        <v>0</v>
      </c>
      <c r="D22" s="685"/>
      <c r="E22" s="685"/>
      <c r="F22" s="685">
        <f>Imp.Sociedades!G14+'Ret IRPF'!E31</f>
        <v>0</v>
      </c>
      <c r="G22" s="685"/>
      <c r="H22" s="685">
        <f>IF('IRPF Prof y Autónomos'!L26&lt;0,0,'IRPF Prof y Autónomos'!L26*'IRPF Prof y Autónomos'!L19)</f>
        <v>0</v>
      </c>
      <c r="I22" s="685">
        <f>IF(Imp.Sociedades!D20&gt;0,Imp.Sociedades!D20,0)+'Ret IRPF'!H31</f>
        <v>0</v>
      </c>
      <c r="J22" s="685"/>
      <c r="K22" s="685"/>
      <c r="L22" s="685">
        <f>Imp.Sociedades!G15+'Ret IRPF'!K31</f>
        <v>0</v>
      </c>
      <c r="M22" s="685"/>
      <c r="N22" s="685">
        <f>Imp.Sociedades!G16</f>
        <v>0</v>
      </c>
      <c r="O22" s="686">
        <f>SUM(C22:N22)</f>
        <v>0</v>
      </c>
    </row>
    <row r="23" spans="1:15" s="305" customFormat="1" ht="21" customHeight="1" thickBot="1" x14ac:dyDescent="0.3">
      <c r="A23" s="688" t="s">
        <v>266</v>
      </c>
      <c r="B23" s="650"/>
      <c r="C23" s="698">
        <f t="shared" ref="C23:N23" si="1">SUM(C13:C22)</f>
        <v>1739.5847914579358</v>
      </c>
      <c r="D23" s="698">
        <f t="shared" si="1"/>
        <v>1749.7323694081069</v>
      </c>
      <c r="E23" s="698">
        <f t="shared" si="1"/>
        <v>1759.9391415629877</v>
      </c>
      <c r="F23" s="698">
        <f t="shared" si="1"/>
        <v>1770.205453222105</v>
      </c>
      <c r="G23" s="698">
        <f t="shared" si="1"/>
        <v>1780.5316516992341</v>
      </c>
      <c r="H23" s="698">
        <f t="shared" si="1"/>
        <v>1790.9180863341462</v>
      </c>
      <c r="I23" s="698">
        <f t="shared" si="1"/>
        <v>1801.3651085044287</v>
      </c>
      <c r="J23" s="698">
        <f t="shared" si="1"/>
        <v>1811.8730716373711</v>
      </c>
      <c r="K23" s="698">
        <f t="shared" si="1"/>
        <v>1822.4423312219226</v>
      </c>
      <c r="L23" s="698">
        <f t="shared" si="1"/>
        <v>1833.073244820717</v>
      </c>
      <c r="M23" s="698">
        <f t="shared" si="1"/>
        <v>1843.7661720821714</v>
      </c>
      <c r="N23" s="698">
        <f t="shared" si="1"/>
        <v>1854.5214747526506</v>
      </c>
      <c r="O23" s="690">
        <f>SUM(O13:O22)</f>
        <v>21557.952896703777</v>
      </c>
    </row>
    <row r="24" spans="1:15" s="305" customFormat="1" ht="21" customHeight="1" thickBot="1" x14ac:dyDescent="0.3">
      <c r="A24" s="691"/>
      <c r="B24" s="657"/>
      <c r="C24" s="657"/>
      <c r="D24" s="657"/>
      <c r="E24" s="657"/>
      <c r="F24" s="657"/>
      <c r="G24" s="657"/>
      <c r="H24" s="657"/>
      <c r="I24" s="657"/>
      <c r="J24" s="657"/>
      <c r="K24" s="657"/>
      <c r="L24" s="657"/>
      <c r="M24" s="657"/>
      <c r="N24" s="657"/>
      <c r="O24" s="699"/>
    </row>
    <row r="25" spans="1:15" s="305" customFormat="1" ht="21" customHeight="1" thickBot="1" x14ac:dyDescent="0.3">
      <c r="A25" s="700" t="s">
        <v>983</v>
      </c>
      <c r="B25" s="656"/>
      <c r="C25" s="701">
        <f t="shared" ref="C25:O25" si="2">C10-C23</f>
        <v>-1739.5847914579358</v>
      </c>
      <c r="D25" s="701">
        <f t="shared" si="2"/>
        <v>-1749.7323694081069</v>
      </c>
      <c r="E25" s="701">
        <f t="shared" si="2"/>
        <v>-1759.9391415629877</v>
      </c>
      <c r="F25" s="701">
        <f t="shared" si="2"/>
        <v>-1770.205453222105</v>
      </c>
      <c r="G25" s="701">
        <f t="shared" si="2"/>
        <v>-1780.5316516992341</v>
      </c>
      <c r="H25" s="701">
        <f t="shared" si="2"/>
        <v>-1790.9180863341462</v>
      </c>
      <c r="I25" s="701">
        <f t="shared" si="2"/>
        <v>-1801.3651085044287</v>
      </c>
      <c r="J25" s="701">
        <f t="shared" si="2"/>
        <v>-1811.8730716373711</v>
      </c>
      <c r="K25" s="701">
        <f t="shared" si="2"/>
        <v>-1822.4423312219226</v>
      </c>
      <c r="L25" s="701">
        <f t="shared" si="2"/>
        <v>-1833.073244820717</v>
      </c>
      <c r="M25" s="701">
        <f t="shared" si="2"/>
        <v>-1843.7661720821714</v>
      </c>
      <c r="N25" s="701">
        <f t="shared" si="2"/>
        <v>-1854.5214747526506</v>
      </c>
      <c r="O25" s="702">
        <f t="shared" si="2"/>
        <v>-21557.952896703777</v>
      </c>
    </row>
    <row r="26" spans="1:15" s="305" customFormat="1" ht="21" customHeight="1" thickBot="1" x14ac:dyDescent="0.3">
      <c r="A26" s="703"/>
      <c r="B26" s="655"/>
      <c r="C26" s="704"/>
      <c r="D26" s="704"/>
      <c r="E26" s="704"/>
      <c r="F26" s="704"/>
      <c r="G26" s="704"/>
      <c r="H26" s="704"/>
      <c r="I26" s="704"/>
      <c r="J26" s="704"/>
      <c r="K26" s="704"/>
      <c r="L26" s="704"/>
      <c r="M26" s="704"/>
      <c r="N26" s="704"/>
      <c r="O26" s="705"/>
    </row>
    <row r="27" spans="1:15" s="305" customFormat="1" ht="21" customHeight="1" thickBot="1" x14ac:dyDescent="0.3">
      <c r="A27" s="706" t="s">
        <v>1008</v>
      </c>
      <c r="B27" s="707">
        <f>'Tesorería 1'!N27</f>
        <v>36526.489964217515</v>
      </c>
      <c r="C27" s="708">
        <f t="shared" ref="C27:N27" si="3">IF(B29+C25-B27&gt;tesoreriasec,0,B27-B29-C25+tesoreriasec)</f>
        <v>38266.07475567545</v>
      </c>
      <c r="D27" s="709">
        <f t="shared" si="3"/>
        <v>40015.807125083556</v>
      </c>
      <c r="E27" s="709">
        <f t="shared" si="3"/>
        <v>41775.746266646544</v>
      </c>
      <c r="F27" s="709">
        <f t="shared" si="3"/>
        <v>43545.951719868652</v>
      </c>
      <c r="G27" s="709">
        <f t="shared" si="3"/>
        <v>45326.483371567883</v>
      </c>
      <c r="H27" s="709">
        <f t="shared" si="3"/>
        <v>47117.40145790203</v>
      </c>
      <c r="I27" s="709">
        <f t="shared" si="3"/>
        <v>48918.766566406455</v>
      </c>
      <c r="J27" s="709">
        <f t="shared" si="3"/>
        <v>50730.639638043824</v>
      </c>
      <c r="K27" s="709">
        <f t="shared" si="3"/>
        <v>52553.081969265746</v>
      </c>
      <c r="L27" s="709">
        <f t="shared" si="3"/>
        <v>54386.155214086466</v>
      </c>
      <c r="M27" s="709">
        <f t="shared" si="3"/>
        <v>56229.921386168637</v>
      </c>
      <c r="N27" s="709">
        <f t="shared" si="3"/>
        <v>58084.442860921285</v>
      </c>
      <c r="O27" s="710"/>
    </row>
    <row r="28" spans="1:15" s="305" customFormat="1" ht="21" customHeight="1" thickBot="1" x14ac:dyDescent="0.3">
      <c r="A28" s="703"/>
      <c r="B28" s="656"/>
      <c r="C28" s="657"/>
      <c r="D28" s="657"/>
      <c r="E28" s="657"/>
      <c r="F28" s="657"/>
      <c r="G28" s="657"/>
      <c r="H28" s="657"/>
      <c r="I28" s="657"/>
      <c r="J28" s="657"/>
      <c r="K28" s="657"/>
      <c r="L28" s="657"/>
      <c r="M28" s="657"/>
      <c r="N28" s="657"/>
      <c r="O28" s="699"/>
    </row>
    <row r="29" spans="1:15" s="658" customFormat="1" ht="21" customHeight="1" thickBot="1" x14ac:dyDescent="0.3">
      <c r="A29" s="1019" t="s">
        <v>982</v>
      </c>
      <c r="B29" s="1018">
        <f>'Tesorería 1'!N29</f>
        <v>2000</v>
      </c>
      <c r="C29" s="1020">
        <f>B29+C25+C27-B27</f>
        <v>2000</v>
      </c>
      <c r="D29" s="1021">
        <f t="shared" ref="D29:N29" si="4">C29+D25+D27-C27</f>
        <v>2000</v>
      </c>
      <c r="E29" s="1021">
        <f t="shared" si="4"/>
        <v>2000</v>
      </c>
      <c r="F29" s="1021">
        <f t="shared" si="4"/>
        <v>2000</v>
      </c>
      <c r="G29" s="1021">
        <f t="shared" si="4"/>
        <v>2000</v>
      </c>
      <c r="H29" s="1021">
        <f t="shared" si="4"/>
        <v>2000</v>
      </c>
      <c r="I29" s="1021">
        <f>H29+I25+I27-H27</f>
        <v>2000</v>
      </c>
      <c r="J29" s="1021">
        <f t="shared" si="4"/>
        <v>2000</v>
      </c>
      <c r="K29" s="1021">
        <f t="shared" si="4"/>
        <v>2000</v>
      </c>
      <c r="L29" s="1021">
        <f t="shared" si="4"/>
        <v>2000</v>
      </c>
      <c r="M29" s="1021">
        <f t="shared" si="4"/>
        <v>2000</v>
      </c>
      <c r="N29" s="1021">
        <f t="shared" si="4"/>
        <v>2000</v>
      </c>
      <c r="O29" s="1022"/>
    </row>
    <row r="30" spans="1:15" ht="15.75" thickTop="1" x14ac:dyDescent="0.25">
      <c r="A30" s="386"/>
      <c r="B30" s="386"/>
    </row>
    <row r="31" spans="1:15" x14ac:dyDescent="0.25">
      <c r="A31" s="386"/>
      <c r="B31" s="386"/>
    </row>
    <row r="32" spans="1:15" s="483" customFormat="1" ht="21" customHeight="1" x14ac:dyDescent="0.25">
      <c r="A32" s="712"/>
      <c r="B32" s="659" t="s">
        <v>66</v>
      </c>
      <c r="C32" s="660">
        <f>MAX(C27:N27)</f>
        <v>58084.442860921285</v>
      </c>
      <c r="D32" s="717" t="str">
        <f>IF(C32&lt;&gt;0,INDEX(C4:N4,1,MATCH(C32,C27:N27,0)),"")</f>
        <v>diciembre</v>
      </c>
      <c r="O32" s="658"/>
    </row>
    <row r="33" spans="1:15" s="483" customFormat="1" ht="18.75" customHeight="1" x14ac:dyDescent="0.25">
      <c r="A33" s="712"/>
      <c r="B33" s="659" t="s">
        <v>193</v>
      </c>
      <c r="C33" s="660">
        <f>N29-B29+B27-N27</f>
        <v>-21557.95289670377</v>
      </c>
      <c r="D33" s="715"/>
      <c r="O33" s="658"/>
    </row>
    <row r="34" spans="1:15" s="483" customFormat="1" ht="21" customHeight="1" x14ac:dyDescent="0.25">
      <c r="A34" s="712"/>
      <c r="B34" s="659" t="s">
        <v>307</v>
      </c>
      <c r="C34" s="660">
        <f>MAX(C29:N29)</f>
        <v>2000</v>
      </c>
      <c r="D34" s="717" t="str">
        <f>INDEX(C4:N4,1,MATCH(C34,C29:N29,0))</f>
        <v>enero</v>
      </c>
      <c r="O34" s="658"/>
    </row>
    <row r="35" spans="1:15" ht="18" customHeight="1" x14ac:dyDescent="0.25">
      <c r="A35" s="386"/>
      <c r="B35" s="386"/>
    </row>
    <row r="36" spans="1:15" x14ac:dyDescent="0.25">
      <c r="A36" s="386"/>
      <c r="B36" s="386"/>
    </row>
    <row r="37" spans="1:15" ht="17.25" x14ac:dyDescent="0.3">
      <c r="A37" s="307"/>
      <c r="B37" s="307"/>
    </row>
    <row r="38" spans="1:15" ht="17.25" x14ac:dyDescent="0.3">
      <c r="A38" s="307"/>
      <c r="B38" s="307"/>
    </row>
    <row r="39" spans="1:15" ht="17.25" x14ac:dyDescent="0.3">
      <c r="A39" s="307"/>
      <c r="B39" s="307"/>
    </row>
    <row r="40" spans="1:15" ht="17.25" x14ac:dyDescent="0.3">
      <c r="A40" s="307"/>
      <c r="B40" s="307"/>
    </row>
    <row r="41" spans="1:15" ht="17.25" x14ac:dyDescent="0.3">
      <c r="A41" s="307"/>
      <c r="B41" s="307"/>
    </row>
    <row r="42" spans="1:15" ht="17.25" x14ac:dyDescent="0.3">
      <c r="A42" s="307"/>
      <c r="B42" s="307"/>
    </row>
    <row r="43" spans="1:15" ht="17.25" x14ac:dyDescent="0.3">
      <c r="A43" s="307"/>
      <c r="B43" s="307"/>
    </row>
    <row r="44" spans="1:15" ht="17.25" x14ac:dyDescent="0.3">
      <c r="A44" s="307"/>
      <c r="B44" s="307"/>
    </row>
    <row r="45" spans="1:15" ht="17.25" x14ac:dyDescent="0.3">
      <c r="A45" s="307"/>
      <c r="B45" s="307"/>
    </row>
    <row r="46" spans="1:15" ht="17.25" x14ac:dyDescent="0.3">
      <c r="A46" s="307"/>
      <c r="B46" s="307"/>
    </row>
    <row r="47" spans="1:15" ht="17.25" x14ac:dyDescent="0.3">
      <c r="A47" s="307"/>
      <c r="B47" s="307"/>
    </row>
    <row r="48" spans="1:15" ht="17.25" x14ac:dyDescent="0.3">
      <c r="A48" s="307"/>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row r="53" spans="1:2" ht="17.25" x14ac:dyDescent="0.3">
      <c r="A53" s="307"/>
      <c r="B53" s="307"/>
    </row>
  </sheetData>
  <sheetProtection sheet="1" objects="1" scenarios="1" formatCells="0" formatColumns="0"/>
  <phoneticPr fontId="13" type="noConversion"/>
  <printOptions horizontalCentered="1" verticalCentered="1"/>
  <pageMargins left="0.19685039370078741" right="0.19685039370078741" top="0.39370078740157483" bottom="0.39370078740157483" header="0.11811023622047245" footer="0.11811023622047245"/>
  <pageSetup paperSize="9" scale="69" orientation="landscape" horizontalDpi="300" verticalDpi="300" r:id="rId1"/>
  <headerFooter alignWithMargins="0">
    <oddFooter>&amp;A</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Hoja49">
    <tabColor rgb="FF7CC9D0"/>
    <pageSetUpPr fitToPage="1"/>
  </sheetPr>
  <dimension ref="A1:O53"/>
  <sheetViews>
    <sheetView showGridLines="0" workbookViewId="0"/>
  </sheetViews>
  <sheetFormatPr baseColWidth="10" defaultRowHeight="15" x14ac:dyDescent="0.25"/>
  <cols>
    <col min="1" max="1" width="27" style="446" customWidth="1"/>
    <col min="2" max="2" width="11.75" style="446" customWidth="1"/>
    <col min="3" max="3" width="12.125" style="446" customWidth="1"/>
    <col min="4" max="4" width="11.125" style="446" customWidth="1"/>
    <col min="5" max="5" width="12.5" style="446" customWidth="1"/>
    <col min="6" max="6" width="11" style="446"/>
    <col min="7" max="7" width="11.75" style="446" customWidth="1"/>
    <col min="8" max="8" width="12.25" style="446" bestFit="1" customWidth="1"/>
    <col min="9" max="9" width="11.75" style="446" bestFit="1" customWidth="1"/>
    <col min="10" max="10" width="12.125" style="446" customWidth="1"/>
    <col min="11" max="11" width="12.25" style="446" bestFit="1" customWidth="1"/>
    <col min="12" max="12" width="12" style="446" bestFit="1" customWidth="1"/>
    <col min="13" max="13" width="11.625" style="446" bestFit="1" customWidth="1"/>
    <col min="14" max="14" width="12" style="446" bestFit="1" customWidth="1"/>
    <col min="15" max="15" width="12.125" style="305" bestFit="1" customWidth="1"/>
    <col min="16" max="16384" width="11" style="446"/>
  </cols>
  <sheetData>
    <row r="1" spans="1:15" ht="27.75" x14ac:dyDescent="0.45">
      <c r="A1" s="645" t="s">
        <v>450</v>
      </c>
      <c r="B1" s="409"/>
      <c r="C1" s="470">
        <f>'Datos Básicos'!$D$17+1</f>
        <v>2029</v>
      </c>
      <c r="E1" s="450"/>
      <c r="F1" s="398"/>
      <c r="G1" s="646"/>
      <c r="H1" s="450"/>
      <c r="I1" s="398"/>
      <c r="J1" s="646"/>
      <c r="K1" s="398"/>
    </row>
    <row r="2" spans="1:15" ht="27.75" x14ac:dyDescent="0.45">
      <c r="A2" s="408">
        <f>'Datos Básicos'!B8</f>
        <v>0</v>
      </c>
      <c r="B2" s="408"/>
      <c r="D2" s="645"/>
      <c r="F2" s="450"/>
      <c r="G2" s="398"/>
      <c r="H2" s="398"/>
      <c r="I2" s="398"/>
      <c r="J2" s="398"/>
      <c r="K2" s="398"/>
    </row>
    <row r="3" spans="1:15" ht="18" thickBot="1" x14ac:dyDescent="0.35">
      <c r="A3" s="307"/>
      <c r="B3" s="307"/>
    </row>
    <row r="4" spans="1:15" s="445" customFormat="1" ht="18" customHeight="1" thickTop="1" thickBot="1" x14ac:dyDescent="0.3">
      <c r="A4" s="677" t="s">
        <v>847</v>
      </c>
      <c r="B4" s="460"/>
      <c r="C4" s="460" t="str">
        <f>'Datos Gastos Fijos'!D7</f>
        <v>enero</v>
      </c>
      <c r="D4" s="460" t="str">
        <f>'Datos Gastos Fijos'!E7</f>
        <v>febrero</v>
      </c>
      <c r="E4" s="460" t="str">
        <f>'Datos Gastos Fijos'!F7</f>
        <v>marzo</v>
      </c>
      <c r="F4" s="460" t="str">
        <f>'Datos Gastos Fijos'!G7</f>
        <v>abril</v>
      </c>
      <c r="G4" s="460" t="str">
        <f>'Datos Gastos Fijos'!H7</f>
        <v>mayo</v>
      </c>
      <c r="H4" s="460" t="str">
        <f>'Datos Gastos Fijos'!I7</f>
        <v>junio</v>
      </c>
      <c r="I4" s="460" t="str">
        <f>'Datos Gastos Fijos'!J7</f>
        <v>julio</v>
      </c>
      <c r="J4" s="460" t="str">
        <f>'Datos Gastos Fijos'!K7</f>
        <v>agosto</v>
      </c>
      <c r="K4" s="460" t="str">
        <f>'Datos Gastos Fijos'!L7</f>
        <v>septiembre</v>
      </c>
      <c r="L4" s="460" t="str">
        <f>'Datos Gastos Fijos'!M7</f>
        <v>octubre</v>
      </c>
      <c r="M4" s="460" t="str">
        <f>'Datos Gastos Fijos'!N7</f>
        <v>noviembre</v>
      </c>
      <c r="N4" s="460" t="str">
        <f>'Datos Gastos Fijos'!O7</f>
        <v>diciembre</v>
      </c>
      <c r="O4" s="678" t="s">
        <v>860</v>
      </c>
    </row>
    <row r="5" spans="1:15" s="445" customFormat="1" ht="18" customHeight="1" thickBot="1" x14ac:dyDescent="0.3">
      <c r="A5" s="679" t="s">
        <v>980</v>
      </c>
      <c r="B5" s="680"/>
      <c r="C5" s="680"/>
      <c r="D5" s="680"/>
      <c r="E5" s="680"/>
      <c r="F5" s="680"/>
      <c r="G5" s="680"/>
      <c r="H5" s="680"/>
      <c r="I5" s="680"/>
      <c r="J5" s="680"/>
      <c r="K5" s="680"/>
      <c r="L5" s="680"/>
      <c r="M5" s="680"/>
      <c r="N5" s="680"/>
      <c r="O5" s="681"/>
    </row>
    <row r="6" spans="1:15" ht="21" customHeight="1" x14ac:dyDescent="0.25">
      <c r="A6" s="682" t="s">
        <v>876</v>
      </c>
      <c r="B6" s="647"/>
      <c r="C6" s="482">
        <f>'Cobros y pagos 3'!B27</f>
        <v>0</v>
      </c>
      <c r="D6" s="482">
        <f>'Cobros y pagos 3'!C27</f>
        <v>0</v>
      </c>
      <c r="E6" s="482">
        <f>'Cobros y pagos 3'!D27</f>
        <v>0</v>
      </c>
      <c r="F6" s="482">
        <f>'Cobros y pagos 3'!E27</f>
        <v>0</v>
      </c>
      <c r="G6" s="482">
        <f>'Cobros y pagos 3'!F27</f>
        <v>0</v>
      </c>
      <c r="H6" s="482">
        <f>'Cobros y pagos 3'!G27</f>
        <v>0</v>
      </c>
      <c r="I6" s="482">
        <f>'Cobros y pagos 3'!H27</f>
        <v>0</v>
      </c>
      <c r="J6" s="482">
        <f>'Cobros y pagos 3'!I27</f>
        <v>0</v>
      </c>
      <c r="K6" s="482">
        <f>'Cobros y pagos 3'!J27</f>
        <v>0</v>
      </c>
      <c r="L6" s="482">
        <f>'Cobros y pagos 3'!K27</f>
        <v>0</v>
      </c>
      <c r="M6" s="482">
        <f>'Cobros y pagos 3'!L27</f>
        <v>0</v>
      </c>
      <c r="N6" s="482">
        <f>'Cobros y pagos 3'!M27</f>
        <v>0</v>
      </c>
      <c r="O6" s="683">
        <f>SUM(C6:N6)</f>
        <v>0</v>
      </c>
    </row>
    <row r="7" spans="1:15" ht="21" customHeight="1" x14ac:dyDescent="0.25">
      <c r="A7" s="684" t="s">
        <v>877</v>
      </c>
      <c r="B7" s="648"/>
      <c r="C7" s="685">
        <f>'Otros cobros y pagos'!B46</f>
        <v>0</v>
      </c>
      <c r="D7" s="685">
        <f>'Otros cobros y pagos'!C46</f>
        <v>0</v>
      </c>
      <c r="E7" s="685">
        <f>'Otros cobros y pagos'!D46</f>
        <v>0</v>
      </c>
      <c r="F7" s="685">
        <f>'Otros cobros y pagos'!E46</f>
        <v>0</v>
      </c>
      <c r="G7" s="685">
        <f>'Otros cobros y pagos'!F46</f>
        <v>0</v>
      </c>
      <c r="H7" s="685">
        <f>'Otros cobros y pagos'!G46</f>
        <v>0</v>
      </c>
      <c r="I7" s="685">
        <f>'Otros cobros y pagos'!H46
+IF('IRPF Prof y Autónomos'!M26&lt;0,-'IRPF Prof y Autónomos'!M26*'IRPF Prof y Autónomos'!M19,0)</f>
        <v>0</v>
      </c>
      <c r="J7" s="685">
        <f>'Otros cobros y pagos'!I46</f>
        <v>0</v>
      </c>
      <c r="K7" s="685">
        <f>'Otros cobros y pagos'!J46</f>
        <v>0</v>
      </c>
      <c r="L7" s="685">
        <f>'Otros cobros y pagos'!K46</f>
        <v>0</v>
      </c>
      <c r="M7" s="685">
        <f>'Otros cobros y pagos'!L46</f>
        <v>0</v>
      </c>
      <c r="N7" s="685">
        <f>'Otros cobros y pagos'!M46</f>
        <v>0</v>
      </c>
      <c r="O7" s="686">
        <f>SUM(C7:N7)</f>
        <v>0</v>
      </c>
    </row>
    <row r="8" spans="1:15" ht="21" customHeight="1" x14ac:dyDescent="0.25">
      <c r="A8" s="684" t="s">
        <v>9</v>
      </c>
      <c r="B8" s="648"/>
      <c r="C8" s="685">
        <f>-'IVA 3'!C26</f>
        <v>0</v>
      </c>
      <c r="D8" s="685">
        <f>-'IVA 3'!D26</f>
        <v>0</v>
      </c>
      <c r="E8" s="685">
        <f>-'IVA 3'!E26</f>
        <v>0</v>
      </c>
      <c r="F8" s="685">
        <f>-'IVA 3'!F26</f>
        <v>0</v>
      </c>
      <c r="G8" s="685">
        <f>-'IVA 3'!G26</f>
        <v>0</v>
      </c>
      <c r="H8" s="685">
        <f>-'IVA 3'!H26</f>
        <v>0</v>
      </c>
      <c r="I8" s="685">
        <f>-'IVA 3'!I26</f>
        <v>0</v>
      </c>
      <c r="J8" s="685">
        <f>-'IVA 3'!J26</f>
        <v>0</v>
      </c>
      <c r="K8" s="685">
        <f>-'IVA 3'!K26</f>
        <v>0</v>
      </c>
      <c r="L8" s="685">
        <f>-'IVA 3'!L26</f>
        <v>0</v>
      </c>
      <c r="M8" s="685">
        <f>-'IVA 3'!M26</f>
        <v>0</v>
      </c>
      <c r="N8" s="685">
        <f>-'IVA 3'!N26</f>
        <v>0</v>
      </c>
      <c r="O8" s="686">
        <f>SUM(C8:N8)</f>
        <v>0</v>
      </c>
    </row>
    <row r="9" spans="1:15" ht="21" customHeight="1" x14ac:dyDescent="0.25">
      <c r="A9" s="684" t="s">
        <v>1</v>
      </c>
      <c r="B9" s="648"/>
      <c r="C9" s="685">
        <f>'Gastos Financieros'!C74</f>
        <v>0</v>
      </c>
      <c r="D9" s="685">
        <f>'Gastos Financieros'!D74</f>
        <v>0</v>
      </c>
      <c r="E9" s="685">
        <f>'Gastos Financieros'!E74</f>
        <v>0</v>
      </c>
      <c r="F9" s="685">
        <f>'Gastos Financieros'!F74</f>
        <v>0</v>
      </c>
      <c r="G9" s="685">
        <f>'Gastos Financieros'!G74</f>
        <v>0</v>
      </c>
      <c r="H9" s="685">
        <f>'Gastos Financieros'!H74</f>
        <v>0</v>
      </c>
      <c r="I9" s="685">
        <f>'Gastos Financieros'!I74</f>
        <v>0</v>
      </c>
      <c r="J9" s="685">
        <f>'Gastos Financieros'!J74</f>
        <v>0</v>
      </c>
      <c r="K9" s="685">
        <f>'Gastos Financieros'!K74</f>
        <v>0</v>
      </c>
      <c r="L9" s="685">
        <f>'Gastos Financieros'!L74</f>
        <v>0</v>
      </c>
      <c r="M9" s="685">
        <f>'Gastos Financieros'!M74</f>
        <v>0</v>
      </c>
      <c r="N9" s="685">
        <f>'Gastos Financieros'!N74</f>
        <v>0</v>
      </c>
      <c r="O9" s="686">
        <f>SUM(C9:N9)</f>
        <v>0</v>
      </c>
    </row>
    <row r="10" spans="1:15" s="305" customFormat="1" ht="21" customHeight="1" thickBot="1" x14ac:dyDescent="0.3">
      <c r="A10" s="688" t="s">
        <v>984</v>
      </c>
      <c r="B10" s="650"/>
      <c r="C10" s="689">
        <f t="shared" ref="C10:N10" si="0">SUM(C6:C9)</f>
        <v>0</v>
      </c>
      <c r="D10" s="689">
        <f t="shared" si="0"/>
        <v>0</v>
      </c>
      <c r="E10" s="689">
        <f t="shared" si="0"/>
        <v>0</v>
      </c>
      <c r="F10" s="689">
        <f t="shared" si="0"/>
        <v>0</v>
      </c>
      <c r="G10" s="689">
        <f t="shared" si="0"/>
        <v>0</v>
      </c>
      <c r="H10" s="689">
        <f t="shared" si="0"/>
        <v>0</v>
      </c>
      <c r="I10" s="689">
        <f t="shared" si="0"/>
        <v>0</v>
      </c>
      <c r="J10" s="689">
        <f t="shared" si="0"/>
        <v>0</v>
      </c>
      <c r="K10" s="689">
        <f t="shared" si="0"/>
        <v>0</v>
      </c>
      <c r="L10" s="689">
        <f t="shared" si="0"/>
        <v>0</v>
      </c>
      <c r="M10" s="689">
        <f t="shared" si="0"/>
        <v>0</v>
      </c>
      <c r="N10" s="689">
        <f t="shared" si="0"/>
        <v>0</v>
      </c>
      <c r="O10" s="690">
        <f>SUM(C10:N10)</f>
        <v>0</v>
      </c>
    </row>
    <row r="11" spans="1:15" s="305" customFormat="1" ht="9.75" customHeight="1" x14ac:dyDescent="0.25">
      <c r="A11" s="691"/>
      <c r="B11" s="651"/>
      <c r="C11" s="651"/>
      <c r="D11" s="651"/>
      <c r="E11" s="651"/>
      <c r="F11" s="651"/>
      <c r="G11" s="651"/>
      <c r="H11" s="651"/>
      <c r="I11" s="651"/>
      <c r="J11" s="651"/>
      <c r="K11" s="651"/>
      <c r="L11" s="651"/>
      <c r="M11" s="651"/>
      <c r="N11" s="651"/>
      <c r="O11" s="692"/>
    </row>
    <row r="12" spans="1:15" s="305" customFormat="1" ht="21" customHeight="1" thickBot="1" x14ac:dyDescent="0.3">
      <c r="A12" s="679" t="s">
        <v>981</v>
      </c>
      <c r="B12" s="652"/>
      <c r="C12" s="652"/>
      <c r="D12" s="652"/>
      <c r="E12" s="652"/>
      <c r="F12" s="652"/>
      <c r="G12" s="652"/>
      <c r="H12" s="652"/>
      <c r="I12" s="652"/>
      <c r="J12" s="652"/>
      <c r="K12" s="652"/>
      <c r="L12" s="652"/>
      <c r="M12" s="652"/>
      <c r="N12" s="652"/>
      <c r="O12" s="693"/>
    </row>
    <row r="13" spans="1:15" s="305" customFormat="1" ht="21" customHeight="1" x14ac:dyDescent="0.25">
      <c r="A13" s="682" t="s">
        <v>264</v>
      </c>
      <c r="B13" s="647"/>
      <c r="C13" s="482">
        <f>'G.F. 3'!C48+'G.F. 3'!C50</f>
        <v>1579.3389440000001</v>
      </c>
      <c r="D13" s="482">
        <f>'G.F. 3'!D48+'G.F. 3'!D50</f>
        <v>1579.3389440000001</v>
      </c>
      <c r="E13" s="482">
        <f>'G.F. 3'!E48+'G.F. 3'!E50</f>
        <v>1579.3389440000001</v>
      </c>
      <c r="F13" s="482">
        <f>'G.F. 3'!F48+'G.F. 3'!F50</f>
        <v>1579.3389440000001</v>
      </c>
      <c r="G13" s="482">
        <f>'G.F. 3'!G48+'G.F. 3'!G50</f>
        <v>1579.3389440000001</v>
      </c>
      <c r="H13" s="482">
        <f>'G.F. 3'!H48+'G.F. 3'!H50</f>
        <v>1579.3389440000001</v>
      </c>
      <c r="I13" s="482">
        <f>'G.F. 3'!I48+'G.F. 3'!I50</f>
        <v>1579.3389440000001</v>
      </c>
      <c r="J13" s="482">
        <f>'G.F. 3'!J48+'G.F. 3'!J50</f>
        <v>1579.3389440000001</v>
      </c>
      <c r="K13" s="482">
        <f>'G.F. 3'!K48+'G.F. 3'!K50</f>
        <v>1579.3389440000001</v>
      </c>
      <c r="L13" s="482">
        <f>'G.F. 3'!L48+'G.F. 3'!L50</f>
        <v>1579.3389440000001</v>
      </c>
      <c r="M13" s="482">
        <f>'G.F. 3'!M48+'G.F. 3'!M50</f>
        <v>1579.3389440000001</v>
      </c>
      <c r="N13" s="482">
        <f>'G.F. 3'!N48+'G.F. 3'!N50</f>
        <v>1579.3389440000001</v>
      </c>
      <c r="O13" s="683">
        <f>SUM(C13:N13)</f>
        <v>18952.067327999997</v>
      </c>
    </row>
    <row r="14" spans="1:15" ht="21" customHeight="1" x14ac:dyDescent="0.25">
      <c r="A14" s="684" t="s">
        <v>263</v>
      </c>
      <c r="B14" s="648"/>
      <c r="C14" s="685">
        <f>'Cobros y pagos 3'!B53</f>
        <v>0</v>
      </c>
      <c r="D14" s="685">
        <f>'Cobros y pagos 3'!C53</f>
        <v>0</v>
      </c>
      <c r="E14" s="685">
        <f>'Cobros y pagos 3'!D53</f>
        <v>0</v>
      </c>
      <c r="F14" s="685">
        <f>'Cobros y pagos 3'!E53</f>
        <v>0</v>
      </c>
      <c r="G14" s="685">
        <f>'Cobros y pagos 3'!F53</f>
        <v>0</v>
      </c>
      <c r="H14" s="685">
        <f>'Cobros y pagos 3'!G53</f>
        <v>0</v>
      </c>
      <c r="I14" s="685">
        <f>'Cobros y pagos 3'!H53</f>
        <v>0</v>
      </c>
      <c r="J14" s="685">
        <f>'Cobros y pagos 3'!I53</f>
        <v>0</v>
      </c>
      <c r="K14" s="685">
        <f>'Cobros y pagos 3'!J53</f>
        <v>0</v>
      </c>
      <c r="L14" s="685">
        <f>'Cobros y pagos 3'!K53</f>
        <v>0</v>
      </c>
      <c r="M14" s="685">
        <f>'Cobros y pagos 3'!L53</f>
        <v>0</v>
      </c>
      <c r="N14" s="685">
        <f>'Cobros y pagos 3'!M53</f>
        <v>0</v>
      </c>
      <c r="O14" s="686">
        <f>SUM(C14:N14)</f>
        <v>0</v>
      </c>
    </row>
    <row r="15" spans="1:15" ht="21" customHeight="1" x14ac:dyDescent="0.25">
      <c r="A15" s="684" t="s">
        <v>1047</v>
      </c>
      <c r="B15" s="648"/>
      <c r="C15" s="685">
        <f>'Gastos Financieros'!C42</f>
        <v>338.82591668870754</v>
      </c>
      <c r="D15" s="685">
        <f>'Gastos Financieros'!D42</f>
        <v>350.01521170939168</v>
      </c>
      <c r="E15" s="685">
        <f>'Gastos Financieros'!E42</f>
        <v>361.26977761769643</v>
      </c>
      <c r="F15" s="685">
        <f>'Gastos Financieros'!F42</f>
        <v>372.58999516046634</v>
      </c>
      <c r="G15" s="685">
        <f>'Gastos Financieros'!G42</f>
        <v>383.97624730556913</v>
      </c>
      <c r="H15" s="685">
        <f>'Gastos Financieros'!H42</f>
        <v>395.42891925485156</v>
      </c>
      <c r="I15" s="685">
        <f>'Gastos Financieros'!I42</f>
        <v>406.94839845717149</v>
      </c>
      <c r="J15" s="685">
        <f>'Gastos Financieros'!J42</f>
        <v>418.53507462150503</v>
      </c>
      <c r="K15" s="685">
        <f>'Gastos Financieros'!K42</f>
        <v>430.18933973013043</v>
      </c>
      <c r="L15" s="685">
        <f>'Gastos Financieros'!L42</f>
        <v>441.91158805188957</v>
      </c>
      <c r="M15" s="685">
        <f>'Gastos Financieros'!M42</f>
        <v>453.70221615552555</v>
      </c>
      <c r="N15" s="685">
        <f>'Gastos Financieros'!N42</f>
        <v>465.56162292309943</v>
      </c>
      <c r="O15" s="686">
        <f>SUM(C15:N15)</f>
        <v>4818.9543076760046</v>
      </c>
    </row>
    <row r="16" spans="1:15" ht="21" customHeight="1" x14ac:dyDescent="0.25">
      <c r="A16" s="684" t="s">
        <v>839</v>
      </c>
      <c r="B16" s="648"/>
      <c r="C16" s="685">
        <f>Leasing!B44+Renting!B46</f>
        <v>0</v>
      </c>
      <c r="D16" s="685">
        <f>Leasing!C44+Renting!C46</f>
        <v>0</v>
      </c>
      <c r="E16" s="685">
        <f>Leasing!D44+Renting!D46</f>
        <v>0</v>
      </c>
      <c r="F16" s="685">
        <f>Leasing!E44+Renting!E46</f>
        <v>0</v>
      </c>
      <c r="G16" s="685">
        <f>Leasing!F44+Renting!F46</f>
        <v>0</v>
      </c>
      <c r="H16" s="685">
        <f>Leasing!G44+Renting!G46</f>
        <v>0</v>
      </c>
      <c r="I16" s="685">
        <f>Leasing!H44+Renting!H46</f>
        <v>0</v>
      </c>
      <c r="J16" s="685">
        <f>Leasing!I44+Renting!I46</f>
        <v>0</v>
      </c>
      <c r="K16" s="685">
        <f>Leasing!J44+Renting!J46</f>
        <v>0</v>
      </c>
      <c r="L16" s="685">
        <f>Leasing!K44+Renting!K46</f>
        <v>0</v>
      </c>
      <c r="M16" s="685">
        <f>Leasing!L44+Renting!L46</f>
        <v>0</v>
      </c>
      <c r="N16" s="685">
        <f>Leasing!M44+Renting!M46</f>
        <v>0</v>
      </c>
      <c r="O16" s="686">
        <f>SUM(C16:N16)</f>
        <v>0</v>
      </c>
    </row>
    <row r="17" spans="1:15" ht="9.75" customHeight="1" x14ac:dyDescent="0.25">
      <c r="A17" s="694"/>
      <c r="B17" s="653"/>
      <c r="C17" s="653"/>
      <c r="D17" s="653"/>
      <c r="E17" s="653"/>
      <c r="F17" s="653"/>
      <c r="G17" s="653"/>
      <c r="H17" s="653"/>
      <c r="I17" s="653"/>
      <c r="J17" s="653"/>
      <c r="K17" s="653"/>
      <c r="L17" s="653"/>
      <c r="M17" s="653"/>
      <c r="N17" s="653"/>
      <c r="O17" s="695"/>
    </row>
    <row r="18" spans="1:15" ht="21" customHeight="1" x14ac:dyDescent="0.25">
      <c r="A18" s="696" t="s">
        <v>987</v>
      </c>
      <c r="B18" s="654"/>
      <c r="C18" s="654"/>
      <c r="D18" s="654"/>
      <c r="E18" s="654"/>
      <c r="F18" s="654"/>
      <c r="G18" s="654"/>
      <c r="H18" s="654"/>
      <c r="I18" s="654"/>
      <c r="J18" s="654"/>
      <c r="K18" s="654"/>
      <c r="L18" s="654"/>
      <c r="M18" s="654"/>
      <c r="N18" s="654"/>
      <c r="O18" s="697"/>
    </row>
    <row r="19" spans="1:15" ht="21" customHeight="1" x14ac:dyDescent="0.25">
      <c r="A19" s="684" t="s">
        <v>837</v>
      </c>
      <c r="B19" s="648"/>
      <c r="C19" s="685">
        <f>Préstamos!B38+Leasing!B43</f>
        <v>0</v>
      </c>
      <c r="D19" s="685">
        <f>Préstamos!C38+Leasing!C43</f>
        <v>0</v>
      </c>
      <c r="E19" s="685">
        <f>Préstamos!D38+Leasing!D43</f>
        <v>0</v>
      </c>
      <c r="F19" s="685">
        <f>Préstamos!E38+Leasing!E43</f>
        <v>0</v>
      </c>
      <c r="G19" s="685">
        <f>Préstamos!F38+Leasing!F43</f>
        <v>0</v>
      </c>
      <c r="H19" s="685">
        <f>Préstamos!G38+Leasing!G43</f>
        <v>0</v>
      </c>
      <c r="I19" s="685">
        <f>Préstamos!H38+Leasing!H43</f>
        <v>0</v>
      </c>
      <c r="J19" s="685">
        <f>Préstamos!I38+Leasing!I43</f>
        <v>0</v>
      </c>
      <c r="K19" s="685">
        <f>Préstamos!J38+Leasing!J43</f>
        <v>0</v>
      </c>
      <c r="L19" s="685">
        <f>Préstamos!K38+Leasing!K43</f>
        <v>0</v>
      </c>
      <c r="M19" s="685">
        <f>Préstamos!L38+Leasing!L43</f>
        <v>0</v>
      </c>
      <c r="N19" s="685">
        <f>Préstamos!M38+Leasing!M43</f>
        <v>0</v>
      </c>
      <c r="O19" s="686">
        <f>SUM(C19:N19)</f>
        <v>0</v>
      </c>
    </row>
    <row r="20" spans="1:15" ht="21" customHeight="1" x14ac:dyDescent="0.25">
      <c r="A20" s="684" t="s">
        <v>1006</v>
      </c>
      <c r="B20" s="648"/>
      <c r="C20" s="685">
        <f>'Otros cobros y pagos'!B103</f>
        <v>0</v>
      </c>
      <c r="D20" s="685">
        <f>'Otros cobros y pagos'!C103</f>
        <v>0</v>
      </c>
      <c r="E20" s="685">
        <f>'Otros cobros y pagos'!D103</f>
        <v>0</v>
      </c>
      <c r="F20" s="685">
        <f>'Otros cobros y pagos'!E103</f>
        <v>0</v>
      </c>
      <c r="G20" s="685">
        <f>'Otros cobros y pagos'!F103</f>
        <v>0</v>
      </c>
      <c r="H20" s="685">
        <f>'Otros cobros y pagos'!G103</f>
        <v>0</v>
      </c>
      <c r="I20" s="685">
        <f>'Otros cobros y pagos'!H103</f>
        <v>0</v>
      </c>
      <c r="J20" s="685">
        <f>'Otros cobros y pagos'!I103</f>
        <v>0</v>
      </c>
      <c r="K20" s="685">
        <f>'Otros cobros y pagos'!J103</f>
        <v>0</v>
      </c>
      <c r="L20" s="685">
        <f>'Otros cobros y pagos'!K103</f>
        <v>0</v>
      </c>
      <c r="M20" s="685">
        <f>'Otros cobros y pagos'!L103</f>
        <v>0</v>
      </c>
      <c r="N20" s="685">
        <f>'Otros cobros y pagos'!M103</f>
        <v>0</v>
      </c>
      <c r="O20" s="686">
        <f>SUM(C20:N20)</f>
        <v>0</v>
      </c>
    </row>
    <row r="21" spans="1:15" ht="21" customHeight="1" x14ac:dyDescent="0.25">
      <c r="A21" s="684" t="s">
        <v>993</v>
      </c>
      <c r="B21" s="648"/>
      <c r="C21" s="685">
        <f>'IVA 3'!C24</f>
        <v>0</v>
      </c>
      <c r="D21" s="685">
        <f>'IVA 3'!D24</f>
        <v>0</v>
      </c>
      <c r="E21" s="685">
        <f>'IVA 3'!E24</f>
        <v>0</v>
      </c>
      <c r="F21" s="685">
        <f>'IVA 3'!F24</f>
        <v>0</v>
      </c>
      <c r="G21" s="685">
        <f>'IVA 3'!G24</f>
        <v>0</v>
      </c>
      <c r="H21" s="685">
        <f>'IVA 3'!H24</f>
        <v>0</v>
      </c>
      <c r="I21" s="685">
        <f>'IVA 3'!I24</f>
        <v>0</v>
      </c>
      <c r="J21" s="685">
        <f>'IVA 3'!J24</f>
        <v>0</v>
      </c>
      <c r="K21" s="685">
        <f>'IVA 3'!K24</f>
        <v>0</v>
      </c>
      <c r="L21" s="685">
        <f>'IVA 3'!L24</f>
        <v>0</v>
      </c>
      <c r="M21" s="685">
        <f>'IVA 3'!M24</f>
        <v>0</v>
      </c>
      <c r="N21" s="685">
        <f>'IVA 3'!N24</f>
        <v>0</v>
      </c>
      <c r="O21" s="686">
        <f>SUM(C21:N21)</f>
        <v>0</v>
      </c>
    </row>
    <row r="22" spans="1:15" ht="21" customHeight="1" x14ac:dyDescent="0.25">
      <c r="A22" s="684" t="s">
        <v>111</v>
      </c>
      <c r="B22" s="648"/>
      <c r="C22" s="685">
        <f>'Ret IRPF'!N31</f>
        <v>0</v>
      </c>
      <c r="D22" s="685"/>
      <c r="E22" s="685"/>
      <c r="F22" s="685">
        <f>Imp.Sociedades!J14+'Ret IRPF'!E40</f>
        <v>0</v>
      </c>
      <c r="G22" s="685"/>
      <c r="H22" s="685">
        <f>IF('IRPF Prof y Autónomos'!M26&lt;0,0,'IRPF Prof y Autónomos'!M26*'IRPF Prof y Autónomos'!M19)</f>
        <v>0</v>
      </c>
      <c r="I22" s="685">
        <f>IF(Imp.Sociedades!G20&gt;0,Imp.Sociedades!G20,0)+'Ret IRPF'!H40</f>
        <v>0</v>
      </c>
      <c r="J22" s="685"/>
      <c r="K22" s="685"/>
      <c r="L22" s="685">
        <f>Imp.Sociedades!J15+'Ret IRPF'!K40</f>
        <v>0</v>
      </c>
      <c r="M22" s="685"/>
      <c r="N22" s="685">
        <f>Imp.Sociedades!J16</f>
        <v>0</v>
      </c>
      <c r="O22" s="686">
        <f>SUM(C22:N22)</f>
        <v>0</v>
      </c>
    </row>
    <row r="23" spans="1:15" s="305" customFormat="1" ht="21" customHeight="1" thickBot="1" x14ac:dyDescent="0.3">
      <c r="A23" s="688" t="s">
        <v>266</v>
      </c>
      <c r="B23" s="650"/>
      <c r="C23" s="698">
        <f t="shared" ref="C23:O23" si="1">SUM(C13:C22)</f>
        <v>1918.1648606887077</v>
      </c>
      <c r="D23" s="698">
        <f t="shared" si="1"/>
        <v>1929.3541557093918</v>
      </c>
      <c r="E23" s="698">
        <f t="shared" si="1"/>
        <v>1940.6087216176966</v>
      </c>
      <c r="F23" s="698">
        <f t="shared" si="1"/>
        <v>1951.9289391604664</v>
      </c>
      <c r="G23" s="698">
        <f t="shared" si="1"/>
        <v>1963.3151913055692</v>
      </c>
      <c r="H23" s="698">
        <f t="shared" si="1"/>
        <v>1974.7678632548516</v>
      </c>
      <c r="I23" s="698">
        <f t="shared" si="1"/>
        <v>1986.2873424571717</v>
      </c>
      <c r="J23" s="698">
        <f t="shared" si="1"/>
        <v>1997.874018621505</v>
      </c>
      <c r="K23" s="698">
        <f t="shared" si="1"/>
        <v>2009.5282837301306</v>
      </c>
      <c r="L23" s="698">
        <f t="shared" si="1"/>
        <v>2021.2505320518896</v>
      </c>
      <c r="M23" s="698">
        <f t="shared" si="1"/>
        <v>2033.0411601555256</v>
      </c>
      <c r="N23" s="698">
        <f t="shared" si="1"/>
        <v>2044.9005669230996</v>
      </c>
      <c r="O23" s="690">
        <f t="shared" si="1"/>
        <v>23771.021635676003</v>
      </c>
    </row>
    <row r="24" spans="1:15" s="305" customFormat="1" ht="21" customHeight="1" thickBot="1" x14ac:dyDescent="0.3">
      <c r="A24" s="691"/>
      <c r="B24" s="657"/>
      <c r="C24" s="657"/>
      <c r="D24" s="657"/>
      <c r="E24" s="657"/>
      <c r="F24" s="657"/>
      <c r="G24" s="657"/>
      <c r="H24" s="657"/>
      <c r="I24" s="657"/>
      <c r="J24" s="657"/>
      <c r="K24" s="657"/>
      <c r="L24" s="657"/>
      <c r="M24" s="657"/>
      <c r="N24" s="657"/>
      <c r="O24" s="699"/>
    </row>
    <row r="25" spans="1:15" s="305" customFormat="1" ht="21" customHeight="1" thickBot="1" x14ac:dyDescent="0.3">
      <c r="A25" s="700" t="s">
        <v>983</v>
      </c>
      <c r="B25" s="656"/>
      <c r="C25" s="701">
        <f t="shared" ref="C25:O25" si="2">C10-C23</f>
        <v>-1918.1648606887077</v>
      </c>
      <c r="D25" s="701">
        <f t="shared" si="2"/>
        <v>-1929.3541557093918</v>
      </c>
      <c r="E25" s="701">
        <f t="shared" si="2"/>
        <v>-1940.6087216176966</v>
      </c>
      <c r="F25" s="701">
        <f t="shared" si="2"/>
        <v>-1951.9289391604664</v>
      </c>
      <c r="G25" s="701">
        <f t="shared" si="2"/>
        <v>-1963.3151913055692</v>
      </c>
      <c r="H25" s="701">
        <f t="shared" si="2"/>
        <v>-1974.7678632548516</v>
      </c>
      <c r="I25" s="701">
        <f t="shared" si="2"/>
        <v>-1986.2873424571717</v>
      </c>
      <c r="J25" s="701">
        <f t="shared" si="2"/>
        <v>-1997.874018621505</v>
      </c>
      <c r="K25" s="701">
        <f t="shared" si="2"/>
        <v>-2009.5282837301306</v>
      </c>
      <c r="L25" s="701">
        <f t="shared" si="2"/>
        <v>-2021.2505320518896</v>
      </c>
      <c r="M25" s="701">
        <f t="shared" si="2"/>
        <v>-2033.0411601555256</v>
      </c>
      <c r="N25" s="701">
        <f t="shared" si="2"/>
        <v>-2044.9005669230996</v>
      </c>
      <c r="O25" s="702">
        <f t="shared" si="2"/>
        <v>-23771.021635676003</v>
      </c>
    </row>
    <row r="26" spans="1:15" s="305" customFormat="1" ht="21" customHeight="1" thickBot="1" x14ac:dyDescent="0.3">
      <c r="A26" s="703"/>
      <c r="B26" s="655"/>
      <c r="C26" s="704"/>
      <c r="D26" s="704"/>
      <c r="E26" s="704"/>
      <c r="F26" s="704"/>
      <c r="G26" s="704"/>
      <c r="H26" s="704"/>
      <c r="I26" s="704"/>
      <c r="J26" s="704"/>
      <c r="K26" s="704"/>
      <c r="L26" s="704"/>
      <c r="M26" s="704"/>
      <c r="N26" s="704"/>
      <c r="O26" s="705"/>
    </row>
    <row r="27" spans="1:15" s="305" customFormat="1" ht="21" customHeight="1" thickBot="1" x14ac:dyDescent="0.3">
      <c r="A27" s="706" t="s">
        <v>1008</v>
      </c>
      <c r="B27" s="707">
        <f>'Tesorería 2'!N27</f>
        <v>58084.442860921285</v>
      </c>
      <c r="C27" s="708">
        <f t="shared" ref="C27:N27" si="3">IF(B29+C25-B27&gt;tesoreriasec,0,B27-B29-C25+tesoreriasec)</f>
        <v>60002.607721609995</v>
      </c>
      <c r="D27" s="709">
        <f t="shared" si="3"/>
        <v>61931.961877319387</v>
      </c>
      <c r="E27" s="709">
        <f t="shared" si="3"/>
        <v>63872.570598937084</v>
      </c>
      <c r="F27" s="709">
        <f t="shared" si="3"/>
        <v>65824.49953809756</v>
      </c>
      <c r="G27" s="709">
        <f t="shared" si="3"/>
        <v>67787.814729403122</v>
      </c>
      <c r="H27" s="709">
        <f t="shared" si="3"/>
        <v>69762.582592657971</v>
      </c>
      <c r="I27" s="709">
        <f t="shared" si="3"/>
        <v>71748.869935115144</v>
      </c>
      <c r="J27" s="709">
        <f t="shared" si="3"/>
        <v>73746.743953736644</v>
      </c>
      <c r="K27" s="709">
        <f t="shared" si="3"/>
        <v>75756.272237466779</v>
      </c>
      <c r="L27" s="709">
        <f t="shared" si="3"/>
        <v>77777.522769518662</v>
      </c>
      <c r="M27" s="709">
        <f t="shared" si="3"/>
        <v>79810.563929674187</v>
      </c>
      <c r="N27" s="709">
        <f t="shared" si="3"/>
        <v>81855.464496597284</v>
      </c>
      <c r="O27" s="710"/>
    </row>
    <row r="28" spans="1:15" s="305" customFormat="1" ht="21" customHeight="1" thickBot="1" x14ac:dyDescent="0.3">
      <c r="A28" s="703"/>
      <c r="B28" s="656"/>
      <c r="C28" s="657"/>
      <c r="D28" s="657"/>
      <c r="E28" s="657"/>
      <c r="F28" s="657"/>
      <c r="G28" s="657"/>
      <c r="H28" s="657"/>
      <c r="I28" s="657"/>
      <c r="J28" s="657"/>
      <c r="K28" s="657"/>
      <c r="L28" s="657"/>
      <c r="M28" s="657"/>
      <c r="N28" s="657"/>
      <c r="O28" s="699"/>
    </row>
    <row r="29" spans="1:15" s="658" customFormat="1" ht="21" customHeight="1" thickBot="1" x14ac:dyDescent="0.3">
      <c r="A29" s="1019" t="s">
        <v>982</v>
      </c>
      <c r="B29" s="1018">
        <f>'Tesorería 2'!N29</f>
        <v>2000</v>
      </c>
      <c r="C29" s="1020">
        <f t="shared" ref="C29:N29" si="4">B29+C25+C27-B27</f>
        <v>2000</v>
      </c>
      <c r="D29" s="1021">
        <f t="shared" si="4"/>
        <v>2000</v>
      </c>
      <c r="E29" s="1021">
        <f t="shared" si="4"/>
        <v>2000</v>
      </c>
      <c r="F29" s="1021">
        <f t="shared" si="4"/>
        <v>2000.0000000000073</v>
      </c>
      <c r="G29" s="1021">
        <f t="shared" si="4"/>
        <v>2000</v>
      </c>
      <c r="H29" s="1021">
        <f t="shared" si="4"/>
        <v>2000</v>
      </c>
      <c r="I29" s="1021">
        <f t="shared" si="4"/>
        <v>2000</v>
      </c>
      <c r="J29" s="1021">
        <f t="shared" si="4"/>
        <v>2000</v>
      </c>
      <c r="K29" s="1021">
        <f t="shared" si="4"/>
        <v>2000</v>
      </c>
      <c r="L29" s="1021">
        <f t="shared" si="4"/>
        <v>2000</v>
      </c>
      <c r="M29" s="1021">
        <f t="shared" si="4"/>
        <v>2000</v>
      </c>
      <c r="N29" s="1021">
        <f t="shared" si="4"/>
        <v>2000</v>
      </c>
      <c r="O29" s="1022"/>
    </row>
    <row r="30" spans="1:15" ht="15.75" thickTop="1" x14ac:dyDescent="0.25">
      <c r="A30" s="386"/>
      <c r="B30" s="386"/>
    </row>
    <row r="31" spans="1:15" x14ac:dyDescent="0.25">
      <c r="A31" s="386"/>
      <c r="B31" s="386"/>
    </row>
    <row r="32" spans="1:15" s="483" customFormat="1" ht="21" customHeight="1" x14ac:dyDescent="0.25">
      <c r="A32" s="712"/>
      <c r="B32" s="659" t="s">
        <v>66</v>
      </c>
      <c r="C32" s="660">
        <f>MAX(C27:N27)</f>
        <v>81855.464496597284</v>
      </c>
      <c r="D32" s="717" t="str">
        <f>IF(C32&lt;&gt;0,INDEX(C4:N4,1,MATCH(C32,C27:N27,0)),"")</f>
        <v>diciembre</v>
      </c>
      <c r="O32" s="658"/>
    </row>
    <row r="33" spans="1:15" s="483" customFormat="1" ht="18.75" customHeight="1" x14ac:dyDescent="0.25">
      <c r="A33" s="712"/>
      <c r="B33" s="659" t="s">
        <v>193</v>
      </c>
      <c r="C33" s="660">
        <f>N29-B29+B27-N27</f>
        <v>-23771.021635675999</v>
      </c>
      <c r="D33" s="715"/>
      <c r="O33" s="658"/>
    </row>
    <row r="34" spans="1:15" s="483" customFormat="1" ht="21" customHeight="1" x14ac:dyDescent="0.25">
      <c r="A34" s="712"/>
      <c r="B34" s="659" t="s">
        <v>307</v>
      </c>
      <c r="C34" s="660">
        <f>MAX(C29:N29)</f>
        <v>2000.0000000000073</v>
      </c>
      <c r="D34" s="717" t="str">
        <f>INDEX(C4:N4,1,MATCH(C34,C29:N29,0))</f>
        <v>abril</v>
      </c>
      <c r="O34" s="658"/>
    </row>
    <row r="35" spans="1:15" ht="18" customHeight="1" x14ac:dyDescent="0.25">
      <c r="A35" s="386"/>
      <c r="B35" s="386"/>
    </row>
    <row r="36" spans="1:15" x14ac:dyDescent="0.25">
      <c r="A36" s="386"/>
      <c r="B36" s="386"/>
    </row>
    <row r="37" spans="1:15" ht="17.25" x14ac:dyDescent="0.3">
      <c r="A37" s="307"/>
      <c r="B37" s="307"/>
    </row>
    <row r="38" spans="1:15" ht="17.25" x14ac:dyDescent="0.3">
      <c r="A38" s="307"/>
      <c r="B38" s="307"/>
    </row>
    <row r="39" spans="1:15" ht="17.25" x14ac:dyDescent="0.3">
      <c r="A39" s="307"/>
      <c r="B39" s="307"/>
    </row>
    <row r="40" spans="1:15" ht="17.25" x14ac:dyDescent="0.3">
      <c r="A40" s="307"/>
      <c r="B40" s="307"/>
    </row>
    <row r="41" spans="1:15" ht="17.25" x14ac:dyDescent="0.3">
      <c r="A41" s="307"/>
      <c r="B41" s="307"/>
    </row>
    <row r="42" spans="1:15" ht="17.25" x14ac:dyDescent="0.3">
      <c r="A42" s="307"/>
      <c r="B42" s="307"/>
    </row>
    <row r="43" spans="1:15" ht="17.25" x14ac:dyDescent="0.3">
      <c r="A43" s="307"/>
      <c r="B43" s="307"/>
    </row>
    <row r="44" spans="1:15" ht="17.25" x14ac:dyDescent="0.3">
      <c r="A44" s="307"/>
      <c r="B44" s="307"/>
    </row>
    <row r="45" spans="1:15" ht="17.25" x14ac:dyDescent="0.3">
      <c r="A45" s="307"/>
      <c r="B45" s="307"/>
    </row>
    <row r="46" spans="1:15" ht="17.25" x14ac:dyDescent="0.3">
      <c r="A46" s="307"/>
      <c r="B46" s="307"/>
    </row>
    <row r="47" spans="1:15" ht="17.25" x14ac:dyDescent="0.3">
      <c r="A47" s="307"/>
      <c r="B47" s="307"/>
    </row>
    <row r="48" spans="1:15" ht="17.25" x14ac:dyDescent="0.3">
      <c r="A48" s="307"/>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row r="53" spans="1:2" ht="17.25" x14ac:dyDescent="0.3">
      <c r="A53" s="307"/>
      <c r="B53" s="307"/>
    </row>
  </sheetData>
  <sheetProtection sheet="1" objects="1" scenarios="1" formatCells="0" formatColumns="0"/>
  <phoneticPr fontId="13" type="noConversion"/>
  <printOptions horizontalCentered="1" verticalCentered="1"/>
  <pageMargins left="0.19685039370078741" right="0.19685039370078741" top="0.39370078740157483" bottom="0.39370078740157483" header="0.11811023622047245" footer="0.11811023622047245"/>
  <pageSetup paperSize="9" scale="69" orientation="landscape" horizontalDpi="300" verticalDpi="300" r:id="rId1"/>
  <headerFooter alignWithMargins="0">
    <oddFooter>&amp;A</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Hoja50">
    <tabColor rgb="FF7CC9D0"/>
    <pageSetUpPr fitToPage="1"/>
  </sheetPr>
  <dimension ref="A1:O53"/>
  <sheetViews>
    <sheetView showGridLines="0" workbookViewId="0"/>
  </sheetViews>
  <sheetFormatPr baseColWidth="10" defaultRowHeight="15" x14ac:dyDescent="0.25"/>
  <cols>
    <col min="1" max="1" width="27" style="446" customWidth="1"/>
    <col min="2" max="2" width="11.75" style="446" customWidth="1"/>
    <col min="3" max="3" width="12.125" style="446" customWidth="1"/>
    <col min="4" max="4" width="11.125" style="446" customWidth="1"/>
    <col min="5" max="5" width="12.5" style="446" customWidth="1"/>
    <col min="6" max="6" width="11" style="446"/>
    <col min="7" max="7" width="11.75" style="446" customWidth="1"/>
    <col min="8" max="8" width="12.25" style="446" bestFit="1" customWidth="1"/>
    <col min="9" max="9" width="11.75" style="446" bestFit="1" customWidth="1"/>
    <col min="10" max="10" width="12.125" style="446" customWidth="1"/>
    <col min="11" max="11" width="12.25" style="446" bestFit="1" customWidth="1"/>
    <col min="12" max="12" width="12" style="446" bestFit="1" customWidth="1"/>
    <col min="13" max="13" width="11.625" style="446" bestFit="1" customWidth="1"/>
    <col min="14" max="14" width="12" style="446" bestFit="1" customWidth="1"/>
    <col min="15" max="15" width="12.125" style="305" bestFit="1" customWidth="1"/>
    <col min="16" max="16384" width="11" style="446"/>
  </cols>
  <sheetData>
    <row r="1" spans="1:15" ht="27.75" x14ac:dyDescent="0.45">
      <c r="A1" s="645" t="s">
        <v>450</v>
      </c>
      <c r="B1" s="409"/>
      <c r="C1" s="470">
        <f>'Datos Básicos'!$D$17+2</f>
        <v>2030</v>
      </c>
      <c r="E1" s="450"/>
      <c r="F1" s="398"/>
      <c r="G1" s="646"/>
      <c r="H1" s="450"/>
      <c r="I1" s="398"/>
      <c r="J1" s="646"/>
      <c r="K1" s="398"/>
    </row>
    <row r="2" spans="1:15" ht="27.75" x14ac:dyDescent="0.45">
      <c r="A2" s="408">
        <f>'Datos Básicos'!B8</f>
        <v>0</v>
      </c>
      <c r="B2" s="408"/>
      <c r="D2" s="645"/>
      <c r="F2" s="450"/>
      <c r="G2" s="398"/>
      <c r="H2" s="398"/>
      <c r="I2" s="398"/>
      <c r="J2" s="398"/>
      <c r="K2" s="398"/>
    </row>
    <row r="3" spans="1:15" ht="18" thickBot="1" x14ac:dyDescent="0.35">
      <c r="A3" s="307"/>
      <c r="B3" s="307"/>
    </row>
    <row r="4" spans="1:15" s="445" customFormat="1" ht="18" customHeight="1" thickTop="1" thickBot="1" x14ac:dyDescent="0.3">
      <c r="A4" s="677" t="s">
        <v>847</v>
      </c>
      <c r="B4" s="460"/>
      <c r="C4" s="460" t="str">
        <f>'Datos Gastos Fijos'!D7</f>
        <v>enero</v>
      </c>
      <c r="D4" s="460" t="str">
        <f>'Datos Gastos Fijos'!E7</f>
        <v>febrero</v>
      </c>
      <c r="E4" s="460" t="str">
        <f>'Datos Gastos Fijos'!F7</f>
        <v>marzo</v>
      </c>
      <c r="F4" s="460" t="str">
        <f>'Datos Gastos Fijos'!G7</f>
        <v>abril</v>
      </c>
      <c r="G4" s="460" t="str">
        <f>'Datos Gastos Fijos'!H7</f>
        <v>mayo</v>
      </c>
      <c r="H4" s="460" t="str">
        <f>'Datos Gastos Fijos'!I7</f>
        <v>junio</v>
      </c>
      <c r="I4" s="460" t="str">
        <f>'Datos Gastos Fijos'!J7</f>
        <v>julio</v>
      </c>
      <c r="J4" s="460" t="str">
        <f>'Datos Gastos Fijos'!K7</f>
        <v>agosto</v>
      </c>
      <c r="K4" s="460" t="str">
        <f>'Datos Gastos Fijos'!L7</f>
        <v>septiembre</v>
      </c>
      <c r="L4" s="460" t="str">
        <f>'Datos Gastos Fijos'!M7</f>
        <v>octubre</v>
      </c>
      <c r="M4" s="460" t="str">
        <f>'Datos Gastos Fijos'!N7</f>
        <v>noviembre</v>
      </c>
      <c r="N4" s="460" t="str">
        <f>'Datos Gastos Fijos'!O7</f>
        <v>diciembre</v>
      </c>
      <c r="O4" s="678" t="s">
        <v>860</v>
      </c>
    </row>
    <row r="5" spans="1:15" s="445" customFormat="1" ht="18" customHeight="1" thickBot="1" x14ac:dyDescent="0.3">
      <c r="A5" s="679" t="s">
        <v>980</v>
      </c>
      <c r="B5" s="680"/>
      <c r="C5" s="680"/>
      <c r="D5" s="680"/>
      <c r="E5" s="680"/>
      <c r="F5" s="680"/>
      <c r="G5" s="680"/>
      <c r="H5" s="680"/>
      <c r="I5" s="680"/>
      <c r="J5" s="680"/>
      <c r="K5" s="680"/>
      <c r="L5" s="680"/>
      <c r="M5" s="680"/>
      <c r="N5" s="680"/>
      <c r="O5" s="681"/>
    </row>
    <row r="6" spans="1:15" ht="21" customHeight="1" x14ac:dyDescent="0.25">
      <c r="A6" s="682" t="s">
        <v>876</v>
      </c>
      <c r="B6" s="647"/>
      <c r="C6" s="482">
        <f>'Cobros y pagos 4'!B27</f>
        <v>0</v>
      </c>
      <c r="D6" s="482">
        <f>'Cobros y pagos 4'!C27</f>
        <v>0</v>
      </c>
      <c r="E6" s="482">
        <f>'Cobros y pagos 4'!D27</f>
        <v>0</v>
      </c>
      <c r="F6" s="482">
        <f>'Cobros y pagos 4'!E27</f>
        <v>0</v>
      </c>
      <c r="G6" s="482">
        <f>'Cobros y pagos 4'!F27</f>
        <v>0</v>
      </c>
      <c r="H6" s="482">
        <f>'Cobros y pagos 4'!G27</f>
        <v>0</v>
      </c>
      <c r="I6" s="482">
        <f>'Cobros y pagos 4'!H27</f>
        <v>0</v>
      </c>
      <c r="J6" s="482">
        <f>'Cobros y pagos 4'!I27</f>
        <v>0</v>
      </c>
      <c r="K6" s="482">
        <f>'Cobros y pagos 4'!J27</f>
        <v>0</v>
      </c>
      <c r="L6" s="482">
        <f>'Cobros y pagos 4'!K27</f>
        <v>0</v>
      </c>
      <c r="M6" s="482">
        <f>'Cobros y pagos 4'!L27</f>
        <v>0</v>
      </c>
      <c r="N6" s="482">
        <f>'Cobros y pagos 4'!M27</f>
        <v>0</v>
      </c>
      <c r="O6" s="683">
        <f>SUM(C6:N6)</f>
        <v>0</v>
      </c>
    </row>
    <row r="7" spans="1:15" ht="21" customHeight="1" x14ac:dyDescent="0.25">
      <c r="A7" s="684" t="s">
        <v>877</v>
      </c>
      <c r="B7" s="648"/>
      <c r="C7" s="716">
        <f>'Otros cobros y pagos'!B57</f>
        <v>0</v>
      </c>
      <c r="D7" s="685">
        <f>'Otros cobros y pagos'!C57</f>
        <v>0</v>
      </c>
      <c r="E7" s="685">
        <f>'Otros cobros y pagos'!D57</f>
        <v>0</v>
      </c>
      <c r="F7" s="685">
        <f>'Otros cobros y pagos'!E57</f>
        <v>0</v>
      </c>
      <c r="G7" s="685">
        <f>'Otros cobros y pagos'!F57</f>
        <v>0</v>
      </c>
      <c r="H7" s="685">
        <f>'Otros cobros y pagos'!G57</f>
        <v>0</v>
      </c>
      <c r="I7" s="685">
        <f>'Otros cobros y pagos'!H57
+IF('IRPF Prof y Autónomos'!N26&lt;0,-'IRPF Prof y Autónomos'!N26*'IRPF Prof y Autónomos'!N19,0)</f>
        <v>0</v>
      </c>
      <c r="J7" s="685">
        <f>'Otros cobros y pagos'!I57</f>
        <v>0</v>
      </c>
      <c r="K7" s="685">
        <f>'Otros cobros y pagos'!J57</f>
        <v>0</v>
      </c>
      <c r="L7" s="685">
        <f>'Otros cobros y pagos'!K57</f>
        <v>0</v>
      </c>
      <c r="M7" s="685">
        <f>'Otros cobros y pagos'!L57</f>
        <v>0</v>
      </c>
      <c r="N7" s="685">
        <f>'Otros cobros y pagos'!M57</f>
        <v>0</v>
      </c>
      <c r="O7" s="686">
        <f>SUM(C7:N7)</f>
        <v>0</v>
      </c>
    </row>
    <row r="8" spans="1:15" ht="21" customHeight="1" x14ac:dyDescent="0.25">
      <c r="A8" s="684" t="s">
        <v>9</v>
      </c>
      <c r="B8" s="648"/>
      <c r="C8" s="685">
        <f>-'IVA 4'!C26</f>
        <v>0</v>
      </c>
      <c r="D8" s="685">
        <f>-'IVA 4'!D26</f>
        <v>0</v>
      </c>
      <c r="E8" s="685">
        <f>-'IVA 4'!E26</f>
        <v>0</v>
      </c>
      <c r="F8" s="685">
        <f>-'IVA 4'!F26</f>
        <v>0</v>
      </c>
      <c r="G8" s="685">
        <f>-'IVA 4'!G26</f>
        <v>0</v>
      </c>
      <c r="H8" s="685">
        <f>-'IVA 4'!H26</f>
        <v>0</v>
      </c>
      <c r="I8" s="685">
        <f>-'IVA 4'!I26</f>
        <v>0</v>
      </c>
      <c r="J8" s="685">
        <f>-'IVA 4'!J26</f>
        <v>0</v>
      </c>
      <c r="K8" s="685">
        <f>-'IVA 4'!K26</f>
        <v>0</v>
      </c>
      <c r="L8" s="685">
        <f>-'IVA 4'!L26</f>
        <v>0</v>
      </c>
      <c r="M8" s="685">
        <f>-'IVA 4'!M26</f>
        <v>0</v>
      </c>
      <c r="N8" s="685">
        <f>-'IVA 4'!N26</f>
        <v>0</v>
      </c>
      <c r="O8" s="686">
        <f>SUM(C8:N8)</f>
        <v>0</v>
      </c>
    </row>
    <row r="9" spans="1:15" ht="21" customHeight="1" x14ac:dyDescent="0.25">
      <c r="A9" s="684" t="s">
        <v>1</v>
      </c>
      <c r="B9" s="648"/>
      <c r="C9" s="685">
        <f>'Gastos Financieros'!C79</f>
        <v>0</v>
      </c>
      <c r="D9" s="685">
        <f>'Gastos Financieros'!D79</f>
        <v>0</v>
      </c>
      <c r="E9" s="685">
        <f>'Gastos Financieros'!E79</f>
        <v>0</v>
      </c>
      <c r="F9" s="685">
        <f>'Gastos Financieros'!F79</f>
        <v>0</v>
      </c>
      <c r="G9" s="685">
        <f>'Gastos Financieros'!G79</f>
        <v>0</v>
      </c>
      <c r="H9" s="685">
        <f>'Gastos Financieros'!H79</f>
        <v>0</v>
      </c>
      <c r="I9" s="685">
        <f>'Gastos Financieros'!I79</f>
        <v>0</v>
      </c>
      <c r="J9" s="685">
        <f>'Gastos Financieros'!J79</f>
        <v>0</v>
      </c>
      <c r="K9" s="685">
        <f>'Gastos Financieros'!K79</f>
        <v>0</v>
      </c>
      <c r="L9" s="685">
        <f>'Gastos Financieros'!L79</f>
        <v>0</v>
      </c>
      <c r="M9" s="685">
        <f>'Gastos Financieros'!M79</f>
        <v>0</v>
      </c>
      <c r="N9" s="685">
        <f>'Gastos Financieros'!N79</f>
        <v>0</v>
      </c>
      <c r="O9" s="686">
        <f>SUM(C9:N9)</f>
        <v>0</v>
      </c>
    </row>
    <row r="10" spans="1:15" s="305" customFormat="1" ht="21" customHeight="1" thickBot="1" x14ac:dyDescent="0.3">
      <c r="A10" s="688" t="s">
        <v>984</v>
      </c>
      <c r="B10" s="650"/>
      <c r="C10" s="689">
        <f t="shared" ref="C10:N10" si="0">SUM(C6:C9)</f>
        <v>0</v>
      </c>
      <c r="D10" s="689">
        <f t="shared" si="0"/>
        <v>0</v>
      </c>
      <c r="E10" s="689">
        <f t="shared" si="0"/>
        <v>0</v>
      </c>
      <c r="F10" s="689">
        <f t="shared" si="0"/>
        <v>0</v>
      </c>
      <c r="G10" s="689">
        <f t="shared" si="0"/>
        <v>0</v>
      </c>
      <c r="H10" s="689">
        <f t="shared" si="0"/>
        <v>0</v>
      </c>
      <c r="I10" s="689">
        <f t="shared" si="0"/>
        <v>0</v>
      </c>
      <c r="J10" s="689">
        <f t="shared" si="0"/>
        <v>0</v>
      </c>
      <c r="K10" s="689">
        <f t="shared" si="0"/>
        <v>0</v>
      </c>
      <c r="L10" s="689">
        <f t="shared" si="0"/>
        <v>0</v>
      </c>
      <c r="M10" s="689">
        <f t="shared" si="0"/>
        <v>0</v>
      </c>
      <c r="N10" s="689">
        <f t="shared" si="0"/>
        <v>0</v>
      </c>
      <c r="O10" s="690">
        <f>SUM(C10:N10)</f>
        <v>0</v>
      </c>
    </row>
    <row r="11" spans="1:15" s="305" customFormat="1" ht="9.75" customHeight="1" x14ac:dyDescent="0.25">
      <c r="A11" s="691"/>
      <c r="B11" s="651"/>
      <c r="C11" s="651"/>
      <c r="D11" s="651"/>
      <c r="E11" s="651"/>
      <c r="F11" s="651"/>
      <c r="G11" s="651"/>
      <c r="H11" s="651"/>
      <c r="I11" s="651"/>
      <c r="J11" s="651"/>
      <c r="K11" s="651"/>
      <c r="L11" s="651"/>
      <c r="M11" s="651"/>
      <c r="N11" s="651"/>
      <c r="O11" s="692"/>
    </row>
    <row r="12" spans="1:15" s="305" customFormat="1" ht="21" customHeight="1" thickBot="1" x14ac:dyDescent="0.3">
      <c r="A12" s="679" t="s">
        <v>981</v>
      </c>
      <c r="B12" s="652"/>
      <c r="C12" s="652"/>
      <c r="D12" s="652"/>
      <c r="E12" s="652"/>
      <c r="F12" s="652"/>
      <c r="G12" s="652"/>
      <c r="H12" s="652"/>
      <c r="I12" s="652"/>
      <c r="J12" s="652"/>
      <c r="K12" s="652"/>
      <c r="L12" s="652"/>
      <c r="M12" s="652"/>
      <c r="N12" s="652"/>
      <c r="O12" s="693"/>
    </row>
    <row r="13" spans="1:15" s="305" customFormat="1" ht="21" customHeight="1" x14ac:dyDescent="0.25">
      <c r="A13" s="682" t="s">
        <v>264</v>
      </c>
      <c r="B13" s="647"/>
      <c r="C13" s="482">
        <f>'G.F. 4'!C48+'G.F. 4'!C50</f>
        <v>1634.2773017600002</v>
      </c>
      <c r="D13" s="482">
        <f>'G.F. 4'!D48+'G.F. 4'!D50</f>
        <v>1634.2773017600002</v>
      </c>
      <c r="E13" s="482">
        <f>'G.F. 4'!E48+'G.F. 4'!E50</f>
        <v>1634.2773017600002</v>
      </c>
      <c r="F13" s="482">
        <f>'G.F. 4'!F48+'G.F. 4'!F50</f>
        <v>1634.2773017600002</v>
      </c>
      <c r="G13" s="482">
        <f>'G.F. 4'!G48+'G.F. 4'!G50</f>
        <v>1634.2773017600002</v>
      </c>
      <c r="H13" s="482">
        <f>'G.F. 4'!H48+'G.F. 4'!H50</f>
        <v>1634.2773017600002</v>
      </c>
      <c r="I13" s="482">
        <f>'G.F. 4'!I48+'G.F. 4'!I50</f>
        <v>1634.2773017600002</v>
      </c>
      <c r="J13" s="482">
        <f>'G.F. 4'!J48+'G.F. 4'!J50</f>
        <v>1634.2773017600002</v>
      </c>
      <c r="K13" s="482">
        <f>'G.F. 4'!K48+'G.F. 4'!K50</f>
        <v>1634.2773017600002</v>
      </c>
      <c r="L13" s="482">
        <f>'G.F. 4'!L48+'G.F. 4'!L50</f>
        <v>1634.2773017600002</v>
      </c>
      <c r="M13" s="482">
        <f>'G.F. 4'!M48+'G.F. 4'!M50</f>
        <v>1634.2773017600002</v>
      </c>
      <c r="N13" s="482">
        <f>'G.F. 4'!N48+'G.F. 4'!N50</f>
        <v>1634.2773017600002</v>
      </c>
      <c r="O13" s="683">
        <f>SUM(C13:N13)</f>
        <v>19611.327621120006</v>
      </c>
    </row>
    <row r="14" spans="1:15" ht="21" customHeight="1" x14ac:dyDescent="0.25">
      <c r="A14" s="684" t="s">
        <v>263</v>
      </c>
      <c r="B14" s="648"/>
      <c r="C14" s="685">
        <f>'Cobros y pagos 4'!B53</f>
        <v>0</v>
      </c>
      <c r="D14" s="685">
        <f>'Cobros y pagos 4'!C53</f>
        <v>0</v>
      </c>
      <c r="E14" s="685">
        <f>'Cobros y pagos 4'!D53</f>
        <v>0</v>
      </c>
      <c r="F14" s="685">
        <f>'Cobros y pagos 4'!E53</f>
        <v>0</v>
      </c>
      <c r="G14" s="685">
        <f>'Cobros y pagos 4'!F53</f>
        <v>0</v>
      </c>
      <c r="H14" s="685">
        <f>'Cobros y pagos 4'!G53</f>
        <v>0</v>
      </c>
      <c r="I14" s="685">
        <f>'Cobros y pagos 4'!H53</f>
        <v>0</v>
      </c>
      <c r="J14" s="685">
        <f>'Cobros y pagos 4'!I53</f>
        <v>0</v>
      </c>
      <c r="K14" s="685">
        <f>'Cobros y pagos 4'!J53</f>
        <v>0</v>
      </c>
      <c r="L14" s="685">
        <f>'Cobros y pagos 4'!K53</f>
        <v>0</v>
      </c>
      <c r="M14" s="685">
        <f>'Cobros y pagos 4'!L53</f>
        <v>0</v>
      </c>
      <c r="N14" s="685">
        <f>'Cobros y pagos 4'!M53</f>
        <v>0</v>
      </c>
      <c r="O14" s="686">
        <f>SUM(C14:N14)</f>
        <v>0</v>
      </c>
    </row>
    <row r="15" spans="1:15" ht="21" customHeight="1" x14ac:dyDescent="0.25">
      <c r="A15" s="684" t="s">
        <v>1047</v>
      </c>
      <c r="B15" s="648"/>
      <c r="C15" s="685">
        <f>'Gastos Financieros'!C51</f>
        <v>477.4902095634842</v>
      </c>
      <c r="D15" s="685">
        <f>'Gastos Financieros'!D51</f>
        <v>489.80885337953788</v>
      </c>
      <c r="E15" s="685">
        <f>'Gastos Financieros'!E51</f>
        <v>502.19935595118517</v>
      </c>
      <c r="F15" s="685">
        <f>'Gastos Financieros'!F51</f>
        <v>514.66213645450046</v>
      </c>
      <c r="G15" s="685">
        <f>'Gastos Financieros'!G51</f>
        <v>527.19761651075169</v>
      </c>
      <c r="H15" s="685">
        <f>'Gastos Financieros'!H51</f>
        <v>539.80622020066437</v>
      </c>
      <c r="I15" s="685">
        <f>'Gastos Financieros'!I51</f>
        <v>552.48837407876817</v>
      </c>
      <c r="J15" s="685">
        <f>'Gastos Financieros'!J51</f>
        <v>565.24450718782771</v>
      </c>
      <c r="K15" s="685">
        <f>'Gastos Financieros'!K51</f>
        <v>578.07505107335669</v>
      </c>
      <c r="L15" s="685">
        <f>'Gastos Financieros'!L51</f>
        <v>590.98043979821796</v>
      </c>
      <c r="M15" s="685">
        <f>'Gastos Financieros'!M51</f>
        <v>603.9611099573076</v>
      </c>
      <c r="N15" s="685">
        <f>'Gastos Financieros'!N51</f>
        <v>617.01750069232526</v>
      </c>
      <c r="O15" s="686">
        <f>SUM(C15:N15)</f>
        <v>6558.9313748479281</v>
      </c>
    </row>
    <row r="16" spans="1:15" ht="21" customHeight="1" x14ac:dyDescent="0.25">
      <c r="A16" s="684" t="s">
        <v>839</v>
      </c>
      <c r="B16" s="648"/>
      <c r="C16" s="685">
        <f>Leasing!B51+Renting!B54</f>
        <v>0</v>
      </c>
      <c r="D16" s="685">
        <f>Leasing!C51+Renting!C54</f>
        <v>0</v>
      </c>
      <c r="E16" s="685">
        <f>Leasing!D51+Renting!D54</f>
        <v>0</v>
      </c>
      <c r="F16" s="685">
        <f>Leasing!E51+Renting!E54</f>
        <v>0</v>
      </c>
      <c r="G16" s="685">
        <f>Leasing!F51+Renting!F54</f>
        <v>0</v>
      </c>
      <c r="H16" s="685">
        <f>Leasing!G51+Renting!G54</f>
        <v>0</v>
      </c>
      <c r="I16" s="685">
        <f>Leasing!H51+Renting!H54</f>
        <v>0</v>
      </c>
      <c r="J16" s="685">
        <f>Leasing!I51+Renting!I54</f>
        <v>0</v>
      </c>
      <c r="K16" s="685">
        <f>Leasing!J51+Renting!J54</f>
        <v>0</v>
      </c>
      <c r="L16" s="685">
        <f>Leasing!K51+Renting!K54</f>
        <v>0</v>
      </c>
      <c r="M16" s="685">
        <f>Leasing!L51+Renting!L54</f>
        <v>0</v>
      </c>
      <c r="N16" s="685">
        <f>Leasing!M51+Renting!M54</f>
        <v>0</v>
      </c>
      <c r="O16" s="686">
        <f>SUM(C16:N16)</f>
        <v>0</v>
      </c>
    </row>
    <row r="17" spans="1:15" ht="9.75" customHeight="1" x14ac:dyDescent="0.25">
      <c r="A17" s="694"/>
      <c r="B17" s="653"/>
      <c r="C17" s="653"/>
      <c r="D17" s="653"/>
      <c r="E17" s="653"/>
      <c r="F17" s="653"/>
      <c r="G17" s="653"/>
      <c r="H17" s="653"/>
      <c r="I17" s="653"/>
      <c r="J17" s="653"/>
      <c r="K17" s="653"/>
      <c r="L17" s="653"/>
      <c r="M17" s="653"/>
      <c r="N17" s="653"/>
      <c r="O17" s="695"/>
    </row>
    <row r="18" spans="1:15" ht="21" customHeight="1" x14ac:dyDescent="0.25">
      <c r="A18" s="696" t="s">
        <v>987</v>
      </c>
      <c r="B18" s="654"/>
      <c r="C18" s="654"/>
      <c r="D18" s="654"/>
      <c r="E18" s="654"/>
      <c r="F18" s="654"/>
      <c r="G18" s="654"/>
      <c r="H18" s="654"/>
      <c r="I18" s="654"/>
      <c r="J18" s="654"/>
      <c r="K18" s="654"/>
      <c r="L18" s="654"/>
      <c r="M18" s="654"/>
      <c r="N18" s="654"/>
      <c r="O18" s="697"/>
    </row>
    <row r="19" spans="1:15" ht="21" customHeight="1" x14ac:dyDescent="0.25">
      <c r="A19" s="684" t="s">
        <v>837</v>
      </c>
      <c r="B19" s="648"/>
      <c r="C19" s="685">
        <f>Préstamos!B44+Leasing!B50</f>
        <v>0</v>
      </c>
      <c r="D19" s="685">
        <f>Préstamos!C44+Leasing!C50</f>
        <v>0</v>
      </c>
      <c r="E19" s="685">
        <f>Préstamos!D44+Leasing!D50</f>
        <v>0</v>
      </c>
      <c r="F19" s="685">
        <f>Préstamos!E44+Leasing!E50</f>
        <v>0</v>
      </c>
      <c r="G19" s="685">
        <f>Préstamos!F44+Leasing!F50</f>
        <v>0</v>
      </c>
      <c r="H19" s="685">
        <f>Préstamos!G44+Leasing!G50</f>
        <v>0</v>
      </c>
      <c r="I19" s="685">
        <f>Préstamos!H44+Leasing!H50</f>
        <v>0</v>
      </c>
      <c r="J19" s="685">
        <f>Préstamos!I44+Leasing!I50</f>
        <v>0</v>
      </c>
      <c r="K19" s="685">
        <f>Préstamos!J44+Leasing!J50</f>
        <v>0</v>
      </c>
      <c r="L19" s="685">
        <f>Préstamos!K44+Leasing!K50</f>
        <v>0</v>
      </c>
      <c r="M19" s="685">
        <f>Préstamos!L44+Leasing!L50</f>
        <v>0</v>
      </c>
      <c r="N19" s="685">
        <f>Préstamos!M44+Leasing!M50</f>
        <v>0</v>
      </c>
      <c r="O19" s="686">
        <f>SUM(C19:N19)</f>
        <v>0</v>
      </c>
    </row>
    <row r="20" spans="1:15" ht="21" customHeight="1" x14ac:dyDescent="0.25">
      <c r="A20" s="684" t="s">
        <v>1006</v>
      </c>
      <c r="B20" s="648"/>
      <c r="C20" s="685">
        <f>'Otros cobros y pagos'!B114</f>
        <v>0</v>
      </c>
      <c r="D20" s="685">
        <f>'Otros cobros y pagos'!C114</f>
        <v>0</v>
      </c>
      <c r="E20" s="685">
        <f>'Otros cobros y pagos'!D114</f>
        <v>0</v>
      </c>
      <c r="F20" s="685">
        <f>'Otros cobros y pagos'!E114</f>
        <v>0</v>
      </c>
      <c r="G20" s="685">
        <f>'Otros cobros y pagos'!F114</f>
        <v>0</v>
      </c>
      <c r="H20" s="685">
        <f>'Otros cobros y pagos'!G114</f>
        <v>0</v>
      </c>
      <c r="I20" s="685">
        <f>'Otros cobros y pagos'!H114</f>
        <v>0</v>
      </c>
      <c r="J20" s="685">
        <f>'Otros cobros y pagos'!I114</f>
        <v>0</v>
      </c>
      <c r="K20" s="685">
        <f>'Otros cobros y pagos'!J114</f>
        <v>0</v>
      </c>
      <c r="L20" s="685">
        <f>'Otros cobros y pagos'!K114</f>
        <v>0</v>
      </c>
      <c r="M20" s="685">
        <f>'Otros cobros y pagos'!L114</f>
        <v>0</v>
      </c>
      <c r="N20" s="685">
        <f>'Otros cobros y pagos'!M114</f>
        <v>0</v>
      </c>
      <c r="O20" s="686">
        <f>SUM(C20:N20)</f>
        <v>0</v>
      </c>
    </row>
    <row r="21" spans="1:15" ht="21" customHeight="1" x14ac:dyDescent="0.25">
      <c r="A21" s="684" t="s">
        <v>993</v>
      </c>
      <c r="B21" s="648"/>
      <c r="C21" s="685">
        <f>'IVA 4'!C24</f>
        <v>0</v>
      </c>
      <c r="D21" s="685">
        <f>'IVA 4'!D24</f>
        <v>0</v>
      </c>
      <c r="E21" s="685">
        <f>'IVA 4'!E24</f>
        <v>0</v>
      </c>
      <c r="F21" s="685">
        <f>'IVA 4'!F24</f>
        <v>0</v>
      </c>
      <c r="G21" s="685">
        <f>'IVA 4'!G24</f>
        <v>0</v>
      </c>
      <c r="H21" s="685">
        <f>'IVA 4'!H24</f>
        <v>0</v>
      </c>
      <c r="I21" s="685">
        <f>'IVA 4'!I24</f>
        <v>0</v>
      </c>
      <c r="J21" s="685">
        <f>'IVA 4'!J24</f>
        <v>0</v>
      </c>
      <c r="K21" s="685">
        <f>'IVA 4'!K24</f>
        <v>0</v>
      </c>
      <c r="L21" s="685">
        <f>'IVA 4'!L24</f>
        <v>0</v>
      </c>
      <c r="M21" s="685">
        <f>'IVA 4'!M24</f>
        <v>0</v>
      </c>
      <c r="N21" s="685">
        <f>'IVA 4'!N24</f>
        <v>0</v>
      </c>
      <c r="O21" s="686">
        <f>SUM(C21:N21)</f>
        <v>0</v>
      </c>
    </row>
    <row r="22" spans="1:15" ht="21" customHeight="1" x14ac:dyDescent="0.25">
      <c r="A22" s="684" t="s">
        <v>111</v>
      </c>
      <c r="B22" s="648"/>
      <c r="C22" s="685">
        <f>'Ret IRPF'!N40</f>
        <v>0</v>
      </c>
      <c r="D22" s="685"/>
      <c r="E22" s="685"/>
      <c r="F22" s="685">
        <f>Imp.Sociedades!M14+'Ret IRPF'!E49</f>
        <v>0</v>
      </c>
      <c r="G22" s="685"/>
      <c r="H22" s="685">
        <f>IF('IRPF Prof y Autónomos'!N26&lt;0,0,'IRPF Prof y Autónomos'!N26*'IRPF Prof y Autónomos'!N19)</f>
        <v>0</v>
      </c>
      <c r="I22" s="685">
        <f>IF(Imp.Sociedades!J20&gt;0,Imp.Sociedades!J20,0)+'Ret IRPF'!H49</f>
        <v>0</v>
      </c>
      <c r="J22" s="685"/>
      <c r="K22" s="685"/>
      <c r="L22" s="685">
        <f>Imp.Sociedades!M15+'Ret IRPF'!K49</f>
        <v>0</v>
      </c>
      <c r="M22" s="685"/>
      <c r="N22" s="685">
        <f>Imp.Sociedades!M16</f>
        <v>0</v>
      </c>
      <c r="O22" s="686">
        <f>SUM(C22:N22)</f>
        <v>0</v>
      </c>
    </row>
    <row r="23" spans="1:15" s="305" customFormat="1" ht="21" customHeight="1" thickBot="1" x14ac:dyDescent="0.3">
      <c r="A23" s="688" t="s">
        <v>266</v>
      </c>
      <c r="B23" s="650"/>
      <c r="C23" s="698">
        <f t="shared" ref="C23:O23" si="1">SUM(C13:C22)</f>
        <v>2111.7675113234845</v>
      </c>
      <c r="D23" s="698">
        <f t="shared" si="1"/>
        <v>2124.0861551395383</v>
      </c>
      <c r="E23" s="698">
        <f t="shared" si="1"/>
        <v>2136.4766577111855</v>
      </c>
      <c r="F23" s="698">
        <f t="shared" si="1"/>
        <v>2148.9394382145006</v>
      </c>
      <c r="G23" s="698">
        <f t="shared" si="1"/>
        <v>2161.4749182707519</v>
      </c>
      <c r="H23" s="698">
        <f t="shared" si="1"/>
        <v>2174.0835219606647</v>
      </c>
      <c r="I23" s="698">
        <f t="shared" si="1"/>
        <v>2186.7656758387684</v>
      </c>
      <c r="J23" s="698">
        <f t="shared" si="1"/>
        <v>2199.521808947828</v>
      </c>
      <c r="K23" s="698">
        <f t="shared" si="1"/>
        <v>2212.3523528333571</v>
      </c>
      <c r="L23" s="698">
        <f t="shared" si="1"/>
        <v>2225.2577415582182</v>
      </c>
      <c r="M23" s="698">
        <f t="shared" si="1"/>
        <v>2238.2384117173078</v>
      </c>
      <c r="N23" s="698">
        <f t="shared" si="1"/>
        <v>2251.2948024523257</v>
      </c>
      <c r="O23" s="690">
        <f t="shared" si="1"/>
        <v>26170.258995967935</v>
      </c>
    </row>
    <row r="24" spans="1:15" s="305" customFormat="1" ht="21" customHeight="1" thickBot="1" x14ac:dyDescent="0.3">
      <c r="A24" s="691"/>
      <c r="B24" s="657"/>
      <c r="C24" s="657"/>
      <c r="D24" s="657"/>
      <c r="E24" s="657"/>
      <c r="F24" s="657"/>
      <c r="G24" s="657"/>
      <c r="H24" s="657"/>
      <c r="I24" s="657"/>
      <c r="J24" s="657"/>
      <c r="K24" s="657"/>
      <c r="L24" s="657"/>
      <c r="M24" s="657"/>
      <c r="N24" s="657"/>
      <c r="O24" s="699"/>
    </row>
    <row r="25" spans="1:15" s="305" customFormat="1" ht="21" customHeight="1" thickBot="1" x14ac:dyDescent="0.3">
      <c r="A25" s="700" t="s">
        <v>983</v>
      </c>
      <c r="B25" s="656"/>
      <c r="C25" s="701">
        <f t="shared" ref="C25:O25" si="2">C10-C23</f>
        <v>-2111.7675113234845</v>
      </c>
      <c r="D25" s="701">
        <f t="shared" si="2"/>
        <v>-2124.0861551395383</v>
      </c>
      <c r="E25" s="701">
        <f t="shared" si="2"/>
        <v>-2136.4766577111855</v>
      </c>
      <c r="F25" s="701">
        <f t="shared" si="2"/>
        <v>-2148.9394382145006</v>
      </c>
      <c r="G25" s="701">
        <f t="shared" si="2"/>
        <v>-2161.4749182707519</v>
      </c>
      <c r="H25" s="701">
        <f t="shared" si="2"/>
        <v>-2174.0835219606647</v>
      </c>
      <c r="I25" s="701">
        <f t="shared" si="2"/>
        <v>-2186.7656758387684</v>
      </c>
      <c r="J25" s="701">
        <f t="shared" si="2"/>
        <v>-2199.521808947828</v>
      </c>
      <c r="K25" s="701">
        <f t="shared" si="2"/>
        <v>-2212.3523528333571</v>
      </c>
      <c r="L25" s="701">
        <f t="shared" si="2"/>
        <v>-2225.2577415582182</v>
      </c>
      <c r="M25" s="701">
        <f t="shared" si="2"/>
        <v>-2238.2384117173078</v>
      </c>
      <c r="N25" s="701">
        <f t="shared" si="2"/>
        <v>-2251.2948024523257</v>
      </c>
      <c r="O25" s="702">
        <f t="shared" si="2"/>
        <v>-26170.258995967935</v>
      </c>
    </row>
    <row r="26" spans="1:15" s="305" customFormat="1" ht="21" customHeight="1" thickBot="1" x14ac:dyDescent="0.3">
      <c r="A26" s="703"/>
      <c r="B26" s="655"/>
      <c r="C26" s="704"/>
      <c r="D26" s="704"/>
      <c r="E26" s="704"/>
      <c r="F26" s="704"/>
      <c r="G26" s="704"/>
      <c r="H26" s="704"/>
      <c r="I26" s="704"/>
      <c r="J26" s="704"/>
      <c r="K26" s="704"/>
      <c r="L26" s="704"/>
      <c r="M26" s="704"/>
      <c r="N26" s="704"/>
      <c r="O26" s="705"/>
    </row>
    <row r="27" spans="1:15" s="305" customFormat="1" ht="21" customHeight="1" thickBot="1" x14ac:dyDescent="0.3">
      <c r="A27" s="706" t="s">
        <v>1008</v>
      </c>
      <c r="B27" s="707">
        <f>'Tesorería 3'!N27</f>
        <v>81855.464496597284</v>
      </c>
      <c r="C27" s="708">
        <f t="shared" ref="C27:N27" si="3">IF(B29+C25-B27&gt;tesoreriasec,0,B27-B29-C25+tesoreriasec)</f>
        <v>83967.232007920771</v>
      </c>
      <c r="D27" s="709">
        <f t="shared" si="3"/>
        <v>86091.318163060307</v>
      </c>
      <c r="E27" s="709">
        <f t="shared" si="3"/>
        <v>88227.794820771494</v>
      </c>
      <c r="F27" s="709">
        <f t="shared" si="3"/>
        <v>90376.734258985991</v>
      </c>
      <c r="G27" s="709">
        <f t="shared" si="3"/>
        <v>92538.209177256736</v>
      </c>
      <c r="H27" s="709">
        <f t="shared" si="3"/>
        <v>94712.292699217403</v>
      </c>
      <c r="I27" s="709">
        <f t="shared" si="3"/>
        <v>96899.058375056178</v>
      </c>
      <c r="J27" s="709">
        <f t="shared" si="3"/>
        <v>99098.580184004008</v>
      </c>
      <c r="K27" s="709">
        <f t="shared" si="3"/>
        <v>101310.93253683737</v>
      </c>
      <c r="L27" s="709">
        <f t="shared" si="3"/>
        <v>103536.19027839559</v>
      </c>
      <c r="M27" s="709">
        <f t="shared" si="3"/>
        <v>105774.42869011289</v>
      </c>
      <c r="N27" s="709">
        <f t="shared" si="3"/>
        <v>108025.72349256522</v>
      </c>
      <c r="O27" s="710"/>
    </row>
    <row r="28" spans="1:15" s="305" customFormat="1" ht="21" customHeight="1" thickBot="1" x14ac:dyDescent="0.3">
      <c r="A28" s="703"/>
      <c r="B28" s="656"/>
      <c r="C28" s="657"/>
      <c r="D28" s="657"/>
      <c r="E28" s="657"/>
      <c r="F28" s="657"/>
      <c r="G28" s="657"/>
      <c r="H28" s="657"/>
      <c r="I28" s="657"/>
      <c r="J28" s="657"/>
      <c r="K28" s="657"/>
      <c r="L28" s="657"/>
      <c r="M28" s="657"/>
      <c r="N28" s="657"/>
      <c r="O28" s="699"/>
    </row>
    <row r="29" spans="1:15" s="658" customFormat="1" ht="21" customHeight="1" thickBot="1" x14ac:dyDescent="0.3">
      <c r="A29" s="1019" t="s">
        <v>982</v>
      </c>
      <c r="B29" s="1018">
        <f>'Tesorería 3'!N29</f>
        <v>2000</v>
      </c>
      <c r="C29" s="1020">
        <f t="shared" ref="C29:N29" si="4">B29+C25+C27-B27</f>
        <v>2000</v>
      </c>
      <c r="D29" s="1021">
        <f t="shared" si="4"/>
        <v>2000</v>
      </c>
      <c r="E29" s="1021">
        <f t="shared" si="4"/>
        <v>2000</v>
      </c>
      <c r="F29" s="1021">
        <f t="shared" si="4"/>
        <v>2000</v>
      </c>
      <c r="G29" s="1021">
        <f t="shared" si="4"/>
        <v>2000</v>
      </c>
      <c r="H29" s="1021">
        <f t="shared" si="4"/>
        <v>2000</v>
      </c>
      <c r="I29" s="1021">
        <f t="shared" si="4"/>
        <v>2000</v>
      </c>
      <c r="J29" s="1021">
        <f t="shared" si="4"/>
        <v>2000</v>
      </c>
      <c r="K29" s="1021">
        <f t="shared" si="4"/>
        <v>2000</v>
      </c>
      <c r="L29" s="1021">
        <f t="shared" si="4"/>
        <v>2000</v>
      </c>
      <c r="M29" s="1021">
        <f t="shared" si="4"/>
        <v>2000</v>
      </c>
      <c r="N29" s="1021">
        <f t="shared" si="4"/>
        <v>2000</v>
      </c>
      <c r="O29" s="1022"/>
    </row>
    <row r="30" spans="1:15" ht="15.75" thickTop="1" x14ac:dyDescent="0.25">
      <c r="A30" s="386"/>
      <c r="B30" s="386"/>
    </row>
    <row r="31" spans="1:15" x14ac:dyDescent="0.25">
      <c r="A31" s="386"/>
      <c r="B31" s="386"/>
    </row>
    <row r="32" spans="1:15" s="483" customFormat="1" ht="21" customHeight="1" x14ac:dyDescent="0.25">
      <c r="A32" s="712"/>
      <c r="B32" s="659" t="s">
        <v>66</v>
      </c>
      <c r="C32" s="660">
        <f>MAX(C27:N27)</f>
        <v>108025.72349256522</v>
      </c>
      <c r="D32" s="717" t="str">
        <f>IF(C32&lt;&gt;0,INDEX(B4:M4,1,MATCH(C32,C27:N27,0)),"")</f>
        <v>noviembre</v>
      </c>
      <c r="O32" s="658"/>
    </row>
    <row r="33" spans="1:15" s="483" customFormat="1" ht="18.75" customHeight="1" x14ac:dyDescent="0.25">
      <c r="A33" s="712"/>
      <c r="B33" s="659" t="s">
        <v>193</v>
      </c>
      <c r="C33" s="660">
        <f>N29-B29+B27-N27</f>
        <v>-26170.258995967932</v>
      </c>
      <c r="D33" s="715"/>
      <c r="O33" s="658"/>
    </row>
    <row r="34" spans="1:15" s="483" customFormat="1" ht="21" customHeight="1" x14ac:dyDescent="0.25">
      <c r="A34" s="712"/>
      <c r="B34" s="659" t="s">
        <v>307</v>
      </c>
      <c r="C34" s="660">
        <f>MAX(C29:N29)</f>
        <v>2000</v>
      </c>
      <c r="D34" s="717" t="str">
        <f>INDEX(C4:N4,1,MATCH(C34,C29:N29,0))</f>
        <v>enero</v>
      </c>
      <c r="O34" s="658"/>
    </row>
    <row r="35" spans="1:15" ht="18" customHeight="1" x14ac:dyDescent="0.25">
      <c r="A35" s="386"/>
      <c r="B35" s="386"/>
    </row>
    <row r="36" spans="1:15" x14ac:dyDescent="0.25">
      <c r="A36" s="386"/>
      <c r="B36" s="386"/>
    </row>
    <row r="37" spans="1:15" ht="17.25" x14ac:dyDescent="0.3">
      <c r="A37" s="307"/>
      <c r="B37" s="307"/>
    </row>
    <row r="38" spans="1:15" ht="17.25" x14ac:dyDescent="0.3">
      <c r="A38" s="307"/>
      <c r="B38" s="307"/>
    </row>
    <row r="39" spans="1:15" ht="17.25" x14ac:dyDescent="0.3">
      <c r="A39" s="307"/>
      <c r="B39" s="307"/>
    </row>
    <row r="40" spans="1:15" ht="17.25" x14ac:dyDescent="0.3">
      <c r="A40" s="307"/>
      <c r="B40" s="307"/>
    </row>
    <row r="41" spans="1:15" ht="17.25" x14ac:dyDescent="0.3">
      <c r="A41" s="307"/>
      <c r="B41" s="307"/>
    </row>
    <row r="42" spans="1:15" ht="17.25" x14ac:dyDescent="0.3">
      <c r="A42" s="307"/>
      <c r="B42" s="307"/>
    </row>
    <row r="43" spans="1:15" ht="17.25" x14ac:dyDescent="0.3">
      <c r="A43" s="307"/>
      <c r="B43" s="307"/>
    </row>
    <row r="44" spans="1:15" ht="17.25" x14ac:dyDescent="0.3">
      <c r="A44" s="307"/>
      <c r="B44" s="307"/>
    </row>
    <row r="45" spans="1:15" ht="17.25" x14ac:dyDescent="0.3">
      <c r="A45" s="307"/>
      <c r="B45" s="307"/>
    </row>
    <row r="46" spans="1:15" ht="17.25" x14ac:dyDescent="0.3">
      <c r="A46" s="307"/>
      <c r="B46" s="307"/>
    </row>
    <row r="47" spans="1:15" ht="17.25" x14ac:dyDescent="0.3">
      <c r="A47" s="307"/>
      <c r="B47" s="307"/>
    </row>
    <row r="48" spans="1:15" ht="17.25" x14ac:dyDescent="0.3">
      <c r="A48" s="307"/>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row r="53" spans="1:2" ht="17.25" x14ac:dyDescent="0.3">
      <c r="A53" s="307"/>
      <c r="B53" s="307"/>
    </row>
  </sheetData>
  <sheetProtection sheet="1" objects="1" scenarios="1" formatCells="0" formatColumns="0"/>
  <phoneticPr fontId="13" type="noConversion"/>
  <printOptions horizontalCentered="1" verticalCentered="1"/>
  <pageMargins left="0.19685039370078741" right="0.19685039370078741" top="0.39370078740157483" bottom="0.39370078740157483" header="0.11811023622047245" footer="0.11811023622047245"/>
  <pageSetup paperSize="9" scale="69" orientation="landscape" horizontalDpi="300" verticalDpi="300" r:id="rId1"/>
  <headerFooter alignWithMargins="0">
    <oddFooter>&amp;A</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Hoja61">
    <tabColor rgb="FF147A5C"/>
    <pageSetUpPr fitToPage="1"/>
  </sheetPr>
  <dimension ref="A1:O52"/>
  <sheetViews>
    <sheetView showGridLines="0" workbookViewId="0">
      <selection sqref="A1:H1"/>
    </sheetView>
  </sheetViews>
  <sheetFormatPr baseColWidth="10" defaultRowHeight="15" x14ac:dyDescent="0.25"/>
  <cols>
    <col min="1" max="1" width="27" style="446" customWidth="1"/>
    <col min="2" max="2" width="12.375" style="446" customWidth="1"/>
    <col min="3" max="3" width="12.125" style="446" customWidth="1"/>
    <col min="4" max="4" width="11.125" style="446" customWidth="1"/>
    <col min="5" max="5" width="12.5" style="446" customWidth="1"/>
    <col min="6" max="6" width="11" style="446"/>
    <col min="7" max="8" width="11.75" style="446" customWidth="1"/>
    <col min="9" max="9" width="21.625" style="446" bestFit="1" customWidth="1"/>
    <col min="10" max="16384" width="11" style="446"/>
  </cols>
  <sheetData>
    <row r="1" spans="1:10" ht="29.25" customHeight="1" x14ac:dyDescent="0.45">
      <c r="A1" s="2528" t="s">
        <v>1207</v>
      </c>
      <c r="B1" s="2529"/>
      <c r="C1" s="2529"/>
      <c r="D1" s="2529"/>
      <c r="E1" s="2529"/>
      <c r="F1" s="2529"/>
      <c r="G1" s="2529"/>
      <c r="H1" s="2529"/>
    </row>
    <row r="2" spans="1:10" ht="27.75" x14ac:dyDescent="0.45">
      <c r="A2" s="408">
        <f>'Datos Básicos'!B8</f>
        <v>0</v>
      </c>
      <c r="B2" s="408"/>
      <c r="D2" s="645"/>
      <c r="F2" s="450"/>
      <c r="G2" s="398"/>
      <c r="H2" s="398"/>
      <c r="I2" s="1189"/>
      <c r="J2" s="1075"/>
    </row>
    <row r="3" spans="1:10" ht="27.75" x14ac:dyDescent="0.45">
      <c r="A3" s="408"/>
      <c r="B3" s="408"/>
      <c r="D3" s="645"/>
      <c r="F3" s="450"/>
      <c r="G3" s="398"/>
      <c r="H3" s="398"/>
      <c r="I3" s="1189"/>
      <c r="J3" s="1075"/>
    </row>
    <row r="4" spans="1:10" ht="27.75" x14ac:dyDescent="0.45">
      <c r="A4" s="408"/>
      <c r="B4" s="408"/>
      <c r="D4" s="645"/>
      <c r="F4" s="450"/>
      <c r="G4" s="398"/>
      <c r="H4" s="398"/>
      <c r="I4" s="1189"/>
      <c r="J4" s="1075"/>
    </row>
    <row r="5" spans="1:10" ht="17.25" customHeight="1" thickBot="1" x14ac:dyDescent="0.5">
      <c r="A5" s="408"/>
      <c r="B5" s="408"/>
      <c r="D5" s="645"/>
      <c r="F5" s="450"/>
      <c r="G5" s="398"/>
      <c r="H5" s="398"/>
      <c r="I5" s="1189"/>
      <c r="J5" s="1075"/>
    </row>
    <row r="6" spans="1:10" s="445" customFormat="1" ht="18" customHeight="1" thickBot="1" x14ac:dyDescent="0.3">
      <c r="C6" s="1771" t="str">
        <f>'Datos Básicos'!B16</f>
        <v>Año 0</v>
      </c>
      <c r="D6" s="1456">
        <f>'Datos Básicos'!C16</f>
        <v>1</v>
      </c>
      <c r="E6" s="1456">
        <f t="shared" ref="E6:G7" si="0">D6+1</f>
        <v>2</v>
      </c>
      <c r="F6" s="1456">
        <f t="shared" si="0"/>
        <v>3</v>
      </c>
      <c r="G6" s="1456">
        <f t="shared" si="0"/>
        <v>4</v>
      </c>
      <c r="H6" s="1131"/>
    </row>
    <row r="7" spans="1:10" s="445" customFormat="1" ht="18" customHeight="1" x14ac:dyDescent="0.25">
      <c r="A7" s="1852" t="s">
        <v>980</v>
      </c>
      <c r="B7" s="1853"/>
      <c r="C7" s="1854">
        <f>'Datos Básicos'!B17</f>
        <v>2026</v>
      </c>
      <c r="D7" s="1854">
        <f>C7+1</f>
        <v>2027</v>
      </c>
      <c r="E7" s="1854">
        <f t="shared" si="0"/>
        <v>2028</v>
      </c>
      <c r="F7" s="1854">
        <f t="shared" si="0"/>
        <v>2029</v>
      </c>
      <c r="G7" s="1854">
        <f t="shared" si="0"/>
        <v>2030</v>
      </c>
      <c r="H7" s="1128"/>
    </row>
    <row r="8" spans="1:10" ht="21" customHeight="1" x14ac:dyDescent="0.25">
      <c r="A8" s="1879" t="s">
        <v>876</v>
      </c>
      <c r="B8" s="1880"/>
      <c r="C8" s="1880">
        <f>'Tesorería 0'!$O6</f>
        <v>0</v>
      </c>
      <c r="D8" s="1880">
        <f>'Tesorería 1'!$O6</f>
        <v>0</v>
      </c>
      <c r="E8" s="1880">
        <f>'Tesorería 2'!$O6</f>
        <v>0</v>
      </c>
      <c r="F8" s="1880">
        <f>'Tesorería 3'!$O6</f>
        <v>0</v>
      </c>
      <c r="G8" s="1881">
        <f>'Tesorería 4'!$O6</f>
        <v>0</v>
      </c>
    </row>
    <row r="9" spans="1:10" ht="21" customHeight="1" x14ac:dyDescent="0.25">
      <c r="A9" s="1882" t="s">
        <v>877</v>
      </c>
      <c r="B9" s="1883"/>
      <c r="C9" s="1884">
        <f>'Tesorería 0'!$O7</f>
        <v>0</v>
      </c>
      <c r="D9" s="1884">
        <f>'Tesorería 1'!$O7</f>
        <v>0</v>
      </c>
      <c r="E9" s="1884">
        <f>'Tesorería 2'!$O7</f>
        <v>0</v>
      </c>
      <c r="F9" s="1884">
        <f>'Tesorería 3'!$O7</f>
        <v>0</v>
      </c>
      <c r="G9" s="1885">
        <f>'Tesorería 4'!$O7</f>
        <v>0</v>
      </c>
      <c r="H9" s="1129"/>
    </row>
    <row r="10" spans="1:10" ht="21" customHeight="1" x14ac:dyDescent="0.25">
      <c r="A10" s="1882" t="s">
        <v>9</v>
      </c>
      <c r="B10" s="1883"/>
      <c r="C10" s="1883">
        <f>'Tesorería 0'!$O8</f>
        <v>0</v>
      </c>
      <c r="D10" s="1883">
        <f>'Tesorería 1'!$O8</f>
        <v>0</v>
      </c>
      <c r="E10" s="1883">
        <f>'Tesorería 2'!$O8</f>
        <v>0</v>
      </c>
      <c r="F10" s="1883">
        <f>'Tesorería 3'!$O8</f>
        <v>0</v>
      </c>
      <c r="G10" s="1886">
        <f>'Tesorería 4'!$O8</f>
        <v>0</v>
      </c>
    </row>
    <row r="11" spans="1:10" ht="21" customHeight="1" x14ac:dyDescent="0.25">
      <c r="A11" s="1882" t="s">
        <v>1</v>
      </c>
      <c r="B11" s="1883"/>
      <c r="C11" s="1883">
        <f>'Tesorería 0'!$O9</f>
        <v>0</v>
      </c>
      <c r="D11" s="1883">
        <f>'Tesorería 1'!$O9</f>
        <v>0</v>
      </c>
      <c r="E11" s="1883">
        <f>'Tesorería 2'!$O9</f>
        <v>0</v>
      </c>
      <c r="F11" s="1883">
        <f>'Tesorería 3'!$O9</f>
        <v>0</v>
      </c>
      <c r="G11" s="1886">
        <f>'Tesorería 4'!$O9</f>
        <v>0</v>
      </c>
    </row>
    <row r="12" spans="1:10" s="305" customFormat="1" ht="21" customHeight="1" thickBot="1" x14ac:dyDescent="0.3">
      <c r="A12" s="2126" t="s">
        <v>984</v>
      </c>
      <c r="B12" s="2127"/>
      <c r="C12" s="2127">
        <f>SUM(C8:C11)</f>
        <v>0</v>
      </c>
      <c r="D12" s="2127">
        <f>SUM(D8:D11)</f>
        <v>0</v>
      </c>
      <c r="E12" s="2127">
        <f>SUM(E8:E11)</f>
        <v>0</v>
      </c>
      <c r="F12" s="2127">
        <f>SUM(F8:F11)</f>
        <v>0</v>
      </c>
      <c r="G12" s="2128">
        <f>SUM(G8:G11)</f>
        <v>0</v>
      </c>
    </row>
    <row r="13" spans="1:10" s="305" customFormat="1" ht="18.75" customHeight="1" thickBot="1" x14ac:dyDescent="0.3">
      <c r="A13" s="1168"/>
      <c r="B13" s="446"/>
      <c r="C13" s="446"/>
      <c r="D13" s="446"/>
      <c r="E13" s="446"/>
      <c r="F13" s="446"/>
      <c r="G13" s="446"/>
    </row>
    <row r="14" spans="1:10" s="305" customFormat="1" ht="21" customHeight="1" x14ac:dyDescent="0.25">
      <c r="A14" s="1852" t="s">
        <v>981</v>
      </c>
      <c r="B14" s="1855"/>
      <c r="C14" s="1855"/>
      <c r="D14" s="1855"/>
      <c r="E14" s="1855"/>
      <c r="F14" s="1855"/>
      <c r="G14" s="1853"/>
      <c r="H14" s="445"/>
    </row>
    <row r="15" spans="1:10" s="305" customFormat="1" ht="21" customHeight="1" x14ac:dyDescent="0.25">
      <c r="A15" s="1879" t="s">
        <v>264</v>
      </c>
      <c r="B15" s="1880"/>
      <c r="C15" s="1880">
        <f>'Tesorería 0'!$O13</f>
        <v>15716.639999999998</v>
      </c>
      <c r="D15" s="1880">
        <f>'Tesorería 1'!$O13</f>
        <v>16302.72</v>
      </c>
      <c r="E15" s="1880">
        <f>'Tesorería 2'!$O13</f>
        <v>18318.163200000003</v>
      </c>
      <c r="F15" s="1880">
        <f>'Tesorería 3'!$O13</f>
        <v>18952.067327999997</v>
      </c>
      <c r="G15" s="1881">
        <f>'Tesorería 4'!$O13</f>
        <v>19611.327621120006</v>
      </c>
      <c r="H15" s="446"/>
    </row>
    <row r="16" spans="1:10" ht="21" customHeight="1" x14ac:dyDescent="0.25">
      <c r="A16" s="1882" t="s">
        <v>263</v>
      </c>
      <c r="B16" s="1883"/>
      <c r="C16" s="1884">
        <f>'Tesorería 0'!$O14</f>
        <v>0</v>
      </c>
      <c r="D16" s="1884">
        <f>'Tesorería 1'!$O14</f>
        <v>0</v>
      </c>
      <c r="E16" s="1884">
        <f>'Tesorería 2'!$O14</f>
        <v>0</v>
      </c>
      <c r="F16" s="1884">
        <f>'Tesorería 3'!$O14</f>
        <v>0</v>
      </c>
      <c r="G16" s="1885">
        <f>'Tesorería 4'!$O14</f>
        <v>0</v>
      </c>
    </row>
    <row r="17" spans="1:8" ht="21" customHeight="1" x14ac:dyDescent="0.25">
      <c r="A17" s="1882" t="s">
        <v>1047</v>
      </c>
      <c r="B17" s="1883"/>
      <c r="C17" s="1883">
        <f>'Tesorería 0'!$O15</f>
        <v>646.31946839369516</v>
      </c>
      <c r="D17" s="1883">
        <f>'Tesorería 1'!$O15</f>
        <v>1860.8104958238205</v>
      </c>
      <c r="E17" s="1883">
        <f>'Tesorería 2'!$O15</f>
        <v>3239.7896967037746</v>
      </c>
      <c r="F17" s="1883">
        <f>'Tesorería 3'!$O15</f>
        <v>4818.9543076760046</v>
      </c>
      <c r="G17" s="1886">
        <f>'Tesorería 4'!$O15</f>
        <v>6558.9313748479281</v>
      </c>
    </row>
    <row r="18" spans="1:8" ht="16.5" customHeight="1" x14ac:dyDescent="0.25">
      <c r="A18" s="1882"/>
      <c r="B18" s="1883"/>
      <c r="C18" s="1884"/>
      <c r="D18" s="1884"/>
      <c r="E18" s="1884"/>
      <c r="F18" s="1884"/>
      <c r="G18" s="1885"/>
    </row>
    <row r="19" spans="1:8" ht="21" customHeight="1" x14ac:dyDescent="0.25">
      <c r="A19" s="1887" t="s">
        <v>987</v>
      </c>
      <c r="B19" s="1883"/>
      <c r="C19" s="1883"/>
      <c r="D19" s="1883"/>
      <c r="E19" s="1883"/>
      <c r="F19" s="1883"/>
      <c r="G19" s="1886"/>
    </row>
    <row r="20" spans="1:8" ht="21" customHeight="1" x14ac:dyDescent="0.25">
      <c r="A20" s="1882" t="s">
        <v>956</v>
      </c>
      <c r="B20" s="1883"/>
      <c r="C20" s="1883">
        <f>'Tesorería 0'!$O19</f>
        <v>0</v>
      </c>
      <c r="D20" s="1883">
        <f>'Tesorería 1'!$O19</f>
        <v>0</v>
      </c>
      <c r="E20" s="1883">
        <f>'Tesorería 2'!$O19</f>
        <v>0</v>
      </c>
      <c r="F20" s="1883">
        <f>'Tesorería 3'!$O19</f>
        <v>0</v>
      </c>
      <c r="G20" s="1886">
        <f>'Tesorería 4'!$O19</f>
        <v>0</v>
      </c>
    </row>
    <row r="21" spans="1:8" ht="21" customHeight="1" x14ac:dyDescent="0.25">
      <c r="A21" s="1882" t="s">
        <v>1006</v>
      </c>
      <c r="B21" s="1883"/>
      <c r="C21" s="1884">
        <f>'Tesorería 0'!$O20</f>
        <v>0</v>
      </c>
      <c r="D21" s="1884">
        <f>'Tesorería 1'!$O20</f>
        <v>0</v>
      </c>
      <c r="E21" s="1884">
        <f>'Tesorería 2'!$O20</f>
        <v>0</v>
      </c>
      <c r="F21" s="1884">
        <f>'Tesorería 3'!$O20</f>
        <v>0</v>
      </c>
      <c r="G21" s="1885">
        <f>'Tesorería 4'!$O20</f>
        <v>0</v>
      </c>
    </row>
    <row r="22" spans="1:8" ht="21" customHeight="1" x14ac:dyDescent="0.25">
      <c r="A22" s="1882" t="s">
        <v>993</v>
      </c>
      <c r="B22" s="1883"/>
      <c r="C22" s="1883">
        <f>'Tesorería 0'!$O21</f>
        <v>0</v>
      </c>
      <c r="D22" s="1883">
        <f>'Tesorería 1'!$O21</f>
        <v>0</v>
      </c>
      <c r="E22" s="1883">
        <f>'Tesorería 2'!$O21</f>
        <v>0</v>
      </c>
      <c r="F22" s="1883">
        <f>'Tesorería 3'!$O21</f>
        <v>0</v>
      </c>
      <c r="G22" s="1886">
        <f>'Tesorería 4'!$O21</f>
        <v>0</v>
      </c>
    </row>
    <row r="23" spans="1:8" ht="21" customHeight="1" x14ac:dyDescent="0.25">
      <c r="A23" s="1882" t="s">
        <v>111</v>
      </c>
      <c r="B23" s="1883"/>
      <c r="C23" s="1883">
        <f>'Tesorería 0'!$O22</f>
        <v>0</v>
      </c>
      <c r="D23" s="1883">
        <f>'Tesorería 1'!$O22</f>
        <v>0</v>
      </c>
      <c r="E23" s="1883">
        <f>'Tesorería 2'!$O22</f>
        <v>0</v>
      </c>
      <c r="F23" s="1883">
        <f>'Tesorería 3'!$O22</f>
        <v>0</v>
      </c>
      <c r="G23" s="1886">
        <f>'Tesorería 4'!$O22</f>
        <v>0</v>
      </c>
    </row>
    <row r="24" spans="1:8" s="305" customFormat="1" ht="21" customHeight="1" thickBot="1" x14ac:dyDescent="0.3">
      <c r="A24" s="2126" t="s">
        <v>266</v>
      </c>
      <c r="B24" s="2127"/>
      <c r="C24" s="2127">
        <f>SUM(C15:C23)</f>
        <v>16362.959468393692</v>
      </c>
      <c r="D24" s="2127">
        <f>SUM(D15:D23)</f>
        <v>18163.530495823819</v>
      </c>
      <c r="E24" s="2127">
        <f>SUM(E15:E23)</f>
        <v>21557.952896703777</v>
      </c>
      <c r="F24" s="2127">
        <f>SUM(F15:F23)</f>
        <v>23771.021635676003</v>
      </c>
      <c r="G24" s="2128">
        <f>SUM(G15:G23)</f>
        <v>26170.258995967935</v>
      </c>
    </row>
    <row r="25" spans="1:8" s="305" customFormat="1" ht="21" customHeight="1" thickBot="1" x14ac:dyDescent="0.3"/>
    <row r="26" spans="1:8" s="658" customFormat="1" ht="21" customHeight="1" thickBot="1" x14ac:dyDescent="0.3">
      <c r="A26" s="1403" t="s">
        <v>306</v>
      </c>
      <c r="B26" s="1404"/>
      <c r="C26" s="1401">
        <f>C12-C24</f>
        <v>-16362.959468393692</v>
      </c>
      <c r="D26" s="1401">
        <f>D12-D24</f>
        <v>-18163.530495823819</v>
      </c>
      <c r="E26" s="1401">
        <f>E12-E24</f>
        <v>-21557.952896703777</v>
      </c>
      <c r="F26" s="1401">
        <f>F12-F24</f>
        <v>-23771.021635676003</v>
      </c>
      <c r="G26" s="1402">
        <f>G12-G24</f>
        <v>-26170.258995967935</v>
      </c>
      <c r="H26" s="1130"/>
    </row>
    <row r="27" spans="1:8" s="305" customFormat="1" ht="21" customHeight="1" thickBot="1" x14ac:dyDescent="0.3">
      <c r="A27" s="1169"/>
    </row>
    <row r="28" spans="1:8" s="658" customFormat="1" ht="21" customHeight="1" thickBot="1" x14ac:dyDescent="0.3">
      <c r="A28" s="1399" t="s">
        <v>982</v>
      </c>
      <c r="B28" s="1400">
        <f>'Tesorería 0'!$B29</f>
        <v>0</v>
      </c>
      <c r="C28" s="1401">
        <f>'Tesorería 0'!$N$29</f>
        <v>2000</v>
      </c>
      <c r="D28" s="1401">
        <f>'Tesorería 1'!$N$29</f>
        <v>2000</v>
      </c>
      <c r="E28" s="1401">
        <f>'Tesorería 2'!$N$29</f>
        <v>2000</v>
      </c>
      <c r="F28" s="1401">
        <f>'Tesorería 3'!$N$29</f>
        <v>2000</v>
      </c>
      <c r="G28" s="1402">
        <f>'Tesorería 4'!$N$29</f>
        <v>2000</v>
      </c>
      <c r="H28" s="1130"/>
    </row>
    <row r="29" spans="1:8" x14ac:dyDescent="0.25">
      <c r="A29" s="386"/>
      <c r="B29" s="386"/>
    </row>
    <row r="30" spans="1:8" ht="15.75" thickBot="1" x14ac:dyDescent="0.3">
      <c r="A30" s="386"/>
      <c r="B30" s="386"/>
    </row>
    <row r="31" spans="1:8" s="483" customFormat="1" ht="21" customHeight="1" x14ac:dyDescent="0.25">
      <c r="A31" s="1772"/>
      <c r="B31" s="1856" t="s">
        <v>66</v>
      </c>
      <c r="C31" s="1888">
        <f>'Tesorería 0'!$C32</f>
        <v>18362.959468393696</v>
      </c>
      <c r="D31" s="1888">
        <f>'Tesorería 1'!$C32</f>
        <v>36526.489964217515</v>
      </c>
      <c r="E31" s="1888">
        <f>'Tesorería 2'!$C32</f>
        <v>58084.442860921285</v>
      </c>
      <c r="F31" s="1888">
        <f>'Tesorería 3'!$C32</f>
        <v>81855.464496597284</v>
      </c>
      <c r="G31" s="1889">
        <f>'Tesorería 4'!$C32</f>
        <v>108025.72349256522</v>
      </c>
      <c r="H31" s="1132"/>
    </row>
    <row r="32" spans="1:8" s="483" customFormat="1" ht="21" customHeight="1" x14ac:dyDescent="0.25">
      <c r="A32" s="1773"/>
      <c r="B32" s="1857" t="s">
        <v>308</v>
      </c>
      <c r="C32" s="1890" t="str">
        <f>'Tesorería 0'!$D32</f>
        <v>diciembre</v>
      </c>
      <c r="D32" s="1890" t="str">
        <f>'Tesorería 1'!$D32</f>
        <v>diciembre</v>
      </c>
      <c r="E32" s="1890" t="str">
        <f>'Tesorería 2'!$D32</f>
        <v>diciembre</v>
      </c>
      <c r="F32" s="1890" t="str">
        <f>'Tesorería 3'!$D32</f>
        <v>diciembre</v>
      </c>
      <c r="G32" s="1891" t="str">
        <f>'Tesorería 4'!$D32</f>
        <v>noviembre</v>
      </c>
      <c r="H32" s="1132"/>
    </row>
    <row r="33" spans="1:15" s="483" customFormat="1" ht="21.75" customHeight="1" x14ac:dyDescent="0.25">
      <c r="A33" s="1773"/>
      <c r="B33" s="1857" t="s">
        <v>307</v>
      </c>
      <c r="C33" s="1890">
        <f>'Tesorería 0'!$C34</f>
        <v>2000.0000000000002</v>
      </c>
      <c r="D33" s="1890">
        <f>'Tesorería 1'!$C34</f>
        <v>2000.0000000000036</v>
      </c>
      <c r="E33" s="1890">
        <f>'Tesorería 2'!$C34</f>
        <v>2000</v>
      </c>
      <c r="F33" s="1890">
        <f>'Tesorería 3'!$C34</f>
        <v>2000.0000000000073</v>
      </c>
      <c r="G33" s="1891">
        <f>'Tesorería 4'!$C34</f>
        <v>2000</v>
      </c>
      <c r="H33" s="1132"/>
    </row>
    <row r="34" spans="1:15" s="483" customFormat="1" ht="21" customHeight="1" thickBot="1" x14ac:dyDescent="0.3">
      <c r="A34" s="1774"/>
      <c r="B34" s="1858" t="s">
        <v>315</v>
      </c>
      <c r="C34" s="1892" t="str">
        <f>'Tesorería 0'!$D34</f>
        <v>enero</v>
      </c>
      <c r="D34" s="1892" t="str">
        <f>'Tesorería 1'!$D34</f>
        <v>octubre</v>
      </c>
      <c r="E34" s="1892" t="str">
        <f>'Tesorería 2'!$D34</f>
        <v>enero</v>
      </c>
      <c r="F34" s="1892" t="str">
        <f>'Tesorería 3'!$D34</f>
        <v>abril</v>
      </c>
      <c r="G34" s="1893" t="str">
        <f>'Tesorería 4'!$D34</f>
        <v>enero</v>
      </c>
      <c r="H34" s="1133"/>
    </row>
    <row r="35" spans="1:15" x14ac:dyDescent="0.25">
      <c r="A35" s="386"/>
      <c r="B35" s="386"/>
    </row>
    <row r="36" spans="1:15" ht="17.25" x14ac:dyDescent="0.3">
      <c r="A36" s="307"/>
      <c r="B36" s="307"/>
    </row>
    <row r="37" spans="1:15" ht="17.25" x14ac:dyDescent="0.3">
      <c r="A37" s="307"/>
      <c r="B37" s="307"/>
    </row>
    <row r="38" spans="1:15" ht="17.25" x14ac:dyDescent="0.3">
      <c r="A38" s="2338"/>
      <c r="B38" s="2338"/>
      <c r="C38" s="2339"/>
      <c r="D38" s="2339"/>
      <c r="E38" s="2339"/>
      <c r="F38" s="2339"/>
      <c r="G38" s="2339"/>
      <c r="H38" s="2339"/>
      <c r="I38" s="2339"/>
      <c r="J38" s="2339"/>
      <c r="K38" s="2339"/>
      <c r="L38" s="2339"/>
      <c r="M38" s="2339"/>
      <c r="N38" s="2336"/>
      <c r="O38" s="2336"/>
    </row>
    <row r="39" spans="1:15" s="662" customFormat="1" ht="17.25" x14ac:dyDescent="0.3">
      <c r="A39" s="2338"/>
      <c r="B39" s="2338" t="s">
        <v>960</v>
      </c>
      <c r="C39" s="2338" t="s">
        <v>961</v>
      </c>
      <c r="D39" s="2338" t="s">
        <v>962</v>
      </c>
      <c r="E39" s="2338" t="s">
        <v>963</v>
      </c>
      <c r="F39" s="2338" t="s">
        <v>964</v>
      </c>
      <c r="G39" s="2338" t="s">
        <v>965</v>
      </c>
      <c r="H39" s="2338" t="s">
        <v>966</v>
      </c>
      <c r="I39" s="2338" t="s">
        <v>967</v>
      </c>
      <c r="J39" s="2338" t="s">
        <v>968</v>
      </c>
      <c r="K39" s="2338" t="s">
        <v>969</v>
      </c>
      <c r="L39" s="2338" t="s">
        <v>970</v>
      </c>
      <c r="M39" s="2338" t="s">
        <v>972</v>
      </c>
      <c r="N39" s="2336"/>
    </row>
    <row r="40" spans="1:15" s="662" customFormat="1" ht="17.25" x14ac:dyDescent="0.3">
      <c r="A40" s="2340" t="str">
        <f>'Datos Básicos'!B16</f>
        <v>Año 0</v>
      </c>
      <c r="B40" s="2341">
        <f>'Tesorería 0'!C29-'Tesorería 0'!C27</f>
        <v>-1309.72</v>
      </c>
      <c r="C40" s="2341">
        <f>'Tesorería 0'!D29-'Tesorería 0'!D27</f>
        <v>-2638.7467000000006</v>
      </c>
      <c r="D40" s="2341">
        <f>'Tesorería 0'!E29-'Tesorería 0'!E27</f>
        <v>-3975.5260557500005</v>
      </c>
      <c r="E40" s="2341">
        <f>'Tesorería 0'!F29-'Tesorería 0'!F27</f>
        <v>-5320.1032910752092</v>
      </c>
      <c r="F40" s="2341">
        <f>'Tesorería 0'!G29-'Tesorería 0'!G27</f>
        <v>-6672.5238936064816</v>
      </c>
      <c r="G40" s="2341">
        <f>'Tesorería 0'!H29-'Tesorería 0'!H27</f>
        <v>-8032.8336163191852</v>
      </c>
      <c r="H40" s="2341">
        <f>'Tesorería 0'!I29-'Tesorería 0'!I27</f>
        <v>-9401.0784790810467</v>
      </c>
      <c r="I40" s="2341">
        <f>'Tesorería 0'!J29-'Tesorería 0'!J27</f>
        <v>-10777.304770209019</v>
      </c>
      <c r="J40" s="2341">
        <f>'Tesorería 0'!K29-'Tesorería 0'!K27</f>
        <v>-12161.559048035238</v>
      </c>
      <c r="K40" s="2341">
        <f>'Tesorería 0'!L29-'Tesorería 0'!L27</f>
        <v>-13553.88814248211</v>
      </c>
      <c r="L40" s="2341">
        <f>'Tesorería 0'!M29-'Tesorería 0'!M27</f>
        <v>-14954.339156646589</v>
      </c>
      <c r="M40" s="2341">
        <f>'Tesorería 0'!N29-'Tesorería 0'!N27</f>
        <v>-16362.959468393696</v>
      </c>
      <c r="N40" s="2336"/>
    </row>
    <row r="41" spans="1:15" s="662" customFormat="1" ht="17.25" x14ac:dyDescent="0.3">
      <c r="A41" s="2340">
        <f>'Datos Básicos'!C16</f>
        <v>1</v>
      </c>
      <c r="B41" s="2341">
        <f>'Tesorería 1'!C29-'Tesorería 1'!C27</f>
        <v>-17828.636731959326</v>
      </c>
      <c r="C41" s="2341">
        <f>'Tesorería 1'!D29-'Tesorería 1'!D27</f>
        <v>-19302.863779562424</v>
      </c>
      <c r="D41" s="2341">
        <f>'Tesorería 1'!E29-'Tesorería 1'!E27</f>
        <v>-20785.690484943203</v>
      </c>
      <c r="E41" s="2341">
        <f>'Tesorería 1'!F29-'Tesorería 1'!F27</f>
        <v>-22277.167012772039</v>
      </c>
      <c r="F41" s="2341">
        <f>'Tesorería 1'!G29-'Tesorería 1'!G27</f>
        <v>-23777.343820346541</v>
      </c>
      <c r="G41" s="2341">
        <f>'Tesorería 1'!H29-'Tesorería 1'!H27</f>
        <v>-25286.271659298563</v>
      </c>
      <c r="H41" s="2341">
        <f>'Tesorería 1'!I29-'Tesorería 1'!I27</f>
        <v>-26804.001577311137</v>
      </c>
      <c r="I41" s="2341">
        <f>'Tesorería 1'!J29-'Tesorería 1'!J27</f>
        <v>-28330.584919845453</v>
      </c>
      <c r="J41" s="2341">
        <f>'Tesorería 1'!K29-'Tesorería 1'!K27</f>
        <v>-29866.073331877884</v>
      </c>
      <c r="K41" s="2341">
        <f>'Tesorería 1'!L29-'Tesorería 1'!L27</f>
        <v>-31410.51875964717</v>
      </c>
      <c r="L41" s="2341">
        <f>'Tesorería 1'!M29-'Tesorería 1'!M27</f>
        <v>-32963.973452411781</v>
      </c>
      <c r="M41" s="2341">
        <f>'Tesorería 1'!N29-'Tesorería 1'!N27</f>
        <v>-34526.489964217515</v>
      </c>
      <c r="N41" s="2336"/>
    </row>
    <row r="42" spans="1:15" s="662" customFormat="1" ht="17.25" x14ac:dyDescent="0.3">
      <c r="A42" s="2340">
        <f>'Datos Básicos'!D16</f>
        <v>2</v>
      </c>
      <c r="B42" s="2341">
        <f>'Tesorería 2'!C29-'Tesorería 2'!C27</f>
        <v>-36266.07475567545</v>
      </c>
      <c r="C42" s="2341">
        <f>'Tesorería 2'!D29-'Tesorería 2'!D27</f>
        <v>-38015.807125083556</v>
      </c>
      <c r="D42" s="2341">
        <f>'Tesorería 2'!E29-'Tesorería 2'!E27</f>
        <v>-39775.746266646544</v>
      </c>
      <c r="E42" s="2341">
        <f>'Tesorería 2'!F29-'Tesorería 2'!F27</f>
        <v>-41545.951719868652</v>
      </c>
      <c r="F42" s="2341">
        <f>'Tesorería 2'!G29-'Tesorería 2'!G27</f>
        <v>-43326.483371567883</v>
      </c>
      <c r="G42" s="2341">
        <f>'Tesorería 2'!H29-'Tesorería 2'!H27</f>
        <v>-45117.40145790203</v>
      </c>
      <c r="H42" s="2341">
        <f>'Tesorería 2'!I29-'Tesorería 2'!I27</f>
        <v>-46918.766566406455</v>
      </c>
      <c r="I42" s="2341">
        <f>'Tesorería 2'!J29-'Tesorería 2'!J27</f>
        <v>-48730.639638043824</v>
      </c>
      <c r="J42" s="2341">
        <f>'Tesorería 2'!K29-'Tesorería 2'!K27</f>
        <v>-50553.081969265746</v>
      </c>
      <c r="K42" s="2341">
        <f>'Tesorería 2'!L29-'Tesorería 2'!L27</f>
        <v>-52386.155214086466</v>
      </c>
      <c r="L42" s="2341">
        <f>'Tesorería 2'!M29-'Tesorería 2'!M27</f>
        <v>-54229.921386168637</v>
      </c>
      <c r="M42" s="2341">
        <f>'Tesorería 2'!N29-'Tesorería 2'!N27</f>
        <v>-56084.442860921285</v>
      </c>
      <c r="N42" s="2336"/>
    </row>
    <row r="43" spans="1:15" s="662" customFormat="1" ht="17.25" x14ac:dyDescent="0.3">
      <c r="A43" s="2340">
        <f>'Datos Básicos'!E16</f>
        <v>3</v>
      </c>
      <c r="B43" s="2341">
        <f>'Tesorería 3'!C29-'Tesorería 3'!C27</f>
        <v>-58002.607721609995</v>
      </c>
      <c r="C43" s="2341">
        <f>'Tesorería 3'!D29-'Tesorería 3'!D27</f>
        <v>-59931.961877319387</v>
      </c>
      <c r="D43" s="2341">
        <f>'Tesorería 3'!E29-'Tesorería 3'!E27</f>
        <v>-61872.570598937084</v>
      </c>
      <c r="E43" s="2341">
        <f>'Tesorería 3'!F29-'Tesorería 3'!F27</f>
        <v>-63824.499538097552</v>
      </c>
      <c r="F43" s="2341">
        <f>'Tesorería 3'!G29-'Tesorería 3'!G27</f>
        <v>-65787.814729403122</v>
      </c>
      <c r="G43" s="2341">
        <f>'Tesorería 3'!H29-'Tesorería 3'!H27</f>
        <v>-67762.582592657971</v>
      </c>
      <c r="H43" s="2341">
        <f>'Tesorería 3'!I29-'Tesorería 3'!I27</f>
        <v>-69748.869935115144</v>
      </c>
      <c r="I43" s="2341">
        <f>'Tesorería 3'!J29-'Tesorería 3'!J27</f>
        <v>-71746.743953736644</v>
      </c>
      <c r="J43" s="2341">
        <f>'Tesorería 3'!K29-'Tesorería 3'!K27</f>
        <v>-73756.272237466779</v>
      </c>
      <c r="K43" s="2341">
        <f>'Tesorería 3'!L29-'Tesorería 3'!L27</f>
        <v>-75777.522769518662</v>
      </c>
      <c r="L43" s="2341">
        <f>'Tesorería 3'!M29-'Tesorería 3'!M27</f>
        <v>-77810.563929674187</v>
      </c>
      <c r="M43" s="2341">
        <f>'Tesorería 3'!N29-'Tesorería 3'!N27</f>
        <v>-79855.464496597284</v>
      </c>
      <c r="N43" s="2336"/>
    </row>
    <row r="44" spans="1:15" s="662" customFormat="1" ht="17.25" x14ac:dyDescent="0.3">
      <c r="A44" s="2340">
        <f>'Datos Básicos'!F16</f>
        <v>4</v>
      </c>
      <c r="B44" s="2341">
        <f>'Tesorería 4'!C29-'Tesorería 4'!C27</f>
        <v>-81967.232007920771</v>
      </c>
      <c r="C44" s="2341">
        <f>'Tesorería 4'!D29-'Tesorería 4'!D27</f>
        <v>-84091.318163060307</v>
      </c>
      <c r="D44" s="2341">
        <f>'Tesorería 4'!E29-'Tesorería 4'!E27</f>
        <v>-86227.794820771494</v>
      </c>
      <c r="E44" s="2341">
        <f>'Tesorería 4'!F29-'Tesorería 4'!F27</f>
        <v>-88376.734258985991</v>
      </c>
      <c r="F44" s="2341">
        <f>'Tesorería 4'!G29-'Tesorería 4'!G27</f>
        <v>-90538.209177256736</v>
      </c>
      <c r="G44" s="2341">
        <f>'Tesorería 4'!H29-'Tesorería 4'!H27</f>
        <v>-92712.292699217403</v>
      </c>
      <c r="H44" s="2341">
        <f>'Tesorería 4'!I29-'Tesorería 4'!I27</f>
        <v>-94899.058375056178</v>
      </c>
      <c r="I44" s="2341">
        <f>'Tesorería 4'!J29-'Tesorería 4'!J27</f>
        <v>-97098.580184004008</v>
      </c>
      <c r="J44" s="2341">
        <f>'Tesorería 4'!K29-'Tesorería 4'!K27</f>
        <v>-99310.932536837368</v>
      </c>
      <c r="K44" s="2341">
        <f>'Tesorería 4'!L29-'Tesorería 4'!L27</f>
        <v>-101536.19027839559</v>
      </c>
      <c r="L44" s="2341">
        <f>'Tesorería 4'!M29-'Tesorería 4'!M27</f>
        <v>-103774.42869011289</v>
      </c>
      <c r="M44" s="2341">
        <f>'Tesorería 4'!N29-'Tesorería 4'!N27</f>
        <v>-106025.72349256522</v>
      </c>
      <c r="N44" s="2336"/>
    </row>
    <row r="45" spans="1:15" ht="17.25" x14ac:dyDescent="0.3">
      <c r="A45" s="2342"/>
      <c r="B45" s="2338"/>
      <c r="C45" s="2339"/>
      <c r="D45" s="2339"/>
      <c r="E45" s="2339"/>
      <c r="F45" s="2339"/>
      <c r="G45" s="2339"/>
      <c r="H45" s="2339"/>
      <c r="I45" s="2339"/>
      <c r="J45" s="2339"/>
      <c r="K45" s="2339"/>
      <c r="L45" s="2339"/>
      <c r="M45" s="2339"/>
      <c r="N45" s="2336"/>
      <c r="O45" s="2336"/>
    </row>
    <row r="46" spans="1:15" ht="17.25" x14ac:dyDescent="0.3">
      <c r="A46" s="2337"/>
      <c r="B46" s="2335"/>
      <c r="C46" s="2336"/>
      <c r="D46" s="2336"/>
      <c r="E46" s="2336"/>
      <c r="F46" s="2336"/>
      <c r="G46" s="2336"/>
      <c r="H46" s="2336"/>
      <c r="I46" s="2336"/>
      <c r="J46" s="2336"/>
      <c r="K46" s="2336"/>
      <c r="L46" s="2336"/>
      <c r="M46" s="2336"/>
      <c r="N46" s="2336"/>
      <c r="O46" s="2336"/>
    </row>
    <row r="47" spans="1:15" ht="17.25" x14ac:dyDescent="0.3">
      <c r="A47" s="949"/>
      <c r="B47" s="307"/>
    </row>
    <row r="48" spans="1:15" ht="17.25" x14ac:dyDescent="0.3">
      <c r="A48" s="949"/>
      <c r="B48" s="307"/>
    </row>
    <row r="49" spans="1:2" ht="17.25" x14ac:dyDescent="0.3">
      <c r="A49" s="307"/>
      <c r="B49" s="307"/>
    </row>
    <row r="50" spans="1:2" ht="17.25" x14ac:dyDescent="0.3">
      <c r="A50" s="307"/>
      <c r="B50" s="307"/>
    </row>
    <row r="51" spans="1:2" ht="17.25" x14ac:dyDescent="0.3">
      <c r="A51" s="307"/>
      <c r="B51" s="307"/>
    </row>
    <row r="52" spans="1:2" ht="17.25" x14ac:dyDescent="0.3">
      <c r="A52" s="307"/>
      <c r="B52" s="307"/>
    </row>
  </sheetData>
  <sheetProtection sheet="1" objects="1" scenarios="1" formatCells="0" formatColumns="0"/>
  <mergeCells count="1">
    <mergeCell ref="A1:H1"/>
  </mergeCells>
  <phoneticPr fontId="13" type="noConversion"/>
  <printOptions horizontalCentered="1"/>
  <pageMargins left="0.86614173228346458" right="0.74803149606299213" top="1.01" bottom="0.62" header="0.11811023622047245" footer="0.11811023622047245"/>
  <pageSetup paperSize="9" scale="68" orientation="portrait" horizontalDpi="300" verticalDpi="300" r:id="rId1"/>
  <headerFooter alignWithMargins="0">
    <oddFooter>&amp;A</oddFooter>
  </headerFooter>
  <ignoredErrors>
    <ignoredError sqref="B41" evalError="1"/>
  </ignoredErrors>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Hoja35">
    <tabColor rgb="FFFFB81F"/>
    <pageSetUpPr fitToPage="1"/>
  </sheetPr>
  <dimension ref="A1:I69"/>
  <sheetViews>
    <sheetView showGridLines="0" topLeftCell="A16" workbookViewId="0">
      <selection sqref="A1:G1"/>
    </sheetView>
  </sheetViews>
  <sheetFormatPr baseColWidth="10" defaultRowHeight="17.25" x14ac:dyDescent="0.3"/>
  <cols>
    <col min="1" max="1" width="28" style="307" customWidth="1"/>
    <col min="2" max="2" width="11.625" style="307" bestFit="1" customWidth="1"/>
    <col min="3" max="3" width="12.375" style="307" customWidth="1"/>
    <col min="4" max="4" width="13.125" style="307" customWidth="1"/>
    <col min="5" max="5" width="12.875" style="307" customWidth="1"/>
    <col min="6" max="6" width="12.375" style="307" customWidth="1"/>
    <col min="7" max="7" width="11" style="307"/>
    <col min="8" max="8" width="21.625" style="307" bestFit="1" customWidth="1"/>
    <col min="9" max="16384" width="11" style="307"/>
  </cols>
  <sheetData>
    <row r="1" spans="1:9" ht="30" customHeight="1" x14ac:dyDescent="0.45">
      <c r="A1" s="2534" t="s">
        <v>187</v>
      </c>
      <c r="B1" s="2535"/>
      <c r="C1" s="2535"/>
      <c r="D1" s="2535"/>
      <c r="E1" s="2535"/>
      <c r="F1" s="2535"/>
      <c r="G1" s="2506"/>
    </row>
    <row r="2" spans="1:9" ht="19.5" x14ac:dyDescent="0.3">
      <c r="H2" s="1189"/>
      <c r="I2" s="1075"/>
    </row>
    <row r="3" spans="1:9" ht="19.5" x14ac:dyDescent="0.3">
      <c r="H3" s="1189"/>
      <c r="I3" s="1075"/>
    </row>
    <row r="4" spans="1:9" ht="20.25" thickBot="1" x14ac:dyDescent="0.35">
      <c r="H4" s="1189"/>
      <c r="I4" s="1075"/>
    </row>
    <row r="5" spans="1:9" s="407" customFormat="1" ht="18.75" customHeight="1" thickBot="1" x14ac:dyDescent="0.3">
      <c r="A5" s="1815" t="str">
        <f>'Datos Básicos'!A5</f>
        <v>Centro :</v>
      </c>
      <c r="B5" s="1816" t="str">
        <f>'Datos Básicos'!B5</f>
        <v>Centro Andaluz de Emprendimiento</v>
      </c>
      <c r="C5" s="1440"/>
      <c r="D5" s="1440"/>
      <c r="E5" s="1440"/>
      <c r="F5" s="1441"/>
    </row>
    <row r="6" spans="1:9" s="407" customFormat="1" ht="18.75" customHeight="1" thickBot="1" x14ac:dyDescent="0.3">
      <c r="A6" s="1815" t="s">
        <v>469</v>
      </c>
      <c r="B6" s="1814" t="str">
        <f>'Datos Básicos'!B6</f>
        <v>CADE xxxxxx</v>
      </c>
      <c r="C6" s="1442"/>
      <c r="D6" s="1442"/>
      <c r="E6" s="1442"/>
      <c r="F6" s="1443"/>
    </row>
    <row r="7" spans="1:9" ht="18" thickBot="1" x14ac:dyDescent="0.35">
      <c r="A7" s="669"/>
      <c r="B7" s="719"/>
    </row>
    <row r="8" spans="1:9" s="386" customFormat="1" ht="15.75" thickBot="1" x14ac:dyDescent="0.3">
      <c r="A8" s="1817" t="s">
        <v>131</v>
      </c>
      <c r="B8" s="2532">
        <f>'Datos Básicos'!B13:C13</f>
        <v>45461</v>
      </c>
      <c r="C8" s="2533"/>
    </row>
    <row r="9" spans="1:9" s="386" customFormat="1" ht="15.75" thickBot="1" x14ac:dyDescent="0.3">
      <c r="A9" s="405"/>
    </row>
    <row r="10" spans="1:9" s="720" customFormat="1" ht="16.5" customHeight="1" thickBot="1" x14ac:dyDescent="0.3">
      <c r="A10" s="1817" t="s">
        <v>20</v>
      </c>
      <c r="B10" s="1818">
        <f>'Datos Básicos'!B8</f>
        <v>0</v>
      </c>
      <c r="C10" s="1444"/>
      <c r="D10" s="1444"/>
      <c r="E10" s="1444"/>
      <c r="F10" s="1445"/>
    </row>
    <row r="11" spans="1:9" s="720" customFormat="1" ht="16.5" customHeight="1" thickBot="1" x14ac:dyDescent="0.3">
      <c r="A11" s="1817" t="str">
        <f>'Datos Básicos'!A10</f>
        <v>Promotores:</v>
      </c>
      <c r="B11" s="1819" t="str">
        <f>IF('Datos Básicos'!B10="","",'Datos Básicos'!B10)</f>
        <v/>
      </c>
      <c r="C11" s="1446"/>
      <c r="D11" s="1446"/>
      <c r="E11" s="1446"/>
      <c r="F11" s="1447"/>
    </row>
    <row r="12" spans="1:9" s="720" customFormat="1" ht="16.5" customHeight="1" thickBot="1" x14ac:dyDescent="0.3">
      <c r="A12" s="1817" t="s">
        <v>129</v>
      </c>
      <c r="B12" s="1820" t="str">
        <f>'Datos Básicos'!B22:D22</f>
        <v>Empr. Individual (Reg. General)</v>
      </c>
      <c r="C12" s="1448"/>
      <c r="D12" s="1448"/>
      <c r="E12" s="1448"/>
      <c r="F12" s="1449"/>
    </row>
    <row r="13" spans="1:9" s="386" customFormat="1" ht="15.75" thickBot="1" x14ac:dyDescent="0.3">
      <c r="A13" s="367"/>
      <c r="B13" s="305"/>
    </row>
    <row r="14" spans="1:9" s="386" customFormat="1" ht="15.75" thickBot="1" x14ac:dyDescent="0.3">
      <c r="A14" s="1817" t="s">
        <v>189</v>
      </c>
      <c r="B14" s="2530">
        <f>DATE('Datos Básicos'!B17,mes0,1)</f>
        <v>46023</v>
      </c>
      <c r="C14" s="2531"/>
    </row>
    <row r="15" spans="1:9" s="386" customFormat="1" ht="15.75" thickBot="1" x14ac:dyDescent="0.3"/>
    <row r="16" spans="1:9" s="386" customFormat="1" ht="15.75" thickBot="1" x14ac:dyDescent="0.3">
      <c r="A16" s="1817" t="s">
        <v>470</v>
      </c>
      <c r="B16" s="1821">
        <f>'Financiación Inicial'!F4</f>
        <v>0</v>
      </c>
      <c r="C16" s="1450" t="str">
        <f>Parametros!$G$6</f>
        <v>€</v>
      </c>
    </row>
    <row r="17" spans="1:6" s="386" customFormat="1" ht="15.75" thickBot="1" x14ac:dyDescent="0.3">
      <c r="A17" s="1817" t="s">
        <v>471</v>
      </c>
      <c r="B17" s="1822">
        <f>'Financiación Inicial'!B7</f>
        <v>0</v>
      </c>
      <c r="C17" s="1451" t="e">
        <f>B17/B16</f>
        <v>#DIV/0!</v>
      </c>
    </row>
    <row r="18" spans="1:6" s="386" customFormat="1" ht="15.75" thickBot="1" x14ac:dyDescent="0.3">
      <c r="A18" s="1817" t="s">
        <v>857</v>
      </c>
      <c r="B18" s="1823">
        <f>'Financiación Inicial'!B16</f>
        <v>0</v>
      </c>
      <c r="C18" s="1452" t="e">
        <f>B18/B16</f>
        <v>#DIV/0!</v>
      </c>
    </row>
    <row r="19" spans="1:6" s="386" customFormat="1" ht="15.75" thickBot="1" x14ac:dyDescent="0.3">
      <c r="A19" s="721"/>
      <c r="B19" s="722"/>
      <c r="C19" s="723"/>
    </row>
    <row r="20" spans="1:6" s="386" customFormat="1" ht="15.75" thickBot="1" x14ac:dyDescent="0.3">
      <c r="A20" s="1817" t="s">
        <v>19</v>
      </c>
      <c r="B20" s="1824" t="str">
        <f>'Ratios Básicos'!C38</f>
        <v>N/D</v>
      </c>
      <c r="C20" s="1453" t="s">
        <v>128</v>
      </c>
    </row>
    <row r="21" spans="1:6" s="386" customFormat="1" ht="15.75" thickBot="1" x14ac:dyDescent="0.3">
      <c r="A21" s="1817" t="s">
        <v>302</v>
      </c>
      <c r="B21" s="1825" t="e">
        <f>'Ratios Básicos'!C39</f>
        <v>#DIV/0!</v>
      </c>
      <c r="C21" s="1455" t="s">
        <v>128</v>
      </c>
    </row>
    <row r="22" spans="1:6" s="386" customFormat="1" ht="15.75" thickBot="1" x14ac:dyDescent="0.3">
      <c r="A22" s="721"/>
      <c r="B22" s="724"/>
    </row>
    <row r="23" spans="1:6" s="386" customFormat="1" ht="15.75" thickBot="1" x14ac:dyDescent="0.3">
      <c r="A23" s="1817" t="s">
        <v>472</v>
      </c>
      <c r="B23" s="1821" t="e">
        <f ca="1">'Ratios Básicos'!C41</f>
        <v>#DIV/0!</v>
      </c>
      <c r="C23" s="1453" t="str">
        <f>Parametros!$G$6</f>
        <v>€</v>
      </c>
    </row>
    <row r="24" spans="1:6" s="386" customFormat="1" ht="15.75" thickBot="1" x14ac:dyDescent="0.3">
      <c r="A24" s="1817" t="s">
        <v>301</v>
      </c>
      <c r="B24" s="1826" t="e">
        <f ca="1">'Ratios Básicos'!C42</f>
        <v>#DIV/0!</v>
      </c>
      <c r="C24" s="1454"/>
    </row>
    <row r="25" spans="1:6" s="386" customFormat="1" ht="15.75" thickBot="1" x14ac:dyDescent="0.3">
      <c r="A25" s="1817" t="s">
        <v>303</v>
      </c>
      <c r="B25" s="1827" t="e">
        <f ca="1">'Ratios Básicos'!C43</f>
        <v>#DIV/0!</v>
      </c>
      <c r="C25" s="1455"/>
    </row>
    <row r="27" spans="1:6" ht="18" thickBot="1" x14ac:dyDescent="0.35"/>
    <row r="28" spans="1:6" x14ac:dyDescent="0.3">
      <c r="A28" s="1474" t="s">
        <v>191</v>
      </c>
      <c r="B28" s="1470" t="str">
        <f>'Datos Básicos'!B16</f>
        <v>Año 0</v>
      </c>
      <c r="C28" s="1456">
        <f>'Datos Básicos'!C16</f>
        <v>1</v>
      </c>
      <c r="D28" s="1456">
        <f>C28+1</f>
        <v>2</v>
      </c>
      <c r="E28" s="1456">
        <f>D28+1</f>
        <v>3</v>
      </c>
      <c r="F28" s="1456">
        <f>E28+1</f>
        <v>4</v>
      </c>
    </row>
    <row r="29" spans="1:6" ht="18" thickBot="1" x14ac:dyDescent="0.35">
      <c r="A29" s="1475" t="s">
        <v>192</v>
      </c>
      <c r="B29" s="1471">
        <f>'Datos Básicos'!B17</f>
        <v>2026</v>
      </c>
      <c r="C29" s="1457">
        <f>'Datos Básicos'!C17</f>
        <v>2027</v>
      </c>
      <c r="D29" s="1457">
        <f>'Datos Básicos'!D17</f>
        <v>2028</v>
      </c>
      <c r="E29" s="1457">
        <f>D29+1</f>
        <v>2029</v>
      </c>
      <c r="F29" s="1457">
        <f>E29+1</f>
        <v>2030</v>
      </c>
    </row>
    <row r="30" spans="1:6" ht="18" thickBot="1" x14ac:dyDescent="0.35">
      <c r="A30" s="1472" t="s">
        <v>473</v>
      </c>
      <c r="B30" s="1458">
        <f>'Ratios Básicos'!C34</f>
        <v>0</v>
      </c>
      <c r="C30" s="1458">
        <f>'Ratios Básicos'!D34</f>
        <v>0</v>
      </c>
      <c r="D30" s="1458">
        <f>'Ratios Básicos'!E34</f>
        <v>0</v>
      </c>
      <c r="E30" s="1458">
        <f>'Ratios Básicos'!F34</f>
        <v>0</v>
      </c>
      <c r="F30" s="1459">
        <f>'Ratios Básicos'!G34</f>
        <v>0</v>
      </c>
    </row>
    <row r="31" spans="1:6" ht="18" thickBot="1" x14ac:dyDescent="0.35">
      <c r="A31" s="1473" t="s">
        <v>474</v>
      </c>
      <c r="B31" s="1460">
        <f>'PyG anuales'!B18+'PyG anuales'!B11</f>
        <v>15716.64</v>
      </c>
      <c r="C31" s="1460">
        <f>'PyG anuales'!D18+'PyG anuales'!D11</f>
        <v>16302.720000000001</v>
      </c>
      <c r="D31" s="1460">
        <f>'PyG anuales'!G18+'PyG anuales'!G11</f>
        <v>18318.163200000006</v>
      </c>
      <c r="E31" s="1460">
        <f>'PyG anuales'!J18+'PyG anuales'!J11</f>
        <v>18952.067328000001</v>
      </c>
      <c r="F31" s="1461">
        <f>'PyG anuales'!M18+'PyG anuales'!M11</f>
        <v>19611.327621120003</v>
      </c>
    </row>
    <row r="32" spans="1:6" ht="18" thickBot="1" x14ac:dyDescent="0.35">
      <c r="A32" s="1473" t="s">
        <v>475</v>
      </c>
      <c r="B32" s="1462">
        <f>'PyG anuales'!B24</f>
        <v>-646.31946839369516</v>
      </c>
      <c r="C32" s="1462">
        <f>'PyG anuales'!D24</f>
        <v>-1860.8104958238205</v>
      </c>
      <c r="D32" s="1462">
        <f>'PyG anuales'!G24</f>
        <v>-3239.7896967037746</v>
      </c>
      <c r="E32" s="1462">
        <f>'PyG anuales'!J24</f>
        <v>-4818.9543076760046</v>
      </c>
      <c r="F32" s="1463">
        <f>'PyG anuales'!M24</f>
        <v>-6558.9313748479281</v>
      </c>
    </row>
    <row r="33" spans="1:6" ht="18" thickBot="1" x14ac:dyDescent="0.35">
      <c r="A33" s="1473" t="s">
        <v>476</v>
      </c>
      <c r="B33" s="1460" t="e">
        <f>'Ratios Básicos'!C35</f>
        <v>#DIV/0!</v>
      </c>
      <c r="C33" s="1460" t="e">
        <f>'Ratios Básicos'!D35</f>
        <v>#DIV/0!</v>
      </c>
      <c r="D33" s="1460" t="e">
        <f>'Ratios Básicos'!E35</f>
        <v>#DIV/0!</v>
      </c>
      <c r="E33" s="1460" t="e">
        <f>'Ratios Básicos'!F35</f>
        <v>#DIV/0!</v>
      </c>
      <c r="F33" s="1461" t="e">
        <f>'Ratios Básicos'!G35</f>
        <v>#DIV/0!</v>
      </c>
    </row>
    <row r="34" spans="1:6" ht="18" thickBot="1" x14ac:dyDescent="0.35">
      <c r="A34" s="1473" t="s">
        <v>477</v>
      </c>
      <c r="B34" s="1460">
        <f>'Tesorería 0'!$C$33</f>
        <v>-16362.959468393696</v>
      </c>
      <c r="C34" s="1460">
        <f>'Tesorería 1'!$C$33</f>
        <v>-18163.530495823819</v>
      </c>
      <c r="D34" s="1460">
        <f>'Tesorería 2'!$C$33</f>
        <v>-21557.95289670377</v>
      </c>
      <c r="E34" s="1460">
        <f>'Tesorería 3'!$C$33</f>
        <v>-23771.021635675999</v>
      </c>
      <c r="F34" s="1461">
        <f>'Tesorería 4'!$C$33</f>
        <v>-26170.258995967932</v>
      </c>
    </row>
    <row r="35" spans="1:6" ht="18" thickBot="1" x14ac:dyDescent="0.35">
      <c r="A35" s="1473"/>
      <c r="B35" s="1464"/>
      <c r="C35" s="1464"/>
      <c r="D35" s="1464"/>
      <c r="E35" s="1464"/>
      <c r="F35" s="1465"/>
    </row>
    <row r="36" spans="1:6" ht="18" thickBot="1" x14ac:dyDescent="0.35">
      <c r="A36" s="1473" t="s">
        <v>21</v>
      </c>
      <c r="B36" s="1466">
        <f>'Ratios Básicos'!C31</f>
        <v>1</v>
      </c>
      <c r="C36" s="1466">
        <f>'Ratios Básicos'!D31</f>
        <v>1</v>
      </c>
      <c r="D36" s="1466">
        <f>'Ratios Básicos'!E31</f>
        <v>1</v>
      </c>
      <c r="E36" s="1466">
        <f>'Ratios Básicos'!F31</f>
        <v>1</v>
      </c>
      <c r="F36" s="1467">
        <f>'Ratios Básicos'!G31</f>
        <v>1</v>
      </c>
    </row>
    <row r="37" spans="1:6" ht="18" thickBot="1" x14ac:dyDescent="0.35">
      <c r="A37" s="1473" t="s">
        <v>245</v>
      </c>
      <c r="B37" s="1468" t="e">
        <f>'P. Equilibrio'!C15</f>
        <v>#DIV/0!</v>
      </c>
      <c r="C37" s="1468" t="e">
        <f>'P. Equilibrio'!D15</f>
        <v>#DIV/0!</v>
      </c>
      <c r="D37" s="1468" t="e">
        <f>'P. Equilibrio'!E15</f>
        <v>#DIV/0!</v>
      </c>
      <c r="E37" s="1468" t="e">
        <f>'P. Equilibrio'!F15</f>
        <v>#DIV/0!</v>
      </c>
      <c r="F37" s="1469" t="e">
        <f>'P. Equilibrio'!G15</f>
        <v>#DIV/0!</v>
      </c>
    </row>
    <row r="38" spans="1:6" ht="18" thickBot="1" x14ac:dyDescent="0.35">
      <c r="A38" s="1473" t="s">
        <v>16</v>
      </c>
      <c r="B38" s="1468">
        <f>'Ratios Básicos'!C6</f>
        <v>1</v>
      </c>
      <c r="C38" s="1468">
        <f>'Ratios Básicos'!D6</f>
        <v>0.52607521108134947</v>
      </c>
      <c r="D38" s="1468">
        <f>'Ratios Básicos'!E6</f>
        <v>0.38438382904441765</v>
      </c>
      <c r="E38" s="1468">
        <f>'Ratios Básicos'!F6</f>
        <v>0.29767557906683906</v>
      </c>
      <c r="F38" s="1469">
        <f>'Ratios Básicos'!G6</f>
        <v>0.24682933663549159</v>
      </c>
    </row>
    <row r="39" spans="1:6" ht="18" thickBot="1" x14ac:dyDescent="0.35">
      <c r="A39" s="1473" t="s">
        <v>17</v>
      </c>
      <c r="B39" s="1468">
        <f>'Ratios Básicos'!C8</f>
        <v>-8.1814797341968468</v>
      </c>
      <c r="C39" s="1468">
        <f>'Ratios Básicos'!D8</f>
        <v>-9.0817652479119122</v>
      </c>
      <c r="D39" s="1468">
        <f>'Ratios Básicos'!E8</f>
        <v>-10.778976448351891</v>
      </c>
      <c r="E39" s="1468">
        <f>'Ratios Básicos'!F8</f>
        <v>-11.885510817838004</v>
      </c>
      <c r="F39" s="1469">
        <f>'Ratios Básicos'!G8</f>
        <v>-13.085129497983965</v>
      </c>
    </row>
    <row r="40" spans="1:6" ht="18" thickBot="1" x14ac:dyDescent="0.35">
      <c r="A40" s="1473" t="s">
        <v>18</v>
      </c>
      <c r="B40" s="1466" t="e">
        <f>'Ratios Básicos'!C33</f>
        <v>#DIV/0!</v>
      </c>
      <c r="C40" s="1466" t="e">
        <f>'Ratios Básicos'!D33</f>
        <v>#DIV/0!</v>
      </c>
      <c r="D40" s="1466" t="e">
        <f>'Ratios Básicos'!E33</f>
        <v>#DIV/0!</v>
      </c>
      <c r="E40" s="1466" t="e">
        <f>'Ratios Básicos'!F33</f>
        <v>#DIV/0!</v>
      </c>
      <c r="F40" s="1467" t="e">
        <f>'Ratios Básicos'!G33</f>
        <v>#DIV/0!</v>
      </c>
    </row>
    <row r="41" spans="1:6" x14ac:dyDescent="0.3">
      <c r="A41" s="725" t="str">
        <f>'PyG anuales'!A34</f>
        <v/>
      </c>
    </row>
    <row r="42" spans="1:6" ht="18" thickBot="1" x14ac:dyDescent="0.35"/>
    <row r="43" spans="1:6" ht="18" thickBot="1" x14ac:dyDescent="0.35">
      <c r="B43" s="1476" t="s">
        <v>190</v>
      </c>
      <c r="C43" s="1477"/>
      <c r="D43" s="1478"/>
    </row>
    <row r="44" spans="1:6" ht="18" thickBot="1" x14ac:dyDescent="0.35"/>
    <row r="45" spans="1:6" ht="18" thickBot="1" x14ac:dyDescent="0.35">
      <c r="B45" s="1476" t="s">
        <v>68</v>
      </c>
      <c r="C45" s="1477"/>
      <c r="D45" s="1478"/>
    </row>
    <row r="46" spans="1:6" x14ac:dyDescent="0.3">
      <c r="B46" s="1479"/>
      <c r="C46" s="1480" t="s">
        <v>72</v>
      </c>
      <c r="D46" s="1481" t="s">
        <v>71</v>
      </c>
    </row>
    <row r="47" spans="1:6" x14ac:dyDescent="0.3">
      <c r="B47" s="1482" t="str">
        <f>B28</f>
        <v>Año 0</v>
      </c>
      <c r="C47" s="1483" t="str">
        <f>IF('PyG anuales'!B26&gt;0,"OK","Pérdidas año 0")</f>
        <v>Pérdidas año 0</v>
      </c>
      <c r="D47" s="1484" t="e">
        <f>'P. Equilibrio'!C29</f>
        <v>#DIV/0!</v>
      </c>
    </row>
    <row r="48" spans="1:6" x14ac:dyDescent="0.3">
      <c r="B48" s="1485">
        <f>C28</f>
        <v>1</v>
      </c>
      <c r="C48" s="1483" t="str">
        <f>IF('PyG anuales'!D26&gt;0,"OK","Pérdidas año 1")</f>
        <v>Pérdidas año 1</v>
      </c>
      <c r="D48" s="1484" t="e">
        <f>'P. Equilibrio'!D29</f>
        <v>#DIV/0!</v>
      </c>
    </row>
    <row r="49" spans="2:5" x14ac:dyDescent="0.3">
      <c r="B49" s="1485">
        <f>B48+1</f>
        <v>2</v>
      </c>
      <c r="C49" s="1483" t="str">
        <f>IF('PyG anuales'!G26&gt;0,"OK","Pérdidas año 2")</f>
        <v>Pérdidas año 2</v>
      </c>
      <c r="D49" s="1484" t="e">
        <f>'P. Equilibrio'!E29</f>
        <v>#DIV/0!</v>
      </c>
    </row>
    <row r="50" spans="2:5" x14ac:dyDescent="0.3">
      <c r="B50" s="1485">
        <f>B49+1</f>
        <v>3</v>
      </c>
      <c r="C50" s="1483" t="str">
        <f>IF('PyG anuales'!J26&gt;0,"OK","Pérdidas año 3")</f>
        <v>Pérdidas año 3</v>
      </c>
      <c r="D50" s="1484" t="e">
        <f>'P. Equilibrio'!F29</f>
        <v>#DIV/0!</v>
      </c>
    </row>
    <row r="51" spans="2:5" ht="18" thickBot="1" x14ac:dyDescent="0.35">
      <c r="B51" s="1486">
        <f>B50+1</f>
        <v>4</v>
      </c>
      <c r="C51" s="1487" t="str">
        <f>IF('PyG anuales'!M26&gt;0,"OK","Pérdidas año 4")</f>
        <v>Pérdidas año 4</v>
      </c>
      <c r="D51" s="1488" t="e">
        <f>'P. Equilibrio'!G29</f>
        <v>#DIV/0!</v>
      </c>
    </row>
    <row r="52" spans="2:5" ht="18" thickBot="1" x14ac:dyDescent="0.35">
      <c r="B52" s="726"/>
      <c r="C52" s="726"/>
      <c r="D52" s="726"/>
    </row>
    <row r="53" spans="2:5" ht="18" thickBot="1" x14ac:dyDescent="0.35">
      <c r="B53" s="1489" t="s">
        <v>246</v>
      </c>
      <c r="C53" s="1432"/>
      <c r="D53" s="1490"/>
    </row>
    <row r="54" spans="2:5" x14ac:dyDescent="0.3">
      <c r="B54" s="1491"/>
      <c r="C54" s="1480" t="s">
        <v>74</v>
      </c>
      <c r="D54" s="1481" t="s">
        <v>73</v>
      </c>
    </row>
    <row r="55" spans="2:5" x14ac:dyDescent="0.3">
      <c r="B55" s="1482" t="s">
        <v>975</v>
      </c>
      <c r="C55" s="1492" t="str">
        <f>IF('Tesorería 0'!B29&lt;0,"Déficit","OK")</f>
        <v>OK</v>
      </c>
      <c r="D55" s="1493">
        <f>+'Tesorería 0'!B29</f>
        <v>0</v>
      </c>
    </row>
    <row r="56" spans="2:5" x14ac:dyDescent="0.3">
      <c r="B56" s="1482" t="str">
        <f>B47</f>
        <v>Año 0</v>
      </c>
      <c r="C56" s="1483" t="str">
        <f>IF('Tesorería 0'!$C$32=0,"OK","Déficit")</f>
        <v>Déficit</v>
      </c>
      <c r="D56" s="1494">
        <f>-'Tesorería 0'!$C$32</f>
        <v>-18362.959468393696</v>
      </c>
      <c r="E56" s="387" t="str">
        <f>IF(D56&lt;-0.4,"Incrementar financiación "&amp;B56,"")</f>
        <v>Incrementar financiación Año 0</v>
      </c>
    </row>
    <row r="57" spans="2:5" x14ac:dyDescent="0.3">
      <c r="B57" s="1485">
        <f>B48</f>
        <v>1</v>
      </c>
      <c r="C57" s="1483" t="str">
        <f>IF('Tesorería 1'!$C$32=0,"OK","Déficit")</f>
        <v>Déficit</v>
      </c>
      <c r="D57" s="1494">
        <f>-'Tesorería 1'!$C$32</f>
        <v>-36526.489964217515</v>
      </c>
      <c r="E57" s="387" t="str">
        <f>IF(D57&lt;-0.4,"Incrementar financiación Año "&amp;B57,"")</f>
        <v>Incrementar financiación Año 1</v>
      </c>
    </row>
    <row r="58" spans="2:5" x14ac:dyDescent="0.3">
      <c r="B58" s="1485">
        <f>B49</f>
        <v>2</v>
      </c>
      <c r="C58" s="1483" t="str">
        <f>IF('Tesorería 2'!$C$32=0,"OK","Déficit")</f>
        <v>Déficit</v>
      </c>
      <c r="D58" s="1494">
        <f>-'Tesorería 2'!$C$32</f>
        <v>-58084.442860921285</v>
      </c>
      <c r="E58" s="387" t="str">
        <f>IF(D58&lt;-0.4,"Incrementar financiación Año "&amp;B58,"")</f>
        <v>Incrementar financiación Año 2</v>
      </c>
    </row>
    <row r="59" spans="2:5" x14ac:dyDescent="0.3">
      <c r="B59" s="1485">
        <f>B50</f>
        <v>3</v>
      </c>
      <c r="C59" s="1483" t="str">
        <f>IF('Tesorería 3'!$C$32=0,"OK","Déficit")</f>
        <v>Déficit</v>
      </c>
      <c r="D59" s="1494">
        <f>-'Tesorería 3'!$C$32</f>
        <v>-81855.464496597284</v>
      </c>
      <c r="E59" s="387" t="str">
        <f>IF(D59&lt;-0.4,"Incrementar financiación Año "&amp;B59,"")</f>
        <v>Incrementar financiación Año 3</v>
      </c>
    </row>
    <row r="60" spans="2:5" ht="18" thickBot="1" x14ac:dyDescent="0.35">
      <c r="B60" s="1486">
        <f>B51</f>
        <v>4</v>
      </c>
      <c r="C60" s="1487" t="str">
        <f>IF('Tesorería 4'!$C$32=0,"OK","Déficit")</f>
        <v>Déficit</v>
      </c>
      <c r="D60" s="1495">
        <f>-'Tesorería 4'!$C$32</f>
        <v>-108025.72349256522</v>
      </c>
      <c r="E60" s="387" t="str">
        <f>IF(D60&lt;-0.4,"Incrementar financiación Año "&amp;B60,"")</f>
        <v>Incrementar financiación Año 4</v>
      </c>
    </row>
    <row r="61" spans="2:5" ht="18" thickBot="1" x14ac:dyDescent="0.35">
      <c r="B61" s="726"/>
      <c r="C61" s="726"/>
      <c r="D61" s="726"/>
    </row>
    <row r="62" spans="2:5" ht="18" thickBot="1" x14ac:dyDescent="0.35">
      <c r="B62" s="1476" t="s">
        <v>70</v>
      </c>
      <c r="C62" s="1477"/>
      <c r="D62" s="1478"/>
    </row>
    <row r="63" spans="2:5" x14ac:dyDescent="0.3">
      <c r="B63" s="1491"/>
      <c r="C63" s="1480" t="s">
        <v>67</v>
      </c>
      <c r="D63" s="1481" t="s">
        <v>69</v>
      </c>
    </row>
    <row r="64" spans="2:5" x14ac:dyDescent="0.3">
      <c r="B64" s="1482" t="str">
        <f>B55</f>
        <v>Inicial</v>
      </c>
      <c r="C64" s="1492" t="str">
        <f>IF('Balances anuales'!B50="","OK",'Balances anuales'!B50)</f>
        <v>OK</v>
      </c>
      <c r="D64" s="1493" t="str">
        <f>IF('Balances anuales'!$B$48&lt;0,'Balances anuales'!$B$48,"OK")</f>
        <v>OK</v>
      </c>
    </row>
    <row r="65" spans="2:4" x14ac:dyDescent="0.3">
      <c r="B65" s="1482" t="str">
        <f>B47</f>
        <v>Año 0</v>
      </c>
      <c r="C65" s="1483" t="str">
        <f>IF('Balances anuales'!D50="","OK",'Balances anuales'!D50)</f>
        <v>OK</v>
      </c>
      <c r="D65" s="1494">
        <f>IF('Balances anuales'!$D$48&lt;0,'Balances anuales'!$D$48,"OK")</f>
        <v>-16362.959468393694</v>
      </c>
    </row>
    <row r="66" spans="2:4" x14ac:dyDescent="0.3">
      <c r="B66" s="1485">
        <f>B48</f>
        <v>1</v>
      </c>
      <c r="C66" s="1483" t="str">
        <f>IF('Balances anuales'!F50="","OK",'Balances anuales'!F50)</f>
        <v>OK</v>
      </c>
      <c r="D66" s="1494">
        <f>IF('Balances anuales'!$F$48&lt;0,'Balances anuales'!$F$48,"OK")</f>
        <v>-34526.489964217515</v>
      </c>
    </row>
    <row r="67" spans="2:4" x14ac:dyDescent="0.3">
      <c r="B67" s="1485">
        <f>B49</f>
        <v>2</v>
      </c>
      <c r="C67" s="1483" t="str">
        <f>IF('Balances anuales'!H50="","OK",'Balances anuales'!H50)</f>
        <v>OK</v>
      </c>
      <c r="D67" s="1494">
        <f>IF('Balances anuales'!$H$48&lt;0,'Balances anuales'!$H$48,"OK")</f>
        <v>-56084.442860921292</v>
      </c>
    </row>
    <row r="68" spans="2:4" x14ac:dyDescent="0.3">
      <c r="B68" s="1485">
        <f>B50</f>
        <v>3</v>
      </c>
      <c r="C68" s="1483" t="str">
        <f>IF('Balances anuales'!J50="","OK",'Balances anuales'!J50)</f>
        <v>OK</v>
      </c>
      <c r="D68" s="1494">
        <f>IF('Balances anuales'!$J$48&lt;0,'Balances anuales'!$J$48,"OK")</f>
        <v>-79855.464496597298</v>
      </c>
    </row>
    <row r="69" spans="2:4" ht="18" thickBot="1" x14ac:dyDescent="0.35">
      <c r="B69" s="1486">
        <f>B51</f>
        <v>4</v>
      </c>
      <c r="C69" s="1487" t="str">
        <f>IF('Balances anuales'!L50="","OK",'Balances anuales'!L50)</f>
        <v>OK</v>
      </c>
      <c r="D69" s="1495">
        <f>IF('Balances anuales'!$L$48&lt;0,'Balances anuales'!$L$48,"OK")</f>
        <v>-106025.72349256523</v>
      </c>
    </row>
  </sheetData>
  <sheetProtection sheet="1" objects="1" scenarios="1" formatCells="0" formatColumns="0"/>
  <mergeCells count="3">
    <mergeCell ref="B14:C14"/>
    <mergeCell ref="B8:C8"/>
    <mergeCell ref="A1:G1"/>
  </mergeCells>
  <phoneticPr fontId="13" type="noConversion"/>
  <conditionalFormatting sqref="C47:C51 C55:C60 C64:D68 C64:C69">
    <cfRule type="cellIs" dxfId="10" priority="1" stopIfTrue="1" operator="equal">
      <formula>"OK"</formula>
    </cfRule>
  </conditionalFormatting>
  <printOptions horizontalCentered="1"/>
  <pageMargins left="0.55118110236220474" right="0.75" top="0.98" bottom="0.51" header="0" footer="0.37"/>
  <pageSetup paperSize="9" scale="92" orientation="portrait" horizontalDpi="4294967292" r:id="rId1"/>
  <headerFooter alignWithMargins="0"/>
  <drawing r:id="rId2"/>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Hoja71"/>
  <dimension ref="A1:H45"/>
  <sheetViews>
    <sheetView showGridLines="0" workbookViewId="0"/>
  </sheetViews>
  <sheetFormatPr baseColWidth="10" defaultRowHeight="15.75" x14ac:dyDescent="0.25"/>
  <cols>
    <col min="1" max="1" width="54.5" style="1679" customWidth="1"/>
    <col min="2" max="2" width="51.75" style="1679" customWidth="1"/>
    <col min="3" max="16384" width="11" style="1679"/>
  </cols>
  <sheetData>
    <row r="1" spans="1:8" ht="29.25" customHeight="1" x14ac:dyDescent="0.45">
      <c r="A1" s="1205" t="s">
        <v>1081</v>
      </c>
      <c r="B1" s="1743"/>
      <c r="C1" s="1433"/>
      <c r="D1" s="1433"/>
      <c r="E1" s="1434"/>
      <c r="F1" s="1434"/>
      <c r="G1" s="1434"/>
      <c r="H1" s="2254"/>
    </row>
    <row r="2" spans="1:8" ht="27.75" x14ac:dyDescent="0.45">
      <c r="A2" s="1560">
        <f>'Datos Básicos'!B8</f>
        <v>0</v>
      </c>
      <c r="B2" s="1680"/>
      <c r="C2" s="1681"/>
      <c r="D2" s="1681"/>
      <c r="E2" s="1682"/>
      <c r="F2" s="1682"/>
      <c r="G2" s="1682"/>
      <c r="H2" s="1559"/>
    </row>
    <row r="3" spans="1:8" ht="27.75" x14ac:dyDescent="0.45">
      <c r="A3" s="1560"/>
      <c r="B3" s="1680"/>
      <c r="C3" s="1681"/>
      <c r="D3" s="1681"/>
      <c r="E3" s="1682"/>
      <c r="F3" s="1682"/>
      <c r="G3" s="1682"/>
      <c r="H3" s="1559"/>
    </row>
    <row r="4" spans="1:8" ht="28.5" thickBot="1" x14ac:dyDescent="0.5">
      <c r="A4" s="1560"/>
      <c r="B4" s="1680"/>
      <c r="C4" s="1681"/>
      <c r="D4" s="1681"/>
      <c r="E4" s="1682"/>
      <c r="F4" s="1682"/>
      <c r="G4" s="1682"/>
      <c r="H4" s="1559"/>
    </row>
    <row r="5" spans="1:8" ht="18" thickBot="1" x14ac:dyDescent="0.35">
      <c r="A5" s="1669" t="s">
        <v>899</v>
      </c>
      <c r="B5" s="1670" t="s">
        <v>900</v>
      </c>
      <c r="C5" s="1671" t="str">
        <f>CONCATENATE(TEXT('Datos Básicos'!B17,"###0"),IF(mes0=1,""," (*)"))</f>
        <v>2026</v>
      </c>
      <c r="D5" s="1672">
        <f>'Datos Básicos'!$C$17</f>
        <v>2027</v>
      </c>
      <c r="E5" s="1672">
        <f>'Datos Básicos'!$D$17</f>
        <v>2028</v>
      </c>
      <c r="F5" s="1672">
        <f>E5+1</f>
        <v>2029</v>
      </c>
      <c r="G5" s="1672">
        <f>F5+1</f>
        <v>2030</v>
      </c>
      <c r="H5" s="1559"/>
    </row>
    <row r="6" spans="1:8" ht="17.25" x14ac:dyDescent="0.3">
      <c r="A6" s="1717" t="s">
        <v>901</v>
      </c>
      <c r="B6" s="1718" t="s">
        <v>903</v>
      </c>
      <c r="C6" s="1746">
        <f>'Ratios Básicos'!C6-'Ratios Básicos Reales'!C6</f>
        <v>1</v>
      </c>
      <c r="D6" s="1746">
        <f>'Ratios Básicos'!D6-'Ratios Básicos Reales'!D6</f>
        <v>0.52607521108134947</v>
      </c>
      <c r="E6" s="1746">
        <f>'Ratios Básicos'!E6-'Ratios Básicos Reales'!E6</f>
        <v>0.38438382904441765</v>
      </c>
      <c r="F6" s="1746">
        <f>'Ratios Básicos'!F6-'Ratios Básicos Reales'!F6</f>
        <v>0.29767557906683906</v>
      </c>
      <c r="G6" s="1747">
        <f>'Ratios Básicos'!G6-'Ratios Básicos Reales'!G6</f>
        <v>0.24682933663549159</v>
      </c>
      <c r="H6" s="1559"/>
    </row>
    <row r="7" spans="1:8" ht="17.25" x14ac:dyDescent="0.3">
      <c r="A7" s="1748" t="s">
        <v>902</v>
      </c>
      <c r="B7" s="1693"/>
      <c r="C7" s="1694"/>
      <c r="D7" s="1694"/>
      <c r="E7" s="1694"/>
      <c r="F7" s="1694"/>
      <c r="G7" s="1695"/>
      <c r="H7" s="1559"/>
    </row>
    <row r="8" spans="1:8" ht="17.25" x14ac:dyDescent="0.3">
      <c r="A8" s="1749" t="s">
        <v>904</v>
      </c>
      <c r="B8" s="1689" t="s">
        <v>343</v>
      </c>
      <c r="C8" s="1690">
        <v>1</v>
      </c>
      <c r="D8" s="1690">
        <f>'Ratios Básicos'!D8-'Ratios Básicos Reales'!D8</f>
        <v>-9.0817652479119122</v>
      </c>
      <c r="E8" s="1690">
        <f>'Ratios Básicos'!E8-'Ratios Básicos Reales'!E8</f>
        <v>-10.778976448351891</v>
      </c>
      <c r="F8" s="1690">
        <f>'Ratios Básicos'!F8-'Ratios Básicos Reales'!F8</f>
        <v>-11.885510817838004</v>
      </c>
      <c r="G8" s="1691">
        <f>'Ratios Básicos'!G8-'Ratios Básicos Reales'!G8</f>
        <v>-13.085129497983965</v>
      </c>
      <c r="H8" s="1559"/>
    </row>
    <row r="9" spans="1:8" ht="17.25" x14ac:dyDescent="0.3">
      <c r="A9" s="1748" t="s">
        <v>905</v>
      </c>
      <c r="B9" s="1693"/>
      <c r="C9" s="1694"/>
      <c r="D9" s="1694"/>
      <c r="E9" s="1694"/>
      <c r="F9" s="1694"/>
      <c r="G9" s="1695"/>
      <c r="H9" s="1559"/>
    </row>
    <row r="10" spans="1:8" ht="17.25" x14ac:dyDescent="0.3">
      <c r="A10" s="1749" t="s">
        <v>906</v>
      </c>
      <c r="B10" s="1689" t="s">
        <v>344</v>
      </c>
      <c r="C10" s="1690" t="e">
        <f>'Ratios Básicos'!C10-'Ratios Básicos Reales'!C10</f>
        <v>#VALUE!</v>
      </c>
      <c r="D10" s="1690" t="e">
        <f>'Ratios Básicos'!D10-'Ratios Básicos Reales'!D10</f>
        <v>#VALUE!</v>
      </c>
      <c r="E10" s="1690" t="e">
        <f>'Ratios Básicos'!E10-'Ratios Básicos Reales'!E10</f>
        <v>#VALUE!</v>
      </c>
      <c r="F10" s="1690" t="e">
        <f>'Ratios Básicos'!F10-'Ratios Básicos Reales'!F10</f>
        <v>#VALUE!</v>
      </c>
      <c r="G10" s="1691" t="e">
        <f>'Ratios Básicos'!G10-'Ratios Básicos Reales'!G10</f>
        <v>#VALUE!</v>
      </c>
      <c r="H10" s="1559"/>
    </row>
    <row r="11" spans="1:8" ht="17.25" x14ac:dyDescent="0.3">
      <c r="A11" s="1750" t="s">
        <v>907</v>
      </c>
      <c r="B11" s="1680"/>
      <c r="C11" s="1697"/>
      <c r="D11" s="1697"/>
      <c r="E11" s="1697"/>
      <c r="F11" s="1697"/>
      <c r="G11" s="1698"/>
      <c r="H11" s="1559"/>
    </row>
    <row r="12" spans="1:8" ht="9.75" customHeight="1" thickBot="1" x14ac:dyDescent="0.35">
      <c r="A12" s="1751"/>
      <c r="B12" s="1752"/>
      <c r="C12" s="1753"/>
      <c r="D12" s="1753"/>
      <c r="E12" s="1753"/>
      <c r="F12" s="1753"/>
      <c r="G12" s="1754"/>
      <c r="H12" s="1559"/>
    </row>
    <row r="13" spans="1:8" ht="18" thickBot="1" x14ac:dyDescent="0.35">
      <c r="A13" s="1669" t="s">
        <v>908</v>
      </c>
      <c r="B13" s="1670" t="s">
        <v>900</v>
      </c>
      <c r="C13" s="1671" t="str">
        <f>C5</f>
        <v>2026</v>
      </c>
      <c r="D13" s="1672">
        <f>D5</f>
        <v>2027</v>
      </c>
      <c r="E13" s="1672">
        <f>E5</f>
        <v>2028</v>
      </c>
      <c r="F13" s="1672">
        <f>F5</f>
        <v>2029</v>
      </c>
      <c r="G13" s="1672">
        <f>G5</f>
        <v>2030</v>
      </c>
      <c r="H13" s="1559"/>
    </row>
    <row r="14" spans="1:8" ht="17.25" x14ac:dyDescent="0.25">
      <c r="A14" s="1755" t="s">
        <v>909</v>
      </c>
      <c r="B14" s="1756" t="s">
        <v>910</v>
      </c>
      <c r="C14" s="1757">
        <f>'Ratios Básicos'!C14-'Ratios Básicos Reales'!C14</f>
        <v>0</v>
      </c>
      <c r="D14" s="1757">
        <f>'Ratios Básicos'!D14-'Ratios Básicos Reales'!D14</f>
        <v>0</v>
      </c>
      <c r="E14" s="1757">
        <f>'Ratios Básicos'!E14-'Ratios Básicos Reales'!E14</f>
        <v>0</v>
      </c>
      <c r="F14" s="1757">
        <f>'Ratios Básicos'!F14-'Ratios Básicos Reales'!F14</f>
        <v>0</v>
      </c>
      <c r="G14" s="1758">
        <f>'Ratios Básicos'!G14-'Ratios Básicos Reales'!G14</f>
        <v>0</v>
      </c>
      <c r="H14" s="1677"/>
    </row>
    <row r="15" spans="1:8" ht="17.25" x14ac:dyDescent="0.25">
      <c r="A15" s="1704" t="s">
        <v>911</v>
      </c>
      <c r="B15" s="1705" t="s">
        <v>912</v>
      </c>
      <c r="C15" s="1702">
        <f>'Ratios Básicos'!C15-'Ratios Básicos Reales'!C15</f>
        <v>0</v>
      </c>
      <c r="D15" s="1702">
        <f>'Ratios Básicos'!D15-'Ratios Básicos Reales'!D15</f>
        <v>0</v>
      </c>
      <c r="E15" s="1702">
        <f>'Ratios Básicos'!E15-'Ratios Básicos Reales'!E15</f>
        <v>0</v>
      </c>
      <c r="F15" s="1702">
        <f>'Ratios Básicos'!F15-'Ratios Básicos Reales'!F15</f>
        <v>0</v>
      </c>
      <c r="G15" s="1703">
        <f>'Ratios Básicos'!G15-'Ratios Básicos Reales'!G15</f>
        <v>0</v>
      </c>
      <c r="H15" s="1677"/>
    </row>
    <row r="16" spans="1:8" ht="17.25" x14ac:dyDescent="0.25">
      <c r="A16" s="1704" t="s">
        <v>913</v>
      </c>
      <c r="B16" s="1705" t="s">
        <v>914</v>
      </c>
      <c r="C16" s="1702" t="e">
        <f>'Ratios Básicos'!C16-'Ratios Básicos Reales'!C16</f>
        <v>#VALUE!</v>
      </c>
      <c r="D16" s="1702" t="e">
        <f>'Ratios Básicos'!D16-'Ratios Básicos Reales'!D16</f>
        <v>#VALUE!</v>
      </c>
      <c r="E16" s="1702" t="e">
        <f>'Ratios Básicos'!E16-'Ratios Básicos Reales'!E16</f>
        <v>#VALUE!</v>
      </c>
      <c r="F16" s="1702" t="e">
        <f>'Ratios Básicos'!F16-'Ratios Básicos Reales'!F16</f>
        <v>#VALUE!</v>
      </c>
      <c r="G16" s="1703" t="e">
        <f>'Ratios Básicos'!G16-'Ratios Básicos Reales'!G16</f>
        <v>#VALUE!</v>
      </c>
      <c r="H16" s="1677"/>
    </row>
    <row r="17" spans="1:8" ht="18" thickBot="1" x14ac:dyDescent="0.3">
      <c r="A17" s="1759"/>
      <c r="B17" s="1760"/>
      <c r="C17" s="1761"/>
      <c r="D17" s="1761"/>
      <c r="E17" s="1761"/>
      <c r="F17" s="1761"/>
      <c r="G17" s="1762"/>
      <c r="H17" s="1677"/>
    </row>
    <row r="18" spans="1:8" ht="18" thickBot="1" x14ac:dyDescent="0.35">
      <c r="A18" s="1669" t="s">
        <v>915</v>
      </c>
      <c r="B18" s="1670" t="s">
        <v>900</v>
      </c>
      <c r="C18" s="1671" t="str">
        <f>C13</f>
        <v>2026</v>
      </c>
      <c r="D18" s="1672">
        <f>D13</f>
        <v>2027</v>
      </c>
      <c r="E18" s="1672">
        <f>E13</f>
        <v>2028</v>
      </c>
      <c r="F18" s="1672">
        <f>F13</f>
        <v>2029</v>
      </c>
      <c r="G18" s="1672">
        <f>G13</f>
        <v>2030</v>
      </c>
      <c r="H18" s="1559"/>
    </row>
    <row r="19" spans="1:8" ht="17.25" x14ac:dyDescent="0.25">
      <c r="A19" s="1755" t="s">
        <v>916</v>
      </c>
      <c r="B19" s="1756" t="s">
        <v>917</v>
      </c>
      <c r="C19" s="1757">
        <f>'Ratios Básicos'!C19-'Ratios Básicos Reales'!C19</f>
        <v>0.10891490576137237</v>
      </c>
      <c r="D19" s="1757">
        <f>'Ratios Básicos'!D19-'Ratios Básicos Reales'!D19</f>
        <v>5.475478213097569E-2</v>
      </c>
      <c r="E19" s="1757">
        <f>'Ratios Básicos'!E19-'Ratios Básicos Reales'!E19</f>
        <v>3.4432627765559283E-2</v>
      </c>
      <c r="F19" s="1757">
        <f>'Ratios Básicos'!F19-'Ratios Básicos Reales'!F19</f>
        <v>2.4433310742291856E-2</v>
      </c>
      <c r="G19" s="1758">
        <f>'Ratios Básicos'!G19-'Ratios Básicos Reales'!G19</f>
        <v>1.8514108819068897E-2</v>
      </c>
      <c r="H19" s="1677"/>
    </row>
    <row r="20" spans="1:8" ht="17.25" x14ac:dyDescent="0.25">
      <c r="A20" s="1704" t="s">
        <v>918</v>
      </c>
      <c r="B20" s="1705" t="s">
        <v>919</v>
      </c>
      <c r="C20" s="1706">
        <f>'Ratios Básicos'!C20-'Ratios Básicos Reales'!C20</f>
        <v>0.10891490576137237</v>
      </c>
      <c r="D20" s="1706">
        <f>'Ratios Básicos'!D20-'Ratios Básicos Reales'!D20</f>
        <v>5.475478213097569E-2</v>
      </c>
      <c r="E20" s="1706">
        <f>'Ratios Básicos'!E20-'Ratios Básicos Reales'!E20</f>
        <v>3.4432627765559283E-2</v>
      </c>
      <c r="F20" s="1706">
        <f>'Ratios Básicos'!F20-'Ratios Básicos Reales'!F20</f>
        <v>2.4433310742291856E-2</v>
      </c>
      <c r="G20" s="1707">
        <f>'Ratios Básicos'!G20-'Ratios Básicos Reales'!G20</f>
        <v>1.8514108819068897E-2</v>
      </c>
      <c r="H20" s="1677"/>
    </row>
    <row r="21" spans="1:8" ht="17.25" x14ac:dyDescent="0.25">
      <c r="A21" s="1704" t="s">
        <v>920</v>
      </c>
      <c r="B21" s="1705" t="s">
        <v>921</v>
      </c>
      <c r="C21" s="1706">
        <f>'Ratios Básicos'!C21-'Ratios Básicos Reales'!C21</f>
        <v>-1.1222272782538607</v>
      </c>
      <c r="D21" s="1706">
        <f>'Ratios Básicos'!D21-'Ratios Básicos Reales'!D21</f>
        <v>-1.057926537046562</v>
      </c>
      <c r="E21" s="1706">
        <f>'Ratios Básicos'!E21-'Ratios Básicos Reales'!E21</f>
        <v>-1.0356605129333212</v>
      </c>
      <c r="F21" s="1706">
        <f>'Ratios Básicos'!F21-'Ratios Básicos Reales'!F21</f>
        <v>-1.0250452490960742</v>
      </c>
      <c r="G21" s="1707">
        <f>'Ratios Básicos'!G21-'Ratios Básicos Reales'!G21</f>
        <v>-1.0188633468758195</v>
      </c>
      <c r="H21" s="1677"/>
    </row>
    <row r="22" spans="1:8" ht="17.25" x14ac:dyDescent="0.25">
      <c r="A22" s="1704" t="s">
        <v>208</v>
      </c>
      <c r="B22" s="1705" t="s">
        <v>235</v>
      </c>
      <c r="C22" s="1706">
        <f>'Ratios Básicos'!C22-'Ratios Básicos Reales'!C22</f>
        <v>-0.12725366236040273</v>
      </c>
      <c r="D22" s="1706">
        <f>'Ratios Básicos'!D22-'Ratios Básicos Reales'!D22</f>
        <v>-6.4538336066785107E-2</v>
      </c>
      <c r="E22" s="1706">
        <f>'Ratios Básicos'!E22-'Ratios Básicos Reales'!E22</f>
        <v>-4.1967507860659038E-2</v>
      </c>
      <c r="F22" s="1706">
        <f>'Ratios Básicos'!F22-'Ratios Básicos Reales'!F22</f>
        <v>-3.1413520637619277E-2</v>
      </c>
      <c r="G22" s="1707">
        <f>'Ratios Básicos'!G22-'Ratios Básicos Reales'!G22</f>
        <v>-2.5172119032846507E-2</v>
      </c>
      <c r="H22" s="1677"/>
    </row>
    <row r="23" spans="1:8" ht="17.25" x14ac:dyDescent="0.25">
      <c r="A23" s="1704" t="s">
        <v>209</v>
      </c>
      <c r="B23" s="1705" t="s">
        <v>922</v>
      </c>
      <c r="C23" s="1706" t="e">
        <f>'Ratios Básicos'!C23-'Ratios Básicos Reales'!C23</f>
        <v>#DIV/0!</v>
      </c>
      <c r="D23" s="1706" t="e">
        <f>'Ratios Básicos'!D23-'Ratios Básicos Reales'!D23</f>
        <v>#DIV/0!</v>
      </c>
      <c r="E23" s="1706" t="e">
        <f>'Ratios Básicos'!E23-'Ratios Básicos Reales'!E23</f>
        <v>#DIV/0!</v>
      </c>
      <c r="F23" s="1706" t="e">
        <f>'Ratios Básicos'!F23-'Ratios Básicos Reales'!F23</f>
        <v>#DIV/0!</v>
      </c>
      <c r="G23" s="1707" t="e">
        <f>'Ratios Básicos'!G23-'Ratios Básicos Reales'!G23</f>
        <v>#DIV/0!</v>
      </c>
      <c r="H23" s="1677"/>
    </row>
    <row r="24" spans="1:8" ht="17.25" x14ac:dyDescent="0.25">
      <c r="A24" s="1704" t="s">
        <v>210</v>
      </c>
      <c r="B24" s="1705" t="s">
        <v>923</v>
      </c>
      <c r="C24" s="1706" t="e">
        <f>'Ratios Básicos'!C24-'Ratios Básicos Reales'!C24</f>
        <v>#DIV/0!</v>
      </c>
      <c r="D24" s="1706" t="e">
        <f>'Ratios Básicos'!D24-'Ratios Básicos Reales'!D24</f>
        <v>#DIV/0!</v>
      </c>
      <c r="E24" s="1706" t="e">
        <f>'Ratios Básicos'!E24-'Ratios Básicos Reales'!E24</f>
        <v>#DIV/0!</v>
      </c>
      <c r="F24" s="1706" t="e">
        <f>'Ratios Básicos'!F24-'Ratios Básicos Reales'!F24</f>
        <v>#DIV/0!</v>
      </c>
      <c r="G24" s="1707" t="e">
        <f>'Ratios Básicos'!G24-'Ratios Básicos Reales'!G24</f>
        <v>#DIV/0!</v>
      </c>
      <c r="H24" s="1677"/>
    </row>
    <row r="25" spans="1:8" ht="17.25" x14ac:dyDescent="0.25">
      <c r="A25" s="1704" t="s">
        <v>211</v>
      </c>
      <c r="B25" s="1705" t="s">
        <v>924</v>
      </c>
      <c r="C25" s="1706" t="e">
        <f>'Ratios Básicos'!C25-'Ratios Básicos Reales'!C25</f>
        <v>#VALUE!</v>
      </c>
      <c r="D25" s="1706" t="e">
        <f>'Ratios Básicos'!D25-'Ratios Básicos Reales'!D25</f>
        <v>#VALUE!</v>
      </c>
      <c r="E25" s="1706" t="e">
        <f>'Ratios Básicos'!E25-'Ratios Básicos Reales'!E25</f>
        <v>#VALUE!</v>
      </c>
      <c r="F25" s="1706" t="e">
        <f>'Ratios Básicos'!F25-'Ratios Básicos Reales'!F25</f>
        <v>#VALUE!</v>
      </c>
      <c r="G25" s="1707" t="e">
        <f>'Ratios Básicos'!G25-'Ratios Básicos Reales'!G25</f>
        <v>#VALUE!</v>
      </c>
      <c r="H25" s="1677"/>
    </row>
    <row r="26" spans="1:8" ht="26.25" customHeight="1" x14ac:dyDescent="0.3">
      <c r="A26" s="1708" t="s">
        <v>212</v>
      </c>
      <c r="B26" s="1709" t="s">
        <v>291</v>
      </c>
      <c r="C26" s="1706" t="e">
        <f>'Ratios Básicos'!C26-'Ratios Básicos Reales'!C26</f>
        <v>#VALUE!</v>
      </c>
      <c r="D26" s="1706" t="e">
        <f>'Ratios Básicos'!D26-'Ratios Básicos Reales'!D26</f>
        <v>#VALUE!</v>
      </c>
      <c r="E26" s="1706" t="e">
        <f>'Ratios Básicos'!E26-'Ratios Básicos Reales'!E26</f>
        <v>#VALUE!</v>
      </c>
      <c r="F26" s="1706" t="e">
        <f>'Ratios Básicos'!F26-'Ratios Básicos Reales'!F26</f>
        <v>#VALUE!</v>
      </c>
      <c r="G26" s="1707" t="e">
        <f>'Ratios Básicos'!G26-'Ratios Básicos Reales'!G26</f>
        <v>#VALUE!</v>
      </c>
      <c r="H26" s="1559"/>
    </row>
    <row r="27" spans="1:8" ht="18" thickBot="1" x14ac:dyDescent="0.35">
      <c r="A27" s="1763"/>
      <c r="B27" s="1764"/>
      <c r="C27" s="1765"/>
      <c r="D27" s="1765"/>
      <c r="E27" s="1766"/>
      <c r="F27" s="1766"/>
      <c r="G27" s="1767"/>
      <c r="H27" s="1559"/>
    </row>
    <row r="28" spans="1:8" ht="18" thickBot="1" x14ac:dyDescent="0.35">
      <c r="A28" s="1669" t="s">
        <v>133</v>
      </c>
      <c r="B28" s="1670" t="s">
        <v>900</v>
      </c>
      <c r="C28" s="1671" t="str">
        <f>C5</f>
        <v>2026</v>
      </c>
      <c r="D28" s="1672">
        <f>D5</f>
        <v>2027</v>
      </c>
      <c r="E28" s="1672">
        <f>D28+1</f>
        <v>2028</v>
      </c>
      <c r="F28" s="1672">
        <f>E28+1</f>
        <v>2029</v>
      </c>
      <c r="G28" s="1672">
        <f>F28+1</f>
        <v>2030</v>
      </c>
      <c r="H28" s="1559"/>
    </row>
    <row r="29" spans="1:8" ht="17.25" x14ac:dyDescent="0.3">
      <c r="A29" s="1717" t="s">
        <v>161</v>
      </c>
      <c r="B29" s="1718" t="s">
        <v>925</v>
      </c>
      <c r="C29" s="1719">
        <f>'Balances anuales'!D14-'Balances anuales'!D36</f>
        <v>-16362.959468393696</v>
      </c>
      <c r="D29" s="1719">
        <f>'Balances anuales'!F14-'Balances anuales'!F36</f>
        <v>-34526.489964217515</v>
      </c>
      <c r="E29" s="1719">
        <f>'Balances anuales'!H14-'Balances anuales'!H36</f>
        <v>-56084.442860921285</v>
      </c>
      <c r="F29" s="1719">
        <f>'Balances anuales'!J14-'Balances anuales'!J36</f>
        <v>-79855.464496597284</v>
      </c>
      <c r="G29" s="1720">
        <f>'Balances anuales'!L14-'Balances anuales'!L36</f>
        <v>-106025.72349256522</v>
      </c>
      <c r="H29" s="1559"/>
    </row>
    <row r="30" spans="1:8" ht="17.25" x14ac:dyDescent="0.3">
      <c r="A30" s="1721"/>
      <c r="B30" s="1693" t="s">
        <v>926</v>
      </c>
      <c r="C30" s="1722"/>
      <c r="D30" s="1722"/>
      <c r="E30" s="1722"/>
      <c r="F30" s="1722"/>
      <c r="G30" s="1723"/>
      <c r="H30" s="1559"/>
    </row>
    <row r="31" spans="1:8" ht="17.25" x14ac:dyDescent="0.25">
      <c r="A31" s="1704" t="s">
        <v>26</v>
      </c>
      <c r="B31" s="1705" t="s">
        <v>27</v>
      </c>
      <c r="C31" s="1706">
        <f>'G.F. 0'!$O$9+'G.F. 0'!$O$14</f>
        <v>1</v>
      </c>
      <c r="D31" s="1706">
        <f>'G.F. 1'!$O$9+'G.F. 1'!$O$14</f>
        <v>1</v>
      </c>
      <c r="E31" s="1706">
        <f>'G.F. 2'!$O$9+'G.F. 2'!$O$14</f>
        <v>1</v>
      </c>
      <c r="F31" s="1706">
        <f>'G.F. 3'!$O$9+'G.F. 3'!$O$14</f>
        <v>1</v>
      </c>
      <c r="G31" s="1707">
        <f>'G.F. 4'!$O$9+'G.F. 4'!$O$14</f>
        <v>1</v>
      </c>
      <c r="H31" s="1677"/>
    </row>
    <row r="32" spans="1:8" ht="17.25" x14ac:dyDescent="0.25">
      <c r="A32" s="1704" t="s">
        <v>162</v>
      </c>
      <c r="B32" s="1705" t="s">
        <v>929</v>
      </c>
      <c r="C32" s="1706" t="e">
        <f>'PyG anuales'!B18/'PyG anuales'!C12</f>
        <v>#DIV/0!</v>
      </c>
      <c r="D32" s="1706" t="e">
        <f>'PyG anuales'!D18/'PyG anuales'!E12</f>
        <v>#DIV/0!</v>
      </c>
      <c r="E32" s="1706" t="e">
        <f>'PyG anuales'!G18/'PyG anuales'!H12</f>
        <v>#DIV/0!</v>
      </c>
      <c r="F32" s="1706" t="e">
        <f>'PyG anuales'!J18/'PyG anuales'!K12</f>
        <v>#DIV/0!</v>
      </c>
      <c r="G32" s="1707" t="e">
        <f>'PyG anuales'!M18/'PyG anuales'!N12</f>
        <v>#DIV/0!</v>
      </c>
      <c r="H32" s="1677"/>
    </row>
    <row r="33" spans="1:8" ht="17.25" x14ac:dyDescent="0.25">
      <c r="A33" s="1704" t="s">
        <v>1005</v>
      </c>
      <c r="B33" s="1705" t="s">
        <v>14</v>
      </c>
      <c r="C33" s="1706" t="e">
        <f>'P. Equilibrio'!C29</f>
        <v>#DIV/0!</v>
      </c>
      <c r="D33" s="1706" t="e">
        <f>'P. Equilibrio'!D29</f>
        <v>#DIV/0!</v>
      </c>
      <c r="E33" s="1706" t="e">
        <f>'P. Equilibrio'!E29</f>
        <v>#DIV/0!</v>
      </c>
      <c r="F33" s="1706" t="e">
        <f>'P. Equilibrio'!F29</f>
        <v>#DIV/0!</v>
      </c>
      <c r="G33" s="1707" t="e">
        <f>'P. Equilibrio'!G29</f>
        <v>#DIV/0!</v>
      </c>
      <c r="H33" s="1677"/>
    </row>
    <row r="34" spans="1:8" ht="17.25" x14ac:dyDescent="0.25">
      <c r="A34" s="1704" t="s">
        <v>163</v>
      </c>
      <c r="B34" s="1705"/>
      <c r="C34" s="1706">
        <f>'PyG anuales'!B7</f>
        <v>0</v>
      </c>
      <c r="D34" s="1706">
        <f>'PyG anuales'!D7</f>
        <v>0</v>
      </c>
      <c r="E34" s="1706">
        <f>'PyG anuales'!G7</f>
        <v>0</v>
      </c>
      <c r="F34" s="1706">
        <f>'PyG anuales'!J7</f>
        <v>0</v>
      </c>
      <c r="G34" s="1707">
        <f>'PyG anuales'!M7</f>
        <v>0</v>
      </c>
      <c r="H34" s="1677"/>
    </row>
    <row r="35" spans="1:8" ht="17.25" x14ac:dyDescent="0.25">
      <c r="A35" s="1724" t="s">
        <v>164</v>
      </c>
      <c r="B35" s="1725" t="s">
        <v>15</v>
      </c>
      <c r="C35" s="1726" t="e">
        <f>(C34-C32)*'PyG anuales'!C12+'PyG anuales'!B24</f>
        <v>#DIV/0!</v>
      </c>
      <c r="D35" s="1726" t="e">
        <f>(D34-D32)*'PyG anuales'!E12+'PyG anuales'!D24</f>
        <v>#DIV/0!</v>
      </c>
      <c r="E35" s="1726" t="e">
        <f>(E34-E32)*'PyG anuales'!H12+'PyG anuales'!G24</f>
        <v>#DIV/0!</v>
      </c>
      <c r="F35" s="1726" t="e">
        <f>(F34-F32)*'PyG anuales'!K12+'PyG anuales'!J24</f>
        <v>#DIV/0!</v>
      </c>
      <c r="G35" s="1727" t="e">
        <f>(G34-G32)*'PyG anuales'!N12+'PyG anuales'!M24</f>
        <v>#DIV/0!</v>
      </c>
      <c r="H35" s="1677"/>
    </row>
    <row r="36" spans="1:8" ht="18" thickBot="1" x14ac:dyDescent="0.3">
      <c r="A36" s="1728" t="s">
        <v>194</v>
      </c>
      <c r="B36" s="1729" t="s">
        <v>195</v>
      </c>
      <c r="C36" s="1730">
        <f>'Tesorería 0'!$C$33</f>
        <v>-16362.959468393696</v>
      </c>
      <c r="D36" s="1730">
        <f>'Tesorería 1'!$C$33</f>
        <v>-18163.530495823819</v>
      </c>
      <c r="E36" s="1730">
        <f>'Tesorería 2'!$C$33</f>
        <v>-21557.95289670377</v>
      </c>
      <c r="F36" s="1730">
        <f>'Tesorería 3'!$C$33</f>
        <v>-23771.021635675999</v>
      </c>
      <c r="G36" s="1731">
        <f>'Tesorería 4'!$C$33</f>
        <v>-26170.258995967932</v>
      </c>
      <c r="H36" s="1677"/>
    </row>
    <row r="37" spans="1:8" ht="18" thickBot="1" x14ac:dyDescent="0.35">
      <c r="A37" s="1559"/>
      <c r="B37" s="1559"/>
      <c r="C37" s="1559"/>
      <c r="D37" s="1559"/>
      <c r="E37" s="1559"/>
      <c r="F37" s="1559"/>
      <c r="G37" s="1559"/>
      <c r="H37" s="1559"/>
    </row>
    <row r="38" spans="1:8" ht="17.25" x14ac:dyDescent="0.25">
      <c r="A38" s="1732" t="s">
        <v>927</v>
      </c>
      <c r="B38" s="1733" t="s">
        <v>928</v>
      </c>
      <c r="C38" s="1769" t="e">
        <f>'Ratios Básicos'!C38-'Ratios Básicos Reales'!C38</f>
        <v>#VALUE!</v>
      </c>
      <c r="D38" s="1685"/>
      <c r="E38" s="1686"/>
      <c r="F38" s="1686"/>
      <c r="G38" s="1686"/>
      <c r="H38" s="1677"/>
    </row>
    <row r="39" spans="1:8" ht="17.25" x14ac:dyDescent="0.25">
      <c r="A39" s="1700" t="s">
        <v>297</v>
      </c>
      <c r="B39" s="1768" t="s">
        <v>298</v>
      </c>
      <c r="C39" s="1703" t="e">
        <f>'Ratios Básicos'!C39-'Ratios Básicos Reales'!C39</f>
        <v>#DIV/0!</v>
      </c>
      <c r="D39" s="1685"/>
      <c r="E39" s="1686"/>
      <c r="F39" s="1686"/>
      <c r="G39" s="1686"/>
      <c r="H39" s="1677"/>
    </row>
    <row r="40" spans="1:8" ht="17.25" hidden="1" x14ac:dyDescent="0.25">
      <c r="A40" s="1704"/>
      <c r="B40" s="1737"/>
      <c r="C40" s="1736" t="e">
        <f>ROUNDUP(C39,0)</f>
        <v>#DIV/0!</v>
      </c>
      <c r="D40" s="1685"/>
      <c r="E40" s="1686"/>
      <c r="F40" s="1686"/>
      <c r="G40" s="1686"/>
      <c r="H40" s="1677"/>
    </row>
    <row r="41" spans="1:8" ht="17.25" x14ac:dyDescent="0.3">
      <c r="A41" s="1704" t="s">
        <v>292</v>
      </c>
      <c r="B41" s="1735" t="s">
        <v>294</v>
      </c>
      <c r="C41" s="1738" t="e">
        <f ca="1">'Ratios Básicos'!C41-'Ratios Básicos Reales'!C41</f>
        <v>#DIV/0!</v>
      </c>
      <c r="D41" s="1559"/>
      <c r="E41" s="1559"/>
      <c r="F41" s="1559"/>
      <c r="G41" s="1559"/>
      <c r="H41" s="1559"/>
    </row>
    <row r="42" spans="1:8" ht="17.25" x14ac:dyDescent="0.3">
      <c r="A42" s="1704" t="s">
        <v>293</v>
      </c>
      <c r="B42" s="1735" t="s">
        <v>295</v>
      </c>
      <c r="C42" s="1738" t="e">
        <f ca="1">'Ratios Básicos'!C42-'Ratios Básicos Reales'!C42</f>
        <v>#DIV/0!</v>
      </c>
      <c r="D42" s="1559"/>
      <c r="E42" s="1559"/>
      <c r="F42" s="1559"/>
      <c r="G42" s="1559"/>
      <c r="H42" s="1559"/>
    </row>
    <row r="43" spans="1:8" ht="18" thickBot="1" x14ac:dyDescent="0.35">
      <c r="A43" s="1728" t="s">
        <v>299</v>
      </c>
      <c r="B43" s="1740" t="s">
        <v>300</v>
      </c>
      <c r="C43" s="1741" t="e">
        <f ca="1">'Ratios Básicos'!C43-'Ratios Básicos Reales'!C43</f>
        <v>#DIV/0!</v>
      </c>
      <c r="D43" s="1687"/>
      <c r="E43" s="1559"/>
      <c r="F43" s="1559"/>
      <c r="G43" s="1559"/>
      <c r="H43" s="1559"/>
    </row>
    <row r="44" spans="1:8" ht="17.25" x14ac:dyDescent="0.3">
      <c r="A44" s="1559"/>
      <c r="B44" s="1559"/>
      <c r="C44" s="1559"/>
      <c r="D44" s="1559"/>
      <c r="E44" s="1559"/>
      <c r="F44" s="1559"/>
      <c r="G44" s="1559"/>
      <c r="H44" s="1559"/>
    </row>
    <row r="45" spans="1:8" ht="17.25" x14ac:dyDescent="0.3">
      <c r="A45" s="1683" t="str">
        <f>'PyG anuales'!A34</f>
        <v/>
      </c>
      <c r="B45" s="1559"/>
      <c r="C45" s="1684"/>
      <c r="D45" s="1559"/>
      <c r="E45" s="1559"/>
      <c r="F45" s="1559"/>
      <c r="G45" s="1559"/>
      <c r="H45" s="1559"/>
    </row>
  </sheetData>
  <sheetProtection sheet="1" objects="1" scenarios="1"/>
  <pageMargins left="0.7" right="0.7" top="0.75" bottom="0.75" header="0.3" footer="0.3"/>
  <drawing r:id="rId1"/>
  <legacy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Hoja72"/>
  <dimension ref="A1:H45"/>
  <sheetViews>
    <sheetView showGridLines="0" workbookViewId="0">
      <selection sqref="A1:G1"/>
    </sheetView>
  </sheetViews>
  <sheetFormatPr baseColWidth="10" defaultRowHeight="15.75" x14ac:dyDescent="0.25"/>
  <cols>
    <col min="1" max="1" width="36.125" style="1679" customWidth="1"/>
    <col min="2" max="2" width="53.25" style="1679" customWidth="1"/>
    <col min="3" max="16384" width="11" style="1679"/>
  </cols>
  <sheetData>
    <row r="1" spans="1:8" ht="29.25" customHeight="1" x14ac:dyDescent="0.45">
      <c r="A1" s="2505" t="s">
        <v>1080</v>
      </c>
      <c r="B1" s="2506"/>
      <c r="C1" s="2506"/>
      <c r="D1" s="2506"/>
      <c r="E1" s="2506"/>
      <c r="F1" s="2506"/>
      <c r="G1" s="2506"/>
      <c r="H1" s="2254"/>
    </row>
    <row r="2" spans="1:8" ht="27.75" x14ac:dyDescent="0.45">
      <c r="A2" s="1560">
        <f>'Datos Básicos'!B8</f>
        <v>0</v>
      </c>
      <c r="B2" s="1680"/>
      <c r="C2" s="1681"/>
      <c r="D2" s="1681"/>
      <c r="E2" s="1682"/>
      <c r="F2" s="1682"/>
      <c r="G2" s="1682"/>
      <c r="H2" s="1559"/>
    </row>
    <row r="3" spans="1:8" ht="27.75" x14ac:dyDescent="0.45">
      <c r="A3" s="1560"/>
      <c r="B3" s="1680"/>
      <c r="C3" s="1681"/>
      <c r="D3" s="1681"/>
      <c r="E3" s="1682"/>
      <c r="F3" s="1682"/>
      <c r="G3" s="1682"/>
      <c r="H3" s="1559"/>
    </row>
    <row r="4" spans="1:8" ht="28.5" thickBot="1" x14ac:dyDescent="0.5">
      <c r="A4" s="1560"/>
      <c r="B4" s="1680"/>
      <c r="C4" s="1681"/>
      <c r="D4" s="1681"/>
      <c r="E4" s="1682"/>
      <c r="F4" s="1682"/>
      <c r="G4" s="1682"/>
      <c r="H4" s="1559"/>
    </row>
    <row r="5" spans="1:8" ht="17.25" x14ac:dyDescent="0.3">
      <c r="A5" s="1896" t="s">
        <v>899</v>
      </c>
      <c r="B5" s="1897" t="s">
        <v>900</v>
      </c>
      <c r="C5" s="1898" t="str">
        <f>CONCATENATE(TEXT('Datos Básicos'!B17,"###0"),IF(mes0=1,""," (*)"))</f>
        <v>2026</v>
      </c>
      <c r="D5" s="1899">
        <f>'Datos Básicos'!$C$17</f>
        <v>2027</v>
      </c>
      <c r="E5" s="1899">
        <f>'Datos Básicos'!$D$17</f>
        <v>2028</v>
      </c>
      <c r="F5" s="1899">
        <f>E5+1</f>
        <v>2029</v>
      </c>
      <c r="G5" s="1899">
        <f>F5+1</f>
        <v>2030</v>
      </c>
      <c r="H5" s="1559"/>
    </row>
    <row r="6" spans="1:8" ht="17.25" x14ac:dyDescent="0.3">
      <c r="A6" s="1688" t="s">
        <v>1131</v>
      </c>
      <c r="B6" s="1680" t="s">
        <v>903</v>
      </c>
      <c r="C6" s="1894">
        <v>0</v>
      </c>
      <c r="D6" s="1894">
        <v>0</v>
      </c>
      <c r="E6" s="1894">
        <v>0</v>
      </c>
      <c r="F6" s="1894">
        <v>0</v>
      </c>
      <c r="G6" s="1895">
        <v>0</v>
      </c>
      <c r="H6" s="1559"/>
    </row>
    <row r="7" spans="1:8" ht="17.25" x14ac:dyDescent="0.3">
      <c r="A7" s="1692" t="s">
        <v>902</v>
      </c>
      <c r="B7" s="1693"/>
      <c r="C7" s="1694"/>
      <c r="D7" s="1694"/>
      <c r="E7" s="1694"/>
      <c r="F7" s="1694"/>
      <c r="G7" s="1695"/>
      <c r="H7" s="1559"/>
    </row>
    <row r="8" spans="1:8" ht="17.25" x14ac:dyDescent="0.3">
      <c r="A8" s="1688" t="s">
        <v>1130</v>
      </c>
      <c r="B8" s="1689" t="s">
        <v>343</v>
      </c>
      <c r="C8" s="1690">
        <v>0</v>
      </c>
      <c r="D8" s="1690">
        <v>0</v>
      </c>
      <c r="E8" s="1690">
        <v>0</v>
      </c>
      <c r="F8" s="1690">
        <v>0</v>
      </c>
      <c r="G8" s="1691">
        <v>0</v>
      </c>
      <c r="H8" s="1559"/>
    </row>
    <row r="9" spans="1:8" ht="17.25" x14ac:dyDescent="0.3">
      <c r="A9" s="1692" t="s">
        <v>905</v>
      </c>
      <c r="B9" s="1693"/>
      <c r="C9" s="1694"/>
      <c r="D9" s="1694"/>
      <c r="E9" s="1694"/>
      <c r="F9" s="1694"/>
      <c r="G9" s="1695"/>
      <c r="H9" s="1559"/>
    </row>
    <row r="10" spans="1:8" ht="17.25" x14ac:dyDescent="0.3">
      <c r="A10" s="1688" t="s">
        <v>906</v>
      </c>
      <c r="B10" s="1689" t="s">
        <v>344</v>
      </c>
      <c r="C10" s="1690">
        <v>0</v>
      </c>
      <c r="D10" s="1690">
        <v>0</v>
      </c>
      <c r="E10" s="1690">
        <v>0</v>
      </c>
      <c r="F10" s="1690">
        <v>0</v>
      </c>
      <c r="G10" s="1691">
        <v>0</v>
      </c>
      <c r="H10" s="1559"/>
    </row>
    <row r="11" spans="1:8" ht="17.25" x14ac:dyDescent="0.3">
      <c r="A11" s="1696" t="s">
        <v>907</v>
      </c>
      <c r="B11" s="1680"/>
      <c r="C11" s="1697"/>
      <c r="D11" s="1697"/>
      <c r="E11" s="1697"/>
      <c r="F11" s="1697"/>
      <c r="G11" s="1698"/>
      <c r="H11" s="1559"/>
    </row>
    <row r="12" spans="1:8" ht="18" thickBot="1" x14ac:dyDescent="0.35">
      <c r="A12" s="1699"/>
      <c r="B12" s="1680"/>
      <c r="C12" s="1697"/>
      <c r="D12" s="1697"/>
      <c r="E12" s="1697"/>
      <c r="F12" s="1697"/>
      <c r="G12" s="1698"/>
      <c r="H12" s="1559"/>
    </row>
    <row r="13" spans="1:8" ht="17.25" x14ac:dyDescent="0.3">
      <c r="A13" s="1896" t="s">
        <v>908</v>
      </c>
      <c r="B13" s="1897" t="s">
        <v>900</v>
      </c>
      <c r="C13" s="1898" t="str">
        <f>C5</f>
        <v>2026</v>
      </c>
      <c r="D13" s="1899">
        <f>D5</f>
        <v>2027</v>
      </c>
      <c r="E13" s="1899">
        <f>E5</f>
        <v>2028</v>
      </c>
      <c r="F13" s="1899">
        <f>F5</f>
        <v>2029</v>
      </c>
      <c r="G13" s="1899">
        <f>G5</f>
        <v>2030</v>
      </c>
      <c r="H13" s="1559"/>
    </row>
    <row r="14" spans="1:8" ht="17.25" x14ac:dyDescent="0.25">
      <c r="A14" s="1700" t="s">
        <v>909</v>
      </c>
      <c r="B14" s="1701" t="s">
        <v>910</v>
      </c>
      <c r="C14" s="1702">
        <v>0</v>
      </c>
      <c r="D14" s="1702">
        <v>0</v>
      </c>
      <c r="E14" s="1702">
        <v>0</v>
      </c>
      <c r="F14" s="1702">
        <v>0</v>
      </c>
      <c r="G14" s="1703">
        <v>0</v>
      </c>
      <c r="H14" s="1677"/>
    </row>
    <row r="15" spans="1:8" ht="17.25" x14ac:dyDescent="0.25">
      <c r="A15" s="1704" t="s">
        <v>911</v>
      </c>
      <c r="B15" s="1705" t="s">
        <v>912</v>
      </c>
      <c r="C15" s="1706">
        <v>0</v>
      </c>
      <c r="D15" s="1706">
        <v>0</v>
      </c>
      <c r="E15" s="1706">
        <v>0</v>
      </c>
      <c r="F15" s="1706">
        <v>0</v>
      </c>
      <c r="G15" s="1707">
        <v>0</v>
      </c>
      <c r="H15" s="1677"/>
    </row>
    <row r="16" spans="1:8" ht="17.25" x14ac:dyDescent="0.25">
      <c r="A16" s="1704" t="s">
        <v>913</v>
      </c>
      <c r="B16" s="1705" t="s">
        <v>914</v>
      </c>
      <c r="C16" s="1706">
        <v>0</v>
      </c>
      <c r="D16" s="1706">
        <v>0</v>
      </c>
      <c r="E16" s="1706">
        <v>0</v>
      </c>
      <c r="F16" s="1706">
        <v>0</v>
      </c>
      <c r="G16" s="1707">
        <v>0</v>
      </c>
      <c r="H16" s="1677"/>
    </row>
    <row r="17" spans="1:8" ht="18" thickBot="1" x14ac:dyDescent="0.3">
      <c r="A17" s="1673"/>
      <c r="B17" s="1674"/>
      <c r="C17" s="1675"/>
      <c r="D17" s="1675"/>
      <c r="E17" s="1675"/>
      <c r="F17" s="1675"/>
      <c r="G17" s="1676"/>
      <c r="H17" s="1677"/>
    </row>
    <row r="18" spans="1:8" ht="17.25" x14ac:dyDescent="0.3">
      <c r="A18" s="1896" t="s">
        <v>915</v>
      </c>
      <c r="B18" s="1897" t="s">
        <v>900</v>
      </c>
      <c r="C18" s="1898" t="str">
        <f>C13</f>
        <v>2026</v>
      </c>
      <c r="D18" s="1899">
        <f>D13</f>
        <v>2027</v>
      </c>
      <c r="E18" s="1899">
        <f>E13</f>
        <v>2028</v>
      </c>
      <c r="F18" s="1899">
        <f>F13</f>
        <v>2029</v>
      </c>
      <c r="G18" s="1899">
        <f>G13</f>
        <v>2030</v>
      </c>
      <c r="H18" s="1559"/>
    </row>
    <row r="19" spans="1:8" ht="17.25" x14ac:dyDescent="0.25">
      <c r="A19" s="1704" t="s">
        <v>916</v>
      </c>
      <c r="B19" s="1705" t="s">
        <v>917</v>
      </c>
      <c r="C19" s="1706">
        <v>0</v>
      </c>
      <c r="D19" s="1706">
        <v>0</v>
      </c>
      <c r="E19" s="1706">
        <v>0</v>
      </c>
      <c r="F19" s="1706">
        <v>0</v>
      </c>
      <c r="G19" s="1707">
        <v>0</v>
      </c>
      <c r="H19" s="1677"/>
    </row>
    <row r="20" spans="1:8" ht="17.25" x14ac:dyDescent="0.25">
      <c r="A20" s="1704" t="s">
        <v>918</v>
      </c>
      <c r="B20" s="1705" t="s">
        <v>919</v>
      </c>
      <c r="C20" s="1706">
        <v>0</v>
      </c>
      <c r="D20" s="1706">
        <v>0</v>
      </c>
      <c r="E20" s="1706">
        <v>0</v>
      </c>
      <c r="F20" s="1706">
        <v>0</v>
      </c>
      <c r="G20" s="1707">
        <v>0</v>
      </c>
      <c r="H20" s="1677"/>
    </row>
    <row r="21" spans="1:8" ht="17.25" x14ac:dyDescent="0.25">
      <c r="A21" s="1704" t="s">
        <v>920</v>
      </c>
      <c r="B21" s="1705" t="s">
        <v>921</v>
      </c>
      <c r="C21" s="1706">
        <v>0</v>
      </c>
      <c r="D21" s="1706">
        <v>0</v>
      </c>
      <c r="E21" s="1706">
        <v>0</v>
      </c>
      <c r="F21" s="1706">
        <v>0</v>
      </c>
      <c r="G21" s="1707">
        <v>0</v>
      </c>
      <c r="H21" s="1677"/>
    </row>
    <row r="22" spans="1:8" ht="17.25" x14ac:dyDescent="0.25">
      <c r="A22" s="1704" t="s">
        <v>208</v>
      </c>
      <c r="B22" s="1705" t="s">
        <v>235</v>
      </c>
      <c r="C22" s="1706">
        <v>0</v>
      </c>
      <c r="D22" s="1706">
        <v>0</v>
      </c>
      <c r="E22" s="1706">
        <v>0</v>
      </c>
      <c r="F22" s="1706">
        <v>0</v>
      </c>
      <c r="G22" s="1707">
        <v>0</v>
      </c>
      <c r="H22" s="1677"/>
    </row>
    <row r="23" spans="1:8" ht="17.25" x14ac:dyDescent="0.25">
      <c r="A23" s="1704" t="s">
        <v>209</v>
      </c>
      <c r="B23" s="1705" t="s">
        <v>922</v>
      </c>
      <c r="C23" s="1706">
        <v>0</v>
      </c>
      <c r="D23" s="1706">
        <v>0</v>
      </c>
      <c r="E23" s="1706">
        <v>0</v>
      </c>
      <c r="F23" s="1706">
        <v>0</v>
      </c>
      <c r="G23" s="1707">
        <v>0</v>
      </c>
      <c r="H23" s="1677"/>
    </row>
    <row r="24" spans="1:8" ht="17.25" x14ac:dyDescent="0.25">
      <c r="A24" s="1704" t="s">
        <v>210</v>
      </c>
      <c r="B24" s="1705" t="s">
        <v>923</v>
      </c>
      <c r="C24" s="1706">
        <v>0</v>
      </c>
      <c r="D24" s="1706">
        <v>0</v>
      </c>
      <c r="E24" s="1706">
        <v>0</v>
      </c>
      <c r="F24" s="1706">
        <v>0</v>
      </c>
      <c r="G24" s="1707">
        <v>0</v>
      </c>
      <c r="H24" s="1677"/>
    </row>
    <row r="25" spans="1:8" ht="17.25" x14ac:dyDescent="0.25">
      <c r="A25" s="1704" t="s">
        <v>211</v>
      </c>
      <c r="B25" s="1705" t="s">
        <v>924</v>
      </c>
      <c r="C25" s="1706">
        <v>0</v>
      </c>
      <c r="D25" s="1706">
        <v>0</v>
      </c>
      <c r="E25" s="1706">
        <v>0</v>
      </c>
      <c r="F25" s="1706">
        <v>0</v>
      </c>
      <c r="G25" s="1707">
        <v>0</v>
      </c>
      <c r="H25" s="1677"/>
    </row>
    <row r="26" spans="1:8" ht="30.75" x14ac:dyDescent="0.3">
      <c r="A26" s="1708" t="s">
        <v>212</v>
      </c>
      <c r="B26" s="1709" t="s">
        <v>291</v>
      </c>
      <c r="C26" s="1710">
        <v>0</v>
      </c>
      <c r="D26" s="1710">
        <v>0</v>
      </c>
      <c r="E26" s="1710">
        <v>0</v>
      </c>
      <c r="F26" s="1710">
        <v>0</v>
      </c>
      <c r="G26" s="1711">
        <v>0</v>
      </c>
      <c r="H26" s="1559"/>
    </row>
    <row r="27" spans="1:8" ht="18" thickBot="1" x14ac:dyDescent="0.35">
      <c r="A27" s="1712"/>
      <c r="B27" s="1713"/>
      <c r="C27" s="1714"/>
      <c r="D27" s="1714"/>
      <c r="E27" s="1715"/>
      <c r="F27" s="1715"/>
      <c r="G27" s="1716"/>
      <c r="H27" s="1559"/>
    </row>
    <row r="28" spans="1:8" ht="17.25" x14ac:dyDescent="0.3">
      <c r="A28" s="1896" t="s">
        <v>133</v>
      </c>
      <c r="B28" s="1897" t="s">
        <v>900</v>
      </c>
      <c r="C28" s="1898" t="str">
        <f>C5</f>
        <v>2026</v>
      </c>
      <c r="D28" s="1899">
        <f>D5</f>
        <v>2027</v>
      </c>
      <c r="E28" s="1899">
        <f>D28+1</f>
        <v>2028</v>
      </c>
      <c r="F28" s="1899">
        <f>E28+1</f>
        <v>2029</v>
      </c>
      <c r="G28" s="1899">
        <f>F28+1</f>
        <v>2030</v>
      </c>
      <c r="H28" s="1559"/>
    </row>
    <row r="29" spans="1:8" ht="17.25" x14ac:dyDescent="0.3">
      <c r="A29" s="1750" t="s">
        <v>161</v>
      </c>
      <c r="B29" s="1680" t="s">
        <v>925</v>
      </c>
      <c r="C29" s="1900">
        <v>0</v>
      </c>
      <c r="D29" s="1900">
        <v>0</v>
      </c>
      <c r="E29" s="1900">
        <v>0</v>
      </c>
      <c r="F29" s="1900">
        <v>0</v>
      </c>
      <c r="G29" s="1901">
        <v>0</v>
      </c>
      <c r="H29" s="1559"/>
    </row>
    <row r="30" spans="1:8" ht="17.25" x14ac:dyDescent="0.3">
      <c r="A30" s="1721"/>
      <c r="B30" s="1693" t="s">
        <v>926</v>
      </c>
      <c r="C30" s="1722"/>
      <c r="D30" s="1722"/>
      <c r="E30" s="1722"/>
      <c r="F30" s="1722"/>
      <c r="G30" s="1723"/>
      <c r="H30" s="1559"/>
    </row>
    <row r="31" spans="1:8" ht="17.25" x14ac:dyDescent="0.25">
      <c r="A31" s="1704" t="s">
        <v>26</v>
      </c>
      <c r="B31" s="1705" t="s">
        <v>27</v>
      </c>
      <c r="C31" s="1706">
        <v>0</v>
      </c>
      <c r="D31" s="1706">
        <v>0</v>
      </c>
      <c r="E31" s="1706">
        <v>0</v>
      </c>
      <c r="F31" s="1706">
        <v>0</v>
      </c>
      <c r="G31" s="1707">
        <v>0</v>
      </c>
      <c r="H31" s="1677"/>
    </row>
    <row r="32" spans="1:8" ht="17.25" x14ac:dyDescent="0.25">
      <c r="A32" s="1704" t="s">
        <v>162</v>
      </c>
      <c r="B32" s="1705" t="s">
        <v>929</v>
      </c>
      <c r="C32" s="1706">
        <v>0</v>
      </c>
      <c r="D32" s="1706">
        <v>0</v>
      </c>
      <c r="E32" s="1706">
        <v>0</v>
      </c>
      <c r="F32" s="1706">
        <v>0</v>
      </c>
      <c r="G32" s="1707">
        <v>0</v>
      </c>
      <c r="H32" s="1677"/>
    </row>
    <row r="33" spans="1:8" ht="17.25" x14ac:dyDescent="0.25">
      <c r="A33" s="1704" t="s">
        <v>1005</v>
      </c>
      <c r="B33" s="1705" t="s">
        <v>14</v>
      </c>
      <c r="C33" s="1706">
        <v>0</v>
      </c>
      <c r="D33" s="1706">
        <v>0</v>
      </c>
      <c r="E33" s="1706">
        <v>0</v>
      </c>
      <c r="F33" s="1706">
        <v>0</v>
      </c>
      <c r="G33" s="1707">
        <v>0</v>
      </c>
      <c r="H33" s="1677"/>
    </row>
    <row r="34" spans="1:8" ht="17.25" x14ac:dyDescent="0.25">
      <c r="A34" s="1704" t="s">
        <v>163</v>
      </c>
      <c r="B34" s="1705"/>
      <c r="C34" s="1706">
        <v>0</v>
      </c>
      <c r="D34" s="1706">
        <v>0</v>
      </c>
      <c r="E34" s="1706">
        <v>0</v>
      </c>
      <c r="F34" s="1706">
        <v>0</v>
      </c>
      <c r="G34" s="1707">
        <v>0</v>
      </c>
      <c r="H34" s="1677"/>
    </row>
    <row r="35" spans="1:8" ht="17.25" x14ac:dyDescent="0.25">
      <c r="A35" s="1724" t="s">
        <v>164</v>
      </c>
      <c r="B35" s="1725" t="s">
        <v>15</v>
      </c>
      <c r="C35" s="1726">
        <v>0</v>
      </c>
      <c r="D35" s="1726">
        <v>0</v>
      </c>
      <c r="E35" s="1726">
        <v>0</v>
      </c>
      <c r="F35" s="1726">
        <v>0</v>
      </c>
      <c r="G35" s="1727">
        <v>0</v>
      </c>
      <c r="H35" s="1677"/>
    </row>
    <row r="36" spans="1:8" ht="18" thickBot="1" x14ac:dyDescent="0.3">
      <c r="A36" s="1728" t="s">
        <v>194</v>
      </c>
      <c r="B36" s="1729" t="s">
        <v>195</v>
      </c>
      <c r="C36" s="1744">
        <v>0</v>
      </c>
      <c r="D36" s="1744">
        <v>0</v>
      </c>
      <c r="E36" s="1744">
        <v>0</v>
      </c>
      <c r="F36" s="1744">
        <v>0</v>
      </c>
      <c r="G36" s="1745">
        <v>0</v>
      </c>
      <c r="H36" s="1677"/>
    </row>
    <row r="37" spans="1:8" ht="18" thickBot="1" x14ac:dyDescent="0.35">
      <c r="A37" s="1559"/>
      <c r="B37" s="1559"/>
      <c r="C37" s="1559"/>
      <c r="D37" s="1559"/>
      <c r="E37" s="1559"/>
      <c r="F37" s="1559"/>
      <c r="G37" s="1559"/>
      <c r="H37" s="1559"/>
    </row>
    <row r="38" spans="1:8" ht="17.25" x14ac:dyDescent="0.25">
      <c r="A38" s="1732" t="s">
        <v>927</v>
      </c>
      <c r="B38" s="1733" t="s">
        <v>928</v>
      </c>
      <c r="C38" s="1734">
        <v>0</v>
      </c>
      <c r="D38" s="1685"/>
      <c r="E38" s="1686"/>
      <c r="F38" s="1686"/>
      <c r="G38" s="1686"/>
      <c r="H38" s="1677"/>
    </row>
    <row r="39" spans="1:8" ht="17.25" x14ac:dyDescent="0.25">
      <c r="A39" s="1704" t="s">
        <v>297</v>
      </c>
      <c r="B39" s="1735" t="s">
        <v>298</v>
      </c>
      <c r="C39" s="1736">
        <v>0</v>
      </c>
      <c r="D39" s="1685"/>
      <c r="E39" s="1686"/>
      <c r="F39" s="1686"/>
      <c r="G39" s="1686"/>
      <c r="H39" s="1677"/>
    </row>
    <row r="40" spans="1:8" ht="17.25" hidden="1" x14ac:dyDescent="0.25">
      <c r="A40" s="1704"/>
      <c r="B40" s="1737"/>
      <c r="C40" s="1736">
        <f>ROUNDUP(C39,0)</f>
        <v>0</v>
      </c>
      <c r="D40" s="1685"/>
      <c r="E40" s="1686"/>
      <c r="F40" s="1686"/>
      <c r="G40" s="1686"/>
      <c r="H40" s="1677"/>
    </row>
    <row r="41" spans="1:8" ht="17.25" x14ac:dyDescent="0.3">
      <c r="A41" s="1704" t="s">
        <v>292</v>
      </c>
      <c r="B41" s="1735" t="s">
        <v>294</v>
      </c>
      <c r="C41" s="1738">
        <v>0</v>
      </c>
      <c r="D41" s="1559"/>
      <c r="E41" s="1559"/>
      <c r="F41" s="1559"/>
      <c r="G41" s="1559"/>
      <c r="H41" s="1559"/>
    </row>
    <row r="42" spans="1:8" ht="17.25" x14ac:dyDescent="0.3">
      <c r="A42" s="1704" t="s">
        <v>293</v>
      </c>
      <c r="B42" s="1735" t="s">
        <v>295</v>
      </c>
      <c r="C42" s="1739">
        <v>0</v>
      </c>
      <c r="D42" s="1559"/>
      <c r="E42" s="1559"/>
      <c r="F42" s="1559"/>
      <c r="G42" s="1559"/>
      <c r="H42" s="1559"/>
    </row>
    <row r="43" spans="1:8" ht="18" thickBot="1" x14ac:dyDescent="0.35">
      <c r="A43" s="1728" t="s">
        <v>299</v>
      </c>
      <c r="B43" s="1740" t="s">
        <v>300</v>
      </c>
      <c r="C43" s="1741">
        <v>0</v>
      </c>
      <c r="D43" s="1687"/>
      <c r="E43" s="1559"/>
      <c r="F43" s="1559"/>
      <c r="G43" s="1559"/>
      <c r="H43" s="1559"/>
    </row>
    <row r="44" spans="1:8" ht="17.25" x14ac:dyDescent="0.3">
      <c r="A44" s="1559"/>
      <c r="B44" s="1559"/>
      <c r="C44" s="1559"/>
      <c r="D44" s="1559"/>
      <c r="E44" s="1559"/>
      <c r="F44" s="1559"/>
      <c r="G44" s="1559"/>
      <c r="H44" s="1559"/>
    </row>
    <row r="45" spans="1:8" ht="17.25" x14ac:dyDescent="0.3">
      <c r="A45" s="1683" t="str">
        <f>'PyG anuales'!A34</f>
        <v/>
      </c>
      <c r="B45" s="1559"/>
      <c r="C45" s="1684"/>
      <c r="D45" s="1559"/>
      <c r="E45" s="1559"/>
      <c r="F45" s="1559"/>
      <c r="G45" s="1559"/>
      <c r="H45" s="1559"/>
    </row>
  </sheetData>
  <sheetProtection sheet="1" objects="1" scenarios="1"/>
  <mergeCells count="1">
    <mergeCell ref="A1:G1"/>
  </mergeCells>
  <pageMargins left="0.7" right="0.7" top="0.75" bottom="0.75" header="0.3" footer="0.3"/>
  <drawing r:id="rId1"/>
  <legacyDrawing r:id="rId2"/>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Hoja34">
    <tabColor rgb="FFFFB81F"/>
    <pageSetUpPr fitToPage="1"/>
  </sheetPr>
  <dimension ref="A1:AO45"/>
  <sheetViews>
    <sheetView showGridLines="0" workbookViewId="0">
      <selection sqref="A1:G1"/>
    </sheetView>
  </sheetViews>
  <sheetFormatPr baseColWidth="10" defaultRowHeight="17.25" x14ac:dyDescent="0.3"/>
  <cols>
    <col min="1" max="1" width="41.625" style="1559" customWidth="1"/>
    <col min="2" max="2" width="58.25" style="1559" customWidth="1"/>
    <col min="3" max="3" width="10.625" style="1559" customWidth="1"/>
    <col min="4" max="4" width="10.75" style="1559" customWidth="1"/>
    <col min="5" max="7" width="11.125" style="1559" customWidth="1"/>
    <col min="8" max="8" width="11" style="1559"/>
    <col min="9" max="9" width="21.625" style="1559" bestFit="1" customWidth="1"/>
    <col min="10" max="16384" width="11" style="1559"/>
  </cols>
  <sheetData>
    <row r="1" spans="1:10" ht="29.25" customHeight="1" x14ac:dyDescent="0.45">
      <c r="A1" s="2505" t="s">
        <v>898</v>
      </c>
      <c r="B1" s="2506"/>
      <c r="C1" s="2506"/>
      <c r="D1" s="2506"/>
      <c r="E1" s="2506"/>
      <c r="F1" s="2506"/>
      <c r="G1" s="2506"/>
      <c r="H1" s="2254"/>
    </row>
    <row r="2" spans="1:10" ht="27.75" x14ac:dyDescent="0.45">
      <c r="A2" s="1560">
        <f>'Datos Básicos'!B8</f>
        <v>0</v>
      </c>
      <c r="B2" s="1680"/>
      <c r="C2" s="1681"/>
      <c r="D2" s="1681"/>
      <c r="E2" s="1682"/>
      <c r="F2" s="1682"/>
      <c r="G2" s="1682"/>
      <c r="I2" s="1565"/>
      <c r="J2" s="1566"/>
    </row>
    <row r="3" spans="1:10" ht="27.75" x14ac:dyDescent="0.45">
      <c r="A3" s="1560"/>
      <c r="B3" s="1680"/>
      <c r="C3" s="1681"/>
      <c r="D3" s="1681"/>
      <c r="E3" s="1682"/>
      <c r="F3" s="1682"/>
      <c r="G3" s="1682"/>
      <c r="I3" s="1565"/>
      <c r="J3" s="1566"/>
    </row>
    <row r="4" spans="1:10" ht="28.5" thickBot="1" x14ac:dyDescent="0.5">
      <c r="A4" s="1560"/>
      <c r="B4" s="1680"/>
      <c r="C4" s="1681"/>
      <c r="D4" s="1681"/>
      <c r="E4" s="1682"/>
      <c r="F4" s="1682"/>
      <c r="G4" s="1682"/>
      <c r="I4" s="1565"/>
      <c r="J4" s="1566"/>
    </row>
    <row r="5" spans="1:10" ht="18" thickBot="1" x14ac:dyDescent="0.35">
      <c r="A5" s="1669" t="s">
        <v>899</v>
      </c>
      <c r="B5" s="1670" t="s">
        <v>900</v>
      </c>
      <c r="C5" s="1671" t="str">
        <f>CONCATENATE(TEXT('Datos Básicos'!B17,"###0"),IF(mes0=1,""," (*)"))</f>
        <v>2026</v>
      </c>
      <c r="D5" s="1672">
        <f>'Datos Básicos'!$C$17</f>
        <v>2027</v>
      </c>
      <c r="E5" s="1672">
        <f>'Datos Básicos'!$D$17</f>
        <v>2028</v>
      </c>
      <c r="F5" s="1672">
        <f>E5+1</f>
        <v>2029</v>
      </c>
      <c r="G5" s="1672">
        <f>F5+1</f>
        <v>2030</v>
      </c>
    </row>
    <row r="6" spans="1:10" ht="18.75" customHeight="1" x14ac:dyDescent="0.3">
      <c r="A6" s="1688" t="s">
        <v>1131</v>
      </c>
      <c r="B6" s="1689" t="s">
        <v>1101</v>
      </c>
      <c r="C6" s="1690">
        <f>IF('Balances anuales'!D25=0,"N/D",Imp.Sociedades!B22/'Balances anuales'!D25)</f>
        <v>1</v>
      </c>
      <c r="D6" s="1690">
        <f>Imp.Sociedades!D22/'Balances anuales'!F25</f>
        <v>0.52607521108134947</v>
      </c>
      <c r="E6" s="1690">
        <f>Imp.Sociedades!G22/'Balances anuales'!H25</f>
        <v>0.38438382904441765</v>
      </c>
      <c r="F6" s="1690">
        <f>Imp.Sociedades!J22/'Balances anuales'!J25</f>
        <v>0.29767557906683906</v>
      </c>
      <c r="G6" s="1691">
        <f>Imp.Sociedades!M22/'Balances anuales'!L25</f>
        <v>0.24682933663549159</v>
      </c>
    </row>
    <row r="7" spans="1:10" x14ac:dyDescent="0.3">
      <c r="A7" s="1692" t="s">
        <v>902</v>
      </c>
      <c r="B7" s="1693"/>
      <c r="C7" s="1694"/>
      <c r="D7" s="1694"/>
      <c r="E7" s="1694"/>
      <c r="F7" s="1694"/>
      <c r="G7" s="1695"/>
    </row>
    <row r="8" spans="1:10" ht="20.25" customHeight="1" x14ac:dyDescent="0.3">
      <c r="A8" s="1688" t="s">
        <v>1130</v>
      </c>
      <c r="B8" s="1689" t="s">
        <v>343</v>
      </c>
      <c r="C8" s="1690">
        <f>IF('Balances anuales'!D23=0,"N/D",'PyG anuales'!B26/'Balances anuales'!D23)</f>
        <v>-8.1814797341968468</v>
      </c>
      <c r="D8" s="1690">
        <f>'PyG anuales'!D26/'Balances anuales'!F23</f>
        <v>-9.0817652479119122</v>
      </c>
      <c r="E8" s="1690">
        <f>'PyG anuales'!G26/'Balances anuales'!H23</f>
        <v>-10.778976448351891</v>
      </c>
      <c r="F8" s="1690">
        <f>'PyG anuales'!J26/'Balances anuales'!J23</f>
        <v>-11.885510817838004</v>
      </c>
      <c r="G8" s="1691">
        <f>'PyG anuales'!M26/'Balances anuales'!L23</f>
        <v>-13.085129497983965</v>
      </c>
    </row>
    <row r="9" spans="1:10" x14ac:dyDescent="0.3">
      <c r="A9" s="1692" t="s">
        <v>905</v>
      </c>
      <c r="B9" s="1693"/>
      <c r="C9" s="1694"/>
      <c r="D9" s="1694"/>
      <c r="E9" s="1694"/>
      <c r="F9" s="1694"/>
      <c r="G9" s="1695"/>
    </row>
    <row r="10" spans="1:10" ht="18" customHeight="1" x14ac:dyDescent="0.3">
      <c r="A10" s="1688" t="s">
        <v>906</v>
      </c>
      <c r="B10" s="1689" t="s">
        <v>344</v>
      </c>
      <c r="C10" s="1690" t="str">
        <f>IF('PyG 0'!$N5=0,"N/D",Imp.Sociedades!B22/'PyG 0'!$N5)</f>
        <v>N/D</v>
      </c>
      <c r="D10" s="1690" t="str">
        <f>IF('PyG 1'!$N5=0,"N/D",Imp.Sociedades!D22/'PyG 1'!$N5)</f>
        <v>N/D</v>
      </c>
      <c r="E10" s="1690" t="str">
        <f>IF('PyG 2'!$N5=0,"N/D",Imp.Sociedades!G22/'PyG 2'!$N5)</f>
        <v>N/D</v>
      </c>
      <c r="F10" s="1690" t="str">
        <f>IF('PyG 3'!$N5=0,"N/D",Imp.Sociedades!J22/'PyG 4'!$N5)</f>
        <v>N/D</v>
      </c>
      <c r="G10" s="1691" t="str">
        <f>IF('PyG 4'!$N5=0,"N/D",Imp.Sociedades!M22/'PyG 4'!$N5)</f>
        <v>N/D</v>
      </c>
    </row>
    <row r="11" spans="1:10" x14ac:dyDescent="0.3">
      <c r="A11" s="1696" t="s">
        <v>907</v>
      </c>
      <c r="B11" s="1680"/>
      <c r="C11" s="1697"/>
      <c r="D11" s="1697"/>
      <c r="E11" s="1697"/>
      <c r="F11" s="1697"/>
      <c r="G11" s="1698"/>
    </row>
    <row r="12" spans="1:10" ht="18" thickBot="1" x14ac:dyDescent="0.35">
      <c r="A12" s="1699"/>
      <c r="B12" s="1680"/>
      <c r="C12" s="1697"/>
      <c r="D12" s="1697"/>
      <c r="E12" s="1697"/>
      <c r="F12" s="1697"/>
      <c r="G12" s="1698"/>
    </row>
    <row r="13" spans="1:10" ht="18" thickBot="1" x14ac:dyDescent="0.35">
      <c r="A13" s="1669" t="s">
        <v>908</v>
      </c>
      <c r="B13" s="1670" t="s">
        <v>900</v>
      </c>
      <c r="C13" s="1671" t="str">
        <f>C5</f>
        <v>2026</v>
      </c>
      <c r="D13" s="1672">
        <f>D5</f>
        <v>2027</v>
      </c>
      <c r="E13" s="1672">
        <f>E5</f>
        <v>2028</v>
      </c>
      <c r="F13" s="1672">
        <f>F5</f>
        <v>2029</v>
      </c>
      <c r="G13" s="1672">
        <f>G5</f>
        <v>2030</v>
      </c>
    </row>
    <row r="14" spans="1:10" s="1677" customFormat="1" ht="24.75" customHeight="1" x14ac:dyDescent="0.25">
      <c r="A14" s="1700" t="s">
        <v>909</v>
      </c>
      <c r="B14" s="1701" t="s">
        <v>910</v>
      </c>
      <c r="C14" s="1702">
        <f>IF('Balances anuales'!D23=0,"N/D",'PyG 0'!$N$5/'Balances anuales'!D23)</f>
        <v>0</v>
      </c>
      <c r="D14" s="1702">
        <f>'PyG 1'!$N$5/'Balances anuales'!F23</f>
        <v>0</v>
      </c>
      <c r="E14" s="1702">
        <f>'PyG 2'!$N$5/'Balances anuales'!H23</f>
        <v>0</v>
      </c>
      <c r="F14" s="1702">
        <f>'PyG 3'!$N$5/'Balances anuales'!J23</f>
        <v>0</v>
      </c>
      <c r="G14" s="1703">
        <f>'PyG 4'!$N$5/'Balances anuales'!L23</f>
        <v>0</v>
      </c>
    </row>
    <row r="15" spans="1:10" s="1677" customFormat="1" ht="24.75" customHeight="1" x14ac:dyDescent="0.25">
      <c r="A15" s="1704" t="s">
        <v>911</v>
      </c>
      <c r="B15" s="1705" t="s">
        <v>1099</v>
      </c>
      <c r="C15" s="1706">
        <f>'PyG 0'!$N$5/'Balances anuales'!D14</f>
        <v>0</v>
      </c>
      <c r="D15" s="1706">
        <f>'PyG 1'!$N$5/'Balances anuales'!F14</f>
        <v>0</v>
      </c>
      <c r="E15" s="1706">
        <f>'PyG 2'!$N$5/'Balances anuales'!H14</f>
        <v>0</v>
      </c>
      <c r="F15" s="1706">
        <f>'PyG 3'!$N$5/'Balances anuales'!J14</f>
        <v>0</v>
      </c>
      <c r="G15" s="1707">
        <f>'PyG 4'!$N$5/'Balances anuales'!L14</f>
        <v>0</v>
      </c>
    </row>
    <row r="16" spans="1:10" s="1677" customFormat="1" ht="24.75" customHeight="1" x14ac:dyDescent="0.25">
      <c r="A16" s="1704" t="s">
        <v>913</v>
      </c>
      <c r="B16" s="1705" t="s">
        <v>914</v>
      </c>
      <c r="C16" s="1706" t="str">
        <f>IF('Balances anuales'!D16=0,"N/D",'PyG 0'!$N$5/'Balances anuales'!D16)</f>
        <v>N/D</v>
      </c>
      <c r="D16" s="1706" t="str">
        <f>IF('Balances anuales'!F16=0,"N/D",'PyG 1'!$N$5/'Balances anuales'!F16)</f>
        <v>N/D</v>
      </c>
      <c r="E16" s="1706" t="str">
        <f>IF('Balances anuales'!H16=0,"N/D",'PyG 2'!$N$5/'Balances anuales'!H16)</f>
        <v>N/D</v>
      </c>
      <c r="F16" s="1706" t="str">
        <f>IF('Balances anuales'!J16=0,"N/D",'PyG 3'!$N$5/'Balances anuales'!J16)</f>
        <v>N/D</v>
      </c>
      <c r="G16" s="1707" t="str">
        <f>IF('Balances anuales'!L16=0,"N/D",'PyG 4'!$N$5/'Balances anuales'!L16)</f>
        <v>N/D</v>
      </c>
    </row>
    <row r="17" spans="1:7" s="1677" customFormat="1" ht="24.75" customHeight="1" thickBot="1" x14ac:dyDescent="0.3">
      <c r="A17" s="1673"/>
      <c r="B17" s="1674"/>
      <c r="C17" s="1675"/>
      <c r="D17" s="1675"/>
      <c r="E17" s="1675"/>
      <c r="F17" s="1675"/>
      <c r="G17" s="1676"/>
    </row>
    <row r="18" spans="1:7" ht="18" thickBot="1" x14ac:dyDescent="0.35">
      <c r="A18" s="1669" t="s">
        <v>915</v>
      </c>
      <c r="B18" s="1670" t="s">
        <v>900</v>
      </c>
      <c r="C18" s="1671" t="str">
        <f>C13</f>
        <v>2026</v>
      </c>
      <c r="D18" s="1672">
        <f>D13</f>
        <v>2027</v>
      </c>
      <c r="E18" s="1672">
        <f>E13</f>
        <v>2028</v>
      </c>
      <c r="F18" s="1672">
        <f>F13</f>
        <v>2029</v>
      </c>
      <c r="G18" s="1672">
        <f>G13</f>
        <v>2030</v>
      </c>
    </row>
    <row r="19" spans="1:7" s="1677" customFormat="1" ht="24.75" customHeight="1" x14ac:dyDescent="0.25">
      <c r="A19" s="1704" t="s">
        <v>916</v>
      </c>
      <c r="B19" s="1705" t="s">
        <v>1098</v>
      </c>
      <c r="C19" s="1706">
        <f>IF('Balances anuales'!D36=0,"N/D",('Balances anuales'!D14-'Balances anuales'!D20)/'Balances anuales'!D36)</f>
        <v>0.10891490576137237</v>
      </c>
      <c r="D19" s="1706">
        <f>('Balances anuales'!F14-'Balances anuales'!F20)/'Balances anuales'!F36</f>
        <v>5.475478213097569E-2</v>
      </c>
      <c r="E19" s="1706">
        <f>('Balances anuales'!H14-'Balances anuales'!H20)/'Balances anuales'!H36</f>
        <v>3.4432627765559283E-2</v>
      </c>
      <c r="F19" s="1706">
        <f>('Balances anuales'!J14-'Balances anuales'!J20)/'Balances anuales'!J36</f>
        <v>2.4433310742291856E-2</v>
      </c>
      <c r="G19" s="1707">
        <f>('Balances anuales'!L14-'Balances anuales'!L20)/'Balances anuales'!L36</f>
        <v>1.8514108819068897E-2</v>
      </c>
    </row>
    <row r="20" spans="1:7" s="1677" customFormat="1" ht="24.75" customHeight="1" x14ac:dyDescent="0.25">
      <c r="A20" s="1704" t="s">
        <v>918</v>
      </c>
      <c r="B20" s="1705" t="s">
        <v>1097</v>
      </c>
      <c r="C20" s="1706">
        <f>('Balances anuales'!D14)/'Balances anuales'!D36</f>
        <v>0.10891490576137237</v>
      </c>
      <c r="D20" s="1706">
        <f>('Balances anuales'!F14)/'Balances anuales'!F36</f>
        <v>5.475478213097569E-2</v>
      </c>
      <c r="E20" s="1706">
        <f>('Balances anuales'!H14-'Balances anuales'!H22)/'Balances anuales'!H36</f>
        <v>3.4432627765559283E-2</v>
      </c>
      <c r="F20" s="1706">
        <f>('Balances anuales'!J14-'Balances anuales'!J22)/'Balances anuales'!J36</f>
        <v>2.4433310742291856E-2</v>
      </c>
      <c r="G20" s="1707">
        <f>('Balances anuales'!L14-'Balances anuales'!L22)/'Balances anuales'!L36</f>
        <v>1.8514108819068897E-2</v>
      </c>
    </row>
    <row r="21" spans="1:7" s="1677" customFormat="1" ht="24.75" customHeight="1" x14ac:dyDescent="0.25">
      <c r="A21" s="1704" t="s">
        <v>920</v>
      </c>
      <c r="B21" s="1705" t="s">
        <v>1100</v>
      </c>
      <c r="C21" s="1706">
        <f>'Balances anuales'!D44/'Balances anuales'!D25</f>
        <v>-1.1222272782538607</v>
      </c>
      <c r="D21" s="1706">
        <f>'Balances anuales'!F44/'Balances anuales'!F25</f>
        <v>-1.057926537046562</v>
      </c>
      <c r="E21" s="1706">
        <f>'Balances anuales'!H44/'Balances anuales'!H25</f>
        <v>-1.0356605129333212</v>
      </c>
      <c r="F21" s="1706">
        <f>'Balances anuales'!J44/'Balances anuales'!J25</f>
        <v>-1.0250452490960742</v>
      </c>
      <c r="G21" s="1707">
        <f>'Balances anuales'!L44/'Balances anuales'!L25</f>
        <v>-1.0188633468758195</v>
      </c>
    </row>
    <row r="22" spans="1:7" s="1677" customFormat="1" ht="24.75" customHeight="1" x14ac:dyDescent="0.25">
      <c r="A22" s="1704" t="s">
        <v>208</v>
      </c>
      <c r="B22" s="1705" t="s">
        <v>1102</v>
      </c>
      <c r="C22" s="1706">
        <f>'PyG anuales'!B26/'PyG anuales'!B20*'Balances anuales'!D23/'Balances anuales'!D25</f>
        <v>-0.12725366236040273</v>
      </c>
      <c r="D22" s="1706">
        <f>'PyG anuales'!D26/'PyG anuales'!D20*'Balances anuales'!F23/'Balances anuales'!F25</f>
        <v>-6.4538336066785107E-2</v>
      </c>
      <c r="E22" s="1706">
        <f>'PyG anuales'!G26/'PyG anuales'!G20*'Balances anuales'!H23/'Balances anuales'!H25</f>
        <v>-4.1967507860659038E-2</v>
      </c>
      <c r="F22" s="1706">
        <f>'PyG anuales'!J26/'PyG anuales'!J20*'Balances anuales'!J23/'Balances anuales'!J25</f>
        <v>-3.1413520637619277E-2</v>
      </c>
      <c r="G22" s="1707">
        <f>'PyG anuales'!M26/'PyG anuales'!M20*'Balances anuales'!L23/'Balances anuales'!L25</f>
        <v>-2.5172119032846507E-2</v>
      </c>
    </row>
    <row r="23" spans="1:7" s="1677" customFormat="1" ht="24.75" customHeight="1" x14ac:dyDescent="0.25">
      <c r="A23" s="1704" t="s">
        <v>209</v>
      </c>
      <c r="B23" s="1705" t="s">
        <v>1103</v>
      </c>
      <c r="C23" s="1706" t="e">
        <f>'Balances anuales'!D43/'Balances anuales'!D7</f>
        <v>#DIV/0!</v>
      </c>
      <c r="D23" s="1706" t="e">
        <f>'Balances anuales'!F43/'Balances anuales'!F7</f>
        <v>#DIV/0!</v>
      </c>
      <c r="E23" s="1706" t="e">
        <f>'Balances anuales'!H43/'Balances anuales'!H7</f>
        <v>#DIV/0!</v>
      </c>
      <c r="F23" s="1706" t="e">
        <f>'Balances anuales'!J43/'Balances anuales'!J7</f>
        <v>#DIV/0!</v>
      </c>
      <c r="G23" s="1707" t="e">
        <f>'Balances anuales'!L43/'Balances anuales'!L7</f>
        <v>#DIV/0!</v>
      </c>
    </row>
    <row r="24" spans="1:7" s="1677" customFormat="1" ht="24.75" customHeight="1" x14ac:dyDescent="0.25">
      <c r="A24" s="1704" t="s">
        <v>210</v>
      </c>
      <c r="B24" s="1705" t="s">
        <v>923</v>
      </c>
      <c r="C24" s="1706" t="e">
        <f>('Balances anuales'!B17+'Balances anuales'!D17)/2/('PyG anuales'!B7+'IVA 0'!O19)*365</f>
        <v>#DIV/0!</v>
      </c>
      <c r="D24" s="1706" t="e">
        <f>('Balances anuales'!D17+'Balances anuales'!F17)/2/('PyG anuales'!D7+'IVA 1'!O19)*365</f>
        <v>#DIV/0!</v>
      </c>
      <c r="E24" s="1706" t="e">
        <f>('Balances anuales'!F17+'Balances anuales'!H17)/2/('PyG anuales'!G7+'IVA 2'!O19)*365</f>
        <v>#DIV/0!</v>
      </c>
      <c r="F24" s="1706" t="e">
        <f>('Balances anuales'!H17+'Balances anuales'!J17)/2/('PyG anuales'!J7+'IVA 3'!O19)*365</f>
        <v>#DIV/0!</v>
      </c>
      <c r="G24" s="1707" t="e">
        <f>('Balances anuales'!J17+'Balances anuales'!L17)/2/('PyG anuales'!M7+'IVA 3'!O19)*365</f>
        <v>#DIV/0!</v>
      </c>
    </row>
    <row r="25" spans="1:7" s="1677" customFormat="1" ht="24.75" customHeight="1" x14ac:dyDescent="0.25">
      <c r="A25" s="1704" t="s">
        <v>211</v>
      </c>
      <c r="B25" s="1705" t="s">
        <v>924</v>
      </c>
      <c r="C25" s="1706" t="str">
        <f>IF('PyG anuales'!B11=0,"N/D",('Balances anuales'!B39+'Balances anuales'!D39)/2/('PyG anuales'!B11+'IVA 0'!O5)*365)</f>
        <v>N/D</v>
      </c>
      <c r="D25" s="1706" t="str">
        <f>IF('PyG anuales'!D11=0,"N/D",('Balances anuales'!D39+'Balances anuales'!F39)/2/('PyG anuales'!D11+'IVA 1'!O5)*365)</f>
        <v>N/D</v>
      </c>
      <c r="E25" s="1706" t="str">
        <f>IF('PyG anuales'!G11=0,"N/D",('Balances anuales'!F39+'Balances anuales'!H39)/2/('PyG anuales'!G11+'IVA 2'!O5)*365)</f>
        <v>N/D</v>
      </c>
      <c r="F25" s="1706" t="str">
        <f>IF('PyG anuales'!J11=0,"N/D",('Balances anuales'!H39+'Balances anuales'!J39)/2/('PyG anuales'!J11+'IVA 3'!O5)*365)</f>
        <v>N/D</v>
      </c>
      <c r="G25" s="1707" t="str">
        <f>IF('PyG anuales'!M11=0,"N/D",('Balances anuales'!J39+'Balances anuales'!L39)/2/('PyG anuales'!M11+'IVA 4'!O5)*365)</f>
        <v>N/D</v>
      </c>
    </row>
    <row r="26" spans="1:7" ht="29.25" customHeight="1" x14ac:dyDescent="0.3">
      <c r="A26" s="1708" t="s">
        <v>212</v>
      </c>
      <c r="B26" s="1709" t="s">
        <v>291</v>
      </c>
      <c r="C26" s="1710" t="e">
        <f>(C10*Parametros!B41*'Balances anuales'!D23/'Balances anuales'!D25)/(1/C14-C10*Parametros!B41*'Balances anuales'!D23/'Balances anuales'!D25)</f>
        <v>#VALUE!</v>
      </c>
      <c r="D26" s="1710" t="e">
        <f>(D10*Parametros!C41*'Balances anuales'!F23/'Balances anuales'!F25)/(1/D14-D10*Parametros!C41*'Balances anuales'!F23/'Balances anuales'!F25)</f>
        <v>#VALUE!</v>
      </c>
      <c r="E26" s="1710" t="e">
        <f>(E10*Parametros!D41*'Balances anuales'!H23/'Balances anuales'!H25)/(1/E14-E10*Parametros!D41*'Balances anuales'!H23/'Balances anuales'!H25)</f>
        <v>#VALUE!</v>
      </c>
      <c r="F26" s="1710" t="e">
        <f>(F10*Parametros!E41*'Balances anuales'!J23/'Balances anuales'!J25)/(1/F14-F10*Parametros!E41*'Balances anuales'!J23/'Balances anuales'!J25)</f>
        <v>#VALUE!</v>
      </c>
      <c r="G26" s="1711" t="e">
        <f>(G10*Parametros!F41*'Balances anuales'!L23/'Balances anuales'!L25)/(1/G14-G10*Parametros!F41*'Balances anuales'!L23/'Balances anuales'!L25)</f>
        <v>#VALUE!</v>
      </c>
    </row>
    <row r="27" spans="1:7" ht="18" thickBot="1" x14ac:dyDescent="0.35">
      <c r="A27" s="1712"/>
      <c r="B27" s="1713"/>
      <c r="C27" s="1714"/>
      <c r="D27" s="1714"/>
      <c r="E27" s="1715"/>
      <c r="F27" s="1715"/>
      <c r="G27" s="1716"/>
    </row>
    <row r="28" spans="1:7" ht="18" thickBot="1" x14ac:dyDescent="0.35">
      <c r="A28" s="1669" t="s">
        <v>133</v>
      </c>
      <c r="B28" s="1670" t="s">
        <v>900</v>
      </c>
      <c r="C28" s="1671" t="str">
        <f>C5</f>
        <v>2026</v>
      </c>
      <c r="D28" s="1672">
        <f>D5</f>
        <v>2027</v>
      </c>
      <c r="E28" s="1672">
        <f>D28+1</f>
        <v>2028</v>
      </c>
      <c r="F28" s="1672">
        <f>E28+1</f>
        <v>2029</v>
      </c>
      <c r="G28" s="1672">
        <f>F28+1</f>
        <v>2030</v>
      </c>
    </row>
    <row r="29" spans="1:7" x14ac:dyDescent="0.3">
      <c r="A29" s="1717" t="s">
        <v>161</v>
      </c>
      <c r="B29" s="1718" t="s">
        <v>1104</v>
      </c>
      <c r="C29" s="1719">
        <f>'Balances anuales'!D14-'Balances anuales'!D36</f>
        <v>-16362.959468393696</v>
      </c>
      <c r="D29" s="1719">
        <f>'Balances anuales'!F14-'Balances anuales'!F36</f>
        <v>-34526.489964217515</v>
      </c>
      <c r="E29" s="1719">
        <f>'Balances anuales'!H14-'Balances anuales'!H36</f>
        <v>-56084.442860921285</v>
      </c>
      <c r="F29" s="1719">
        <f>'Balances anuales'!J14-'Balances anuales'!J36</f>
        <v>-79855.464496597284</v>
      </c>
      <c r="G29" s="1720">
        <f>'Balances anuales'!L14-'Balances anuales'!L36</f>
        <v>-106025.72349256522</v>
      </c>
    </row>
    <row r="30" spans="1:7" x14ac:dyDescent="0.3">
      <c r="A30" s="1721"/>
      <c r="B30" s="1693" t="s">
        <v>1105</v>
      </c>
      <c r="C30" s="1722"/>
      <c r="D30" s="1722"/>
      <c r="E30" s="1722"/>
      <c r="F30" s="1722"/>
      <c r="G30" s="1723"/>
    </row>
    <row r="31" spans="1:7" s="1677" customFormat="1" ht="21.75" customHeight="1" x14ac:dyDescent="0.25">
      <c r="A31" s="1704" t="s">
        <v>26</v>
      </c>
      <c r="B31" s="1705" t="s">
        <v>27</v>
      </c>
      <c r="C31" s="1706">
        <f>'G.F. 0'!$O$9+'G.F. 0'!$O$14</f>
        <v>1</v>
      </c>
      <c r="D31" s="1706">
        <f>'G.F. 1'!$O$9+'G.F. 1'!$O$14</f>
        <v>1</v>
      </c>
      <c r="E31" s="1706">
        <f>'G.F. 2'!$O$9+'G.F. 2'!$O$14</f>
        <v>1</v>
      </c>
      <c r="F31" s="1706">
        <f>'G.F. 3'!$O$9+'G.F. 3'!$O$14</f>
        <v>1</v>
      </c>
      <c r="G31" s="1707">
        <f>'G.F. 4'!$O$9+'G.F. 4'!$O$14</f>
        <v>1</v>
      </c>
    </row>
    <row r="32" spans="1:7" s="1677" customFormat="1" ht="21.75" customHeight="1" x14ac:dyDescent="0.25">
      <c r="A32" s="1704" t="s">
        <v>162</v>
      </c>
      <c r="B32" s="1705" t="s">
        <v>929</v>
      </c>
      <c r="C32" s="1706" t="e">
        <f>'PyG anuales'!B18/'PyG anuales'!C12</f>
        <v>#DIV/0!</v>
      </c>
      <c r="D32" s="1706" t="e">
        <f>'PyG anuales'!D18/'PyG anuales'!E12</f>
        <v>#DIV/0!</v>
      </c>
      <c r="E32" s="1706" t="e">
        <f>'PyG anuales'!G18/'PyG anuales'!H12</f>
        <v>#DIV/0!</v>
      </c>
      <c r="F32" s="1706" t="e">
        <f>'PyG anuales'!J18/'PyG anuales'!K12</f>
        <v>#DIV/0!</v>
      </c>
      <c r="G32" s="1707" t="e">
        <f>'PyG anuales'!M18/'PyG anuales'!N12</f>
        <v>#DIV/0!</v>
      </c>
    </row>
    <row r="33" spans="1:41" s="1677" customFormat="1" ht="21.75" customHeight="1" x14ac:dyDescent="0.25">
      <c r="A33" s="1704" t="s">
        <v>1005</v>
      </c>
      <c r="B33" s="1705" t="s">
        <v>14</v>
      </c>
      <c r="C33" s="1706" t="e">
        <f>'P. Equilibrio'!C29</f>
        <v>#DIV/0!</v>
      </c>
      <c r="D33" s="1706" t="e">
        <f>'P. Equilibrio'!D29</f>
        <v>#DIV/0!</v>
      </c>
      <c r="E33" s="1706" t="e">
        <f>'P. Equilibrio'!E29</f>
        <v>#DIV/0!</v>
      </c>
      <c r="F33" s="1706" t="e">
        <f>'P. Equilibrio'!F29</f>
        <v>#DIV/0!</v>
      </c>
      <c r="G33" s="1707" t="e">
        <f>'P. Equilibrio'!G29</f>
        <v>#DIV/0!</v>
      </c>
    </row>
    <row r="34" spans="1:41" s="1677" customFormat="1" ht="21.75" customHeight="1" x14ac:dyDescent="0.25">
      <c r="A34" s="1704" t="s">
        <v>163</v>
      </c>
      <c r="B34" s="1705"/>
      <c r="C34" s="1706">
        <f>'PyG anuales'!B7</f>
        <v>0</v>
      </c>
      <c r="D34" s="1706">
        <f>'PyG anuales'!D7</f>
        <v>0</v>
      </c>
      <c r="E34" s="1706">
        <f>'PyG anuales'!G7</f>
        <v>0</v>
      </c>
      <c r="F34" s="1706">
        <f>'PyG anuales'!J7</f>
        <v>0</v>
      </c>
      <c r="G34" s="1707">
        <f>'PyG anuales'!M7</f>
        <v>0</v>
      </c>
    </row>
    <row r="35" spans="1:41" s="1677" customFormat="1" ht="21.75" customHeight="1" x14ac:dyDescent="0.25">
      <c r="A35" s="1724" t="s">
        <v>164</v>
      </c>
      <c r="B35" s="1725" t="s">
        <v>15</v>
      </c>
      <c r="C35" s="1726" t="e">
        <f>(C34-C32)*'PyG anuales'!C12+'PyG anuales'!B24</f>
        <v>#DIV/0!</v>
      </c>
      <c r="D35" s="1726" t="e">
        <f>(D34-D32)*'PyG anuales'!E12+'PyG anuales'!D24</f>
        <v>#DIV/0!</v>
      </c>
      <c r="E35" s="1726" t="e">
        <f>(E34-E32)*'PyG anuales'!H12+'PyG anuales'!G24</f>
        <v>#DIV/0!</v>
      </c>
      <c r="F35" s="1726" t="e">
        <f>(F34-F32)*'PyG anuales'!K12+'PyG anuales'!J24</f>
        <v>#DIV/0!</v>
      </c>
      <c r="G35" s="1727" t="e">
        <f>(G34-G32)*'PyG anuales'!N12+'PyG anuales'!M24</f>
        <v>#DIV/0!</v>
      </c>
    </row>
    <row r="36" spans="1:41" s="1677" customFormat="1" ht="21.75" customHeight="1" thickBot="1" x14ac:dyDescent="0.3">
      <c r="A36" s="1728" t="s">
        <v>194</v>
      </c>
      <c r="B36" s="1729" t="s">
        <v>195</v>
      </c>
      <c r="C36" s="1730">
        <f>'Tesorería 0'!$C$33</f>
        <v>-16362.959468393696</v>
      </c>
      <c r="D36" s="1730">
        <f>'Tesorería 1'!$C$33</f>
        <v>-18163.530495823819</v>
      </c>
      <c r="E36" s="1730">
        <f>'Tesorería 2'!$C$33</f>
        <v>-21557.95289670377</v>
      </c>
      <c r="F36" s="1730">
        <f>'Tesorería 3'!$C$33</f>
        <v>-23771.021635675999</v>
      </c>
      <c r="G36" s="1731">
        <f>'Tesorería 4'!$C$33</f>
        <v>-26170.258995967932</v>
      </c>
      <c r="AN36" s="1742"/>
      <c r="AO36" s="1742"/>
    </row>
    <row r="37" spans="1:41" ht="18" thickBot="1" x14ac:dyDescent="0.35"/>
    <row r="38" spans="1:41" s="1677" customFormat="1" ht="21.75" customHeight="1" x14ac:dyDescent="0.25">
      <c r="A38" s="1732" t="s">
        <v>927</v>
      </c>
      <c r="B38" s="1733" t="s">
        <v>928</v>
      </c>
      <c r="C38" s="1734" t="str">
        <f>IF(Imp.Sociedades!B22+Imp.Sociedades!D22+Imp.Sociedades!G22+Imp.Sociedades!J22+Imp.Sociedades!M22&lt;0,"N/D",
IF(SUM(inv_propia)&lt;Imp.Sociedades!B22,SUM(inv_propia)/Imp.Sociedades!B22,
IF(SUM(inv_propia)&lt;(Imp.Sociedades!B22+Imp.Sociedades!D22),1+(SUM(inv_propia)-Imp.Sociedades!B22)/Imp.Sociedades!D22,
IF(SUM(inv_propia)&lt;(Imp.Sociedades!B22+Imp.Sociedades!D22+Imp.Sociedades!G22),2+(SUM(inv_propia)-Imp.Sociedades!B22-Imp.Sociedades!D22)/Imp.Sociedades!G22,
IF(SUM(inv_propia)&lt;(Imp.Sociedades!B22+Imp.Sociedades!D22+Imp.Sociedades!G22+Imp.Sociedades!J22),3+(SUM(inv_propia)-Imp.Sociedades!B22-Imp.Sociedades!D22-Imp.Sociedades!G22)/Imp.Sociedades!J22,
4+(SUM(inv_propia)-Imp.Sociedades!B22-Imp.Sociedades!D22-Imp.Sociedades!G22-Imp.Sociedades!J22)/Imp.Sociedades!M22)))))</f>
        <v>N/D</v>
      </c>
      <c r="D38" s="1685"/>
      <c r="E38" s="1686"/>
      <c r="F38" s="1686"/>
      <c r="G38" s="1686"/>
    </row>
    <row r="39" spans="1:41" s="1677" customFormat="1" ht="20.25" customHeight="1" x14ac:dyDescent="0.25">
      <c r="A39" s="1704" t="s">
        <v>297</v>
      </c>
      <c r="B39" s="1735" t="s">
        <v>298</v>
      </c>
      <c r="C39" s="1736" t="e">
        <f>Amortizaciones!D23</f>
        <v>#DIV/0!</v>
      </c>
      <c r="D39" s="1685"/>
      <c r="E39" s="1686"/>
      <c r="F39" s="1686"/>
      <c r="G39" s="1686"/>
    </row>
    <row r="40" spans="1:41" s="1677" customFormat="1" ht="3" hidden="1" customHeight="1" x14ac:dyDescent="0.25">
      <c r="A40" s="1704"/>
      <c r="B40" s="1737"/>
      <c r="C40" s="1736" t="e">
        <f>ROUNDUP(C39,0)</f>
        <v>#DIV/0!</v>
      </c>
      <c r="D40" s="1685"/>
      <c r="E40" s="1686"/>
      <c r="F40" s="1686"/>
      <c r="G40" s="1686"/>
    </row>
    <row r="41" spans="1:41" ht="19.5" customHeight="1" x14ac:dyDescent="0.3">
      <c r="A41" s="1704" t="s">
        <v>292</v>
      </c>
      <c r="B41" s="1735" t="s">
        <v>294</v>
      </c>
      <c r="C41" s="1738" t="e">
        <f ca="1">NPV(Parametros!$C$16,OFFSET(M43,0,0,1,C40))</f>
        <v>#DIV/0!</v>
      </c>
    </row>
    <row r="42" spans="1:41" ht="19.5" customHeight="1" x14ac:dyDescent="0.3">
      <c r="A42" s="1704" t="s">
        <v>293</v>
      </c>
      <c r="B42" s="1735" t="s">
        <v>295</v>
      </c>
      <c r="C42" s="1739" t="e">
        <f ca="1">IRR(OFFSET(L43,0,0,1,C40+1))</f>
        <v>#DIV/0!</v>
      </c>
      <c r="L42" s="1677"/>
      <c r="M42" s="1661">
        <v>1</v>
      </c>
      <c r="N42" s="1661">
        <v>2</v>
      </c>
      <c r="O42" s="1661">
        <v>3</v>
      </c>
      <c r="P42" s="1661">
        <v>4</v>
      </c>
      <c r="Q42" s="1661">
        <v>5</v>
      </c>
      <c r="R42" s="1661">
        <v>6</v>
      </c>
      <c r="S42" s="1661">
        <v>7</v>
      </c>
      <c r="T42" s="1661">
        <v>8</v>
      </c>
      <c r="U42" s="1661">
        <v>9</v>
      </c>
      <c r="V42" s="1661">
        <v>10</v>
      </c>
      <c r="W42" s="1661">
        <v>11</v>
      </c>
      <c r="X42" s="1661">
        <v>12</v>
      </c>
      <c r="Y42" s="1661">
        <v>13</v>
      </c>
      <c r="Z42" s="1661">
        <v>14</v>
      </c>
      <c r="AA42" s="1661">
        <v>15</v>
      </c>
      <c r="AB42" s="1661">
        <v>16</v>
      </c>
      <c r="AC42" s="1661">
        <v>17</v>
      </c>
      <c r="AD42" s="1661">
        <v>18</v>
      </c>
      <c r="AE42" s="1661">
        <v>19</v>
      </c>
      <c r="AF42" s="1661">
        <v>20</v>
      </c>
      <c r="AG42" s="1661">
        <v>21</v>
      </c>
      <c r="AH42" s="1661">
        <v>22</v>
      </c>
      <c r="AI42" s="1661">
        <v>23</v>
      </c>
      <c r="AJ42" s="1661">
        <v>24</v>
      </c>
      <c r="AK42" s="1661">
        <v>25</v>
      </c>
      <c r="AL42" s="1661">
        <v>26</v>
      </c>
      <c r="AM42" s="1661">
        <v>27</v>
      </c>
      <c r="AN42" s="1661">
        <v>28</v>
      </c>
      <c r="AO42" s="1661">
        <v>29</v>
      </c>
    </row>
    <row r="43" spans="1:41" ht="19.5" customHeight="1" thickBot="1" x14ac:dyDescent="0.35">
      <c r="A43" s="1728" t="s">
        <v>299</v>
      </c>
      <c r="B43" s="1740" t="s">
        <v>300</v>
      </c>
      <c r="C43" s="1741" t="e">
        <f ca="1">MIRR(OFFSET(L43,0,0,1,C40+1),Parametros!$C$7,Parametros!$C$8)</f>
        <v>#DIV/0!</v>
      </c>
      <c r="D43" s="1687"/>
      <c r="L43" s="1742">
        <f>-SUM(inv_propia)</f>
        <v>0</v>
      </c>
      <c r="M43" s="1742">
        <f>C36</f>
        <v>-16362.959468393696</v>
      </c>
      <c r="N43" s="1742">
        <f>D36</f>
        <v>-18163.530495823819</v>
      </c>
      <c r="O43" s="1742">
        <f>E36</f>
        <v>-21557.95289670377</v>
      </c>
      <c r="P43" s="1742">
        <f>F36</f>
        <v>-23771.021635675999</v>
      </c>
      <c r="Q43" s="1742">
        <f>G36</f>
        <v>-26170.258995967932</v>
      </c>
      <c r="R43" s="1742">
        <f t="shared" ref="R43:AO43" si="0">$G$36</f>
        <v>-26170.258995967932</v>
      </c>
      <c r="S43" s="1742">
        <f t="shared" si="0"/>
        <v>-26170.258995967932</v>
      </c>
      <c r="T43" s="1742">
        <f t="shared" si="0"/>
        <v>-26170.258995967932</v>
      </c>
      <c r="U43" s="1742">
        <f t="shared" si="0"/>
        <v>-26170.258995967932</v>
      </c>
      <c r="V43" s="1742">
        <f t="shared" si="0"/>
        <v>-26170.258995967932</v>
      </c>
      <c r="W43" s="1742">
        <f t="shared" si="0"/>
        <v>-26170.258995967932</v>
      </c>
      <c r="X43" s="1742">
        <f t="shared" si="0"/>
        <v>-26170.258995967932</v>
      </c>
      <c r="Y43" s="1742">
        <f t="shared" si="0"/>
        <v>-26170.258995967932</v>
      </c>
      <c r="Z43" s="1742">
        <f t="shared" si="0"/>
        <v>-26170.258995967932</v>
      </c>
      <c r="AA43" s="1742">
        <f t="shared" si="0"/>
        <v>-26170.258995967932</v>
      </c>
      <c r="AB43" s="1742">
        <f t="shared" si="0"/>
        <v>-26170.258995967932</v>
      </c>
      <c r="AC43" s="1742">
        <f t="shared" si="0"/>
        <v>-26170.258995967932</v>
      </c>
      <c r="AD43" s="1742">
        <f t="shared" si="0"/>
        <v>-26170.258995967932</v>
      </c>
      <c r="AE43" s="1742">
        <f t="shared" si="0"/>
        <v>-26170.258995967932</v>
      </c>
      <c r="AF43" s="1742">
        <f t="shared" si="0"/>
        <v>-26170.258995967932</v>
      </c>
      <c r="AG43" s="1742">
        <f t="shared" si="0"/>
        <v>-26170.258995967932</v>
      </c>
      <c r="AH43" s="1742">
        <f t="shared" si="0"/>
        <v>-26170.258995967932</v>
      </c>
      <c r="AI43" s="1742">
        <f t="shared" si="0"/>
        <v>-26170.258995967932</v>
      </c>
      <c r="AJ43" s="1742">
        <f t="shared" si="0"/>
        <v>-26170.258995967932</v>
      </c>
      <c r="AK43" s="1742">
        <f t="shared" si="0"/>
        <v>-26170.258995967932</v>
      </c>
      <c r="AL43" s="1742">
        <f t="shared" si="0"/>
        <v>-26170.258995967932</v>
      </c>
      <c r="AM43" s="1742">
        <f t="shared" si="0"/>
        <v>-26170.258995967932</v>
      </c>
      <c r="AN43" s="1742">
        <f t="shared" si="0"/>
        <v>-26170.258995967932</v>
      </c>
      <c r="AO43" s="1742">
        <f t="shared" si="0"/>
        <v>-26170.258995967932</v>
      </c>
    </row>
    <row r="45" spans="1:41" x14ac:dyDescent="0.3">
      <c r="A45" s="1683" t="str">
        <f>'PyG anuales'!A34</f>
        <v/>
      </c>
      <c r="C45" s="1684"/>
      <c r="L45" s="1677"/>
      <c r="M45" s="1677"/>
      <c r="N45" s="1677"/>
      <c r="O45" s="1677"/>
      <c r="P45" s="1677"/>
      <c r="Q45" s="1677"/>
      <c r="R45" s="1677"/>
      <c r="S45" s="1677"/>
      <c r="T45" s="1677"/>
      <c r="U45" s="1677"/>
      <c r="V45" s="1677"/>
      <c r="W45" s="1677"/>
      <c r="X45" s="1677"/>
      <c r="Y45" s="1677"/>
      <c r="Z45" s="1677"/>
      <c r="AA45" s="1677"/>
      <c r="AB45" s="1677"/>
      <c r="AC45" s="1677"/>
      <c r="AD45" s="1677"/>
      <c r="AE45" s="1677"/>
      <c r="AF45" s="1677"/>
      <c r="AG45" s="1677"/>
      <c r="AH45" s="1677"/>
      <c r="AI45" s="1677"/>
      <c r="AJ45" s="1677"/>
      <c r="AK45" s="1677"/>
      <c r="AL45" s="1677"/>
      <c r="AM45" s="1677"/>
      <c r="AN45" s="1677"/>
      <c r="AO45" s="1677"/>
    </row>
  </sheetData>
  <sheetProtection sheet="1" objects="1" scenarios="1" formatCells="0" formatColumns="0"/>
  <mergeCells count="1">
    <mergeCell ref="A1:G1"/>
  </mergeCells>
  <phoneticPr fontId="13" type="noConversion"/>
  <printOptions horizontalCentered="1"/>
  <pageMargins left="0.75" right="0.75" top="0.43" bottom="0.53" header="0.44" footer="0.31496062992125984"/>
  <pageSetup paperSize="9" scale="59" orientation="landscape" horizontalDpi="360" verticalDpi="300" r:id="rId1"/>
  <headerFooter alignWithMargins="0">
    <oddFooter>&amp;A</oddFooter>
  </headerFooter>
  <drawing r:id="rId2"/>
  <legacyDrawing r:id="rId3"/>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Hoja39">
    <tabColor rgb="FFF28B82"/>
    <pageSetUpPr fitToPage="1"/>
  </sheetPr>
  <dimension ref="A1:H57"/>
  <sheetViews>
    <sheetView showGridLines="0" workbookViewId="0"/>
  </sheetViews>
  <sheetFormatPr baseColWidth="10" defaultRowHeight="17.25" x14ac:dyDescent="0.3"/>
  <cols>
    <col min="1" max="1" width="38.75" style="46" customWidth="1"/>
    <col min="2" max="2" width="50.625" style="46" customWidth="1"/>
    <col min="3" max="8" width="11.25" style="46" customWidth="1"/>
    <col min="9" max="16384" width="11" style="46"/>
  </cols>
  <sheetData>
    <row r="1" spans="1:8" ht="27.75" x14ac:dyDescent="0.45">
      <c r="A1" s="43" t="s">
        <v>447</v>
      </c>
      <c r="B1" s="43"/>
      <c r="C1" s="44"/>
      <c r="D1" s="44"/>
      <c r="E1" s="45"/>
      <c r="F1" s="44"/>
      <c r="G1" s="44"/>
      <c r="H1" s="45"/>
    </row>
    <row r="2" spans="1:8" ht="28.5" thickBot="1" x14ac:dyDescent="0.5">
      <c r="A2" s="47"/>
      <c r="B2" s="48"/>
      <c r="C2" s="49"/>
      <c r="D2" s="49"/>
      <c r="E2" s="50"/>
      <c r="F2" s="49"/>
      <c r="G2" s="49"/>
      <c r="H2" s="50"/>
    </row>
    <row r="3" spans="1:8" ht="18" thickBot="1" x14ac:dyDescent="0.35">
      <c r="A3" s="193" t="s">
        <v>899</v>
      </c>
      <c r="B3" s="194" t="s">
        <v>900</v>
      </c>
      <c r="C3" s="195" t="s">
        <v>404</v>
      </c>
      <c r="D3" s="196" t="s">
        <v>405</v>
      </c>
      <c r="E3" s="85" t="s">
        <v>449</v>
      </c>
      <c r="F3" s="195" t="s">
        <v>406</v>
      </c>
      <c r="G3" s="196" t="s">
        <v>408</v>
      </c>
      <c r="H3" s="85" t="s">
        <v>409</v>
      </c>
    </row>
    <row r="4" spans="1:8" x14ac:dyDescent="0.3">
      <c r="A4" s="53" t="s">
        <v>901</v>
      </c>
      <c r="B4" s="54" t="s">
        <v>903</v>
      </c>
      <c r="C4" s="55" t="s">
        <v>410</v>
      </c>
      <c r="D4" s="55">
        <v>7.0000000000000007E-2</v>
      </c>
      <c r="E4" s="55">
        <v>0.1</v>
      </c>
      <c r="F4" s="55">
        <v>0.15</v>
      </c>
      <c r="G4" s="55">
        <v>0.2</v>
      </c>
      <c r="H4" s="55">
        <v>0.5</v>
      </c>
    </row>
    <row r="5" spans="1:8" ht="18" thickBot="1" x14ac:dyDescent="0.35">
      <c r="A5" s="53" t="s">
        <v>902</v>
      </c>
      <c r="B5" s="56"/>
      <c r="C5" s="57"/>
      <c r="D5" s="57"/>
      <c r="E5" s="57"/>
      <c r="F5" s="57"/>
      <c r="G5" s="57"/>
      <c r="H5" s="57"/>
    </row>
    <row r="6" spans="1:8" x14ac:dyDescent="0.3">
      <c r="A6" s="58" t="s">
        <v>904</v>
      </c>
      <c r="B6" s="59" t="s">
        <v>411</v>
      </c>
      <c r="C6" s="55" t="s">
        <v>410</v>
      </c>
      <c r="D6" s="55">
        <v>0.1</v>
      </c>
      <c r="E6" s="55">
        <v>0.15</v>
      </c>
      <c r="F6" s="55">
        <v>0.2</v>
      </c>
      <c r="G6" s="55">
        <v>0.3</v>
      </c>
      <c r="H6" s="55">
        <v>0.5</v>
      </c>
    </row>
    <row r="7" spans="1:8" ht="18" thickBot="1" x14ac:dyDescent="0.35">
      <c r="A7" s="60" t="s">
        <v>905</v>
      </c>
      <c r="B7" s="61"/>
      <c r="C7" s="62"/>
      <c r="D7" s="62"/>
      <c r="E7" s="62"/>
      <c r="F7" s="62"/>
      <c r="G7" s="62"/>
      <c r="H7" s="62"/>
    </row>
    <row r="8" spans="1:8" x14ac:dyDescent="0.3">
      <c r="A8" s="53" t="s">
        <v>906</v>
      </c>
      <c r="B8" s="54" t="s">
        <v>412</v>
      </c>
      <c r="C8" s="63">
        <v>0.03</v>
      </c>
      <c r="D8" s="64">
        <v>0.1</v>
      </c>
      <c r="E8" s="65">
        <v>0.2</v>
      </c>
      <c r="F8" s="63">
        <v>0.3</v>
      </c>
      <c r="G8" s="64">
        <v>0.5</v>
      </c>
      <c r="H8" s="65">
        <v>1</v>
      </c>
    </row>
    <row r="9" spans="1:8" ht="18" thickBot="1" x14ac:dyDescent="0.35">
      <c r="A9" s="60" t="s">
        <v>907</v>
      </c>
      <c r="B9" s="66" t="s">
        <v>413</v>
      </c>
      <c r="C9" s="39"/>
      <c r="D9" s="62"/>
      <c r="E9" s="41"/>
      <c r="F9" s="39"/>
      <c r="G9" s="62"/>
      <c r="H9" s="41"/>
    </row>
    <row r="10" spans="1:8" x14ac:dyDescent="0.3">
      <c r="A10" s="67"/>
      <c r="B10" s="56" t="s">
        <v>414</v>
      </c>
      <c r="C10" s="68">
        <v>0.03</v>
      </c>
      <c r="D10" s="68">
        <v>0.05</v>
      </c>
      <c r="E10" s="68">
        <v>0.1</v>
      </c>
      <c r="F10" s="68">
        <v>0.15</v>
      </c>
      <c r="G10" s="69">
        <v>0.2</v>
      </c>
      <c r="H10" s="40"/>
    </row>
    <row r="11" spans="1:8" x14ac:dyDescent="0.3">
      <c r="A11" s="70"/>
      <c r="B11" s="71" t="s">
        <v>415</v>
      </c>
      <c r="C11" s="72">
        <v>0.1</v>
      </c>
      <c r="D11" s="73">
        <v>0.15</v>
      </c>
      <c r="E11" s="74">
        <v>0.2</v>
      </c>
      <c r="F11" s="72">
        <v>0.3</v>
      </c>
      <c r="G11" s="73">
        <v>0.4</v>
      </c>
      <c r="H11" s="75"/>
    </row>
    <row r="12" spans="1:8" x14ac:dyDescent="0.3">
      <c r="A12" s="70"/>
      <c r="B12" s="71" t="s">
        <v>416</v>
      </c>
      <c r="C12" s="72">
        <v>0.3</v>
      </c>
      <c r="D12" s="73">
        <v>0.4</v>
      </c>
      <c r="E12" s="74">
        <v>0.45</v>
      </c>
      <c r="F12" s="72">
        <v>0.5</v>
      </c>
      <c r="G12" s="73">
        <v>0.6</v>
      </c>
      <c r="H12" s="75"/>
    </row>
    <row r="13" spans="1:8" x14ac:dyDescent="0.3">
      <c r="A13" s="67"/>
      <c r="B13" s="56" t="s">
        <v>417</v>
      </c>
      <c r="C13" s="68">
        <v>0.35</v>
      </c>
      <c r="D13" s="76">
        <v>0.45</v>
      </c>
      <c r="E13" s="77">
        <v>0.5</v>
      </c>
      <c r="F13" s="68">
        <v>0.6</v>
      </c>
      <c r="G13" s="76">
        <v>0.75</v>
      </c>
      <c r="H13" s="40"/>
    </row>
    <row r="14" spans="1:8" ht="18" thickBot="1" x14ac:dyDescent="0.35">
      <c r="A14" s="78"/>
      <c r="B14" s="79" t="s">
        <v>418</v>
      </c>
      <c r="C14" s="80">
        <v>0.4</v>
      </c>
      <c r="D14" s="81">
        <v>0.5</v>
      </c>
      <c r="E14" s="82">
        <v>0.65</v>
      </c>
      <c r="F14" s="80">
        <v>0.8</v>
      </c>
      <c r="G14" s="81">
        <v>0.95</v>
      </c>
      <c r="H14" s="83"/>
    </row>
    <row r="15" spans="1:8" ht="18" thickBot="1" x14ac:dyDescent="0.35">
      <c r="A15" s="51" t="s">
        <v>908</v>
      </c>
      <c r="B15" s="52" t="s">
        <v>900</v>
      </c>
      <c r="C15" s="84"/>
      <c r="D15" s="85"/>
      <c r="E15" s="86"/>
      <c r="F15" s="84"/>
      <c r="G15" s="85"/>
      <c r="H15" s="86"/>
    </row>
    <row r="16" spans="1:8" x14ac:dyDescent="0.3">
      <c r="A16" s="53" t="s">
        <v>909</v>
      </c>
      <c r="B16" s="54"/>
      <c r="C16" s="87">
        <v>0.3</v>
      </c>
      <c r="D16" s="88">
        <v>0.5</v>
      </c>
      <c r="E16" s="89">
        <v>0.7</v>
      </c>
      <c r="F16" s="87">
        <v>1</v>
      </c>
      <c r="G16" s="88">
        <v>1.3</v>
      </c>
      <c r="H16" s="89" t="s">
        <v>419</v>
      </c>
    </row>
    <row r="17" spans="1:8" ht="18" thickBot="1" x14ac:dyDescent="0.35">
      <c r="A17" s="90"/>
      <c r="B17" s="54" t="s">
        <v>910</v>
      </c>
      <c r="C17" s="91"/>
      <c r="D17" s="92"/>
      <c r="E17" s="93"/>
      <c r="F17" s="91"/>
      <c r="G17" s="92"/>
      <c r="H17" s="93"/>
    </row>
    <row r="18" spans="1:8" x14ac:dyDescent="0.3">
      <c r="A18" s="58" t="s">
        <v>911</v>
      </c>
      <c r="B18" s="59"/>
      <c r="C18" s="94">
        <v>1</v>
      </c>
      <c r="D18" s="95">
        <v>1.8</v>
      </c>
      <c r="E18" s="96">
        <v>2.5</v>
      </c>
      <c r="F18" s="94">
        <v>3</v>
      </c>
      <c r="G18" s="95">
        <v>5</v>
      </c>
      <c r="H18" s="96">
        <v>20</v>
      </c>
    </row>
    <row r="19" spans="1:8" ht="18" thickBot="1" x14ac:dyDescent="0.35">
      <c r="A19" s="97"/>
      <c r="B19" s="66" t="s">
        <v>912</v>
      </c>
      <c r="C19" s="98"/>
      <c r="D19" s="99"/>
      <c r="E19" s="100"/>
      <c r="F19" s="98"/>
      <c r="G19" s="99"/>
      <c r="H19" s="100"/>
    </row>
    <row r="20" spans="1:8" x14ac:dyDescent="0.3">
      <c r="A20" s="53" t="s">
        <v>913</v>
      </c>
      <c r="B20" s="54" t="s">
        <v>420</v>
      </c>
      <c r="C20" s="101">
        <v>0.8</v>
      </c>
      <c r="D20" s="102">
        <v>1.2</v>
      </c>
      <c r="E20" s="103">
        <v>2.5</v>
      </c>
      <c r="F20" s="101">
        <v>5</v>
      </c>
      <c r="G20" s="102">
        <v>10</v>
      </c>
      <c r="H20" s="103">
        <v>100</v>
      </c>
    </row>
    <row r="21" spans="1:8" ht="18" thickBot="1" x14ac:dyDescent="0.35">
      <c r="A21" s="90"/>
      <c r="B21" s="54" t="s">
        <v>914</v>
      </c>
      <c r="C21" s="98"/>
      <c r="D21" s="99"/>
      <c r="E21" s="100"/>
      <c r="F21" s="98"/>
      <c r="G21" s="99"/>
      <c r="H21" s="100"/>
    </row>
    <row r="22" spans="1:8" ht="18" thickBot="1" x14ac:dyDescent="0.35">
      <c r="A22" s="51" t="s">
        <v>915</v>
      </c>
      <c r="B22" s="52" t="s">
        <v>900</v>
      </c>
      <c r="C22" s="84"/>
      <c r="D22" s="85"/>
      <c r="E22" s="86"/>
      <c r="F22" s="84"/>
      <c r="G22" s="85"/>
      <c r="H22" s="86"/>
    </row>
    <row r="23" spans="1:8" x14ac:dyDescent="0.3">
      <c r="A23" s="53" t="s">
        <v>916</v>
      </c>
      <c r="B23" s="54"/>
      <c r="C23" s="87">
        <v>0.8</v>
      </c>
      <c r="D23" s="88">
        <v>1</v>
      </c>
      <c r="E23" s="89">
        <v>1.5</v>
      </c>
      <c r="F23" s="87">
        <v>2</v>
      </c>
      <c r="G23" s="88">
        <v>3</v>
      </c>
      <c r="H23" s="104"/>
    </row>
    <row r="24" spans="1:8" ht="18" thickBot="1" x14ac:dyDescent="0.35">
      <c r="A24" s="90"/>
      <c r="B24" s="54" t="s">
        <v>917</v>
      </c>
      <c r="C24" s="105"/>
      <c r="D24" s="106"/>
      <c r="E24" s="107"/>
      <c r="F24" s="105"/>
      <c r="G24" s="106"/>
      <c r="H24" s="107"/>
    </row>
    <row r="25" spans="1:8" x14ac:dyDescent="0.3">
      <c r="A25" s="58" t="s">
        <v>918</v>
      </c>
      <c r="B25" s="59"/>
      <c r="C25" s="87">
        <v>0.9</v>
      </c>
      <c r="D25" s="88">
        <v>1.05</v>
      </c>
      <c r="E25" s="89">
        <v>1.2</v>
      </c>
      <c r="F25" s="87">
        <v>1.3</v>
      </c>
      <c r="G25" s="88">
        <v>1.5</v>
      </c>
      <c r="H25" s="104"/>
    </row>
    <row r="26" spans="1:8" ht="18" thickBot="1" x14ac:dyDescent="0.35">
      <c r="A26" s="97"/>
      <c r="B26" s="66" t="s">
        <v>919</v>
      </c>
      <c r="C26" s="108"/>
      <c r="D26" s="109"/>
      <c r="E26" s="110"/>
      <c r="F26" s="108"/>
      <c r="G26" s="109"/>
      <c r="H26" s="110"/>
    </row>
    <row r="27" spans="1:8" x14ac:dyDescent="0.3">
      <c r="A27" s="53" t="s">
        <v>920</v>
      </c>
      <c r="B27" s="54"/>
      <c r="C27" s="111">
        <v>2</v>
      </c>
      <c r="D27" s="112">
        <v>1.5</v>
      </c>
      <c r="E27" s="113">
        <v>1.2</v>
      </c>
      <c r="F27" s="111">
        <v>1</v>
      </c>
      <c r="G27" s="112">
        <v>0.6</v>
      </c>
      <c r="H27" s="113"/>
    </row>
    <row r="28" spans="1:8" ht="18" thickBot="1" x14ac:dyDescent="0.35">
      <c r="A28" s="90"/>
      <c r="B28" s="54" t="s">
        <v>921</v>
      </c>
      <c r="C28" s="105"/>
      <c r="D28" s="106"/>
      <c r="E28" s="107"/>
      <c r="F28" s="105"/>
      <c r="G28" s="106"/>
      <c r="H28" s="107"/>
    </row>
    <row r="29" spans="1:8" x14ac:dyDescent="0.3">
      <c r="A29" s="58" t="s">
        <v>208</v>
      </c>
      <c r="B29" s="59"/>
      <c r="C29" s="87" t="s">
        <v>421</v>
      </c>
      <c r="D29" s="88">
        <v>1</v>
      </c>
      <c r="E29" s="89">
        <v>1.1000000000000001</v>
      </c>
      <c r="F29" s="87">
        <v>1.5</v>
      </c>
      <c r="G29" s="88">
        <v>2</v>
      </c>
      <c r="H29" s="104"/>
    </row>
    <row r="30" spans="1:8" ht="18" thickBot="1" x14ac:dyDescent="0.35">
      <c r="A30" s="97"/>
      <c r="B30" s="66" t="s">
        <v>235</v>
      </c>
      <c r="C30" s="108"/>
      <c r="D30" s="109"/>
      <c r="E30" s="110"/>
      <c r="F30" s="108"/>
      <c r="G30" s="109"/>
      <c r="H30" s="110"/>
    </row>
    <row r="31" spans="1:8" ht="21" customHeight="1" x14ac:dyDescent="0.3">
      <c r="A31" s="53" t="s">
        <v>209</v>
      </c>
      <c r="B31" s="54" t="s">
        <v>422</v>
      </c>
      <c r="C31" s="114">
        <v>0.2</v>
      </c>
      <c r="D31" s="114">
        <v>0.3</v>
      </c>
      <c r="E31" s="114">
        <v>0.5</v>
      </c>
      <c r="F31" s="114">
        <v>0.6</v>
      </c>
      <c r="G31" s="115">
        <v>0.8</v>
      </c>
      <c r="H31" s="113"/>
    </row>
    <row r="32" spans="1:8" ht="18" thickBot="1" x14ac:dyDescent="0.35">
      <c r="A32" s="90"/>
      <c r="B32" s="54" t="s">
        <v>922</v>
      </c>
      <c r="C32" s="105"/>
      <c r="D32" s="106"/>
      <c r="E32" s="107"/>
      <c r="F32" s="105"/>
      <c r="G32" s="106"/>
      <c r="H32" s="107"/>
    </row>
    <row r="33" spans="1:8" ht="27.75" customHeight="1" x14ac:dyDescent="0.3">
      <c r="A33" s="116" t="s">
        <v>210</v>
      </c>
      <c r="B33" s="117" t="s">
        <v>923</v>
      </c>
      <c r="C33" s="118">
        <v>120</v>
      </c>
      <c r="D33" s="119">
        <v>90</v>
      </c>
      <c r="E33" s="120">
        <v>45</v>
      </c>
      <c r="F33" s="118">
        <v>30</v>
      </c>
      <c r="G33" s="119">
        <v>15</v>
      </c>
      <c r="H33" s="121"/>
    </row>
    <row r="34" spans="1:8" ht="19.5" customHeight="1" x14ac:dyDescent="0.3">
      <c r="A34" s="90"/>
      <c r="B34" s="56" t="s">
        <v>448</v>
      </c>
      <c r="C34" s="122">
        <v>60</v>
      </c>
      <c r="D34" s="123">
        <v>30</v>
      </c>
      <c r="E34" s="124">
        <v>15</v>
      </c>
      <c r="F34" s="122">
        <v>0</v>
      </c>
      <c r="G34" s="123" t="s">
        <v>423</v>
      </c>
      <c r="H34" s="107"/>
    </row>
    <row r="35" spans="1:8" ht="19.5" customHeight="1" x14ac:dyDescent="0.3">
      <c r="A35" s="125"/>
      <c r="B35" s="71" t="s">
        <v>424</v>
      </c>
      <c r="C35" s="126">
        <v>120</v>
      </c>
      <c r="D35" s="127">
        <v>90</v>
      </c>
      <c r="E35" s="128">
        <v>60</v>
      </c>
      <c r="F35" s="126">
        <v>30</v>
      </c>
      <c r="G35" s="127">
        <v>0</v>
      </c>
      <c r="H35" s="129"/>
    </row>
    <row r="36" spans="1:8" ht="19.5" customHeight="1" thickBot="1" x14ac:dyDescent="0.35">
      <c r="A36" s="90"/>
      <c r="B36" s="56" t="s">
        <v>425</v>
      </c>
      <c r="C36" s="122">
        <v>300</v>
      </c>
      <c r="D36" s="123">
        <v>180</v>
      </c>
      <c r="E36" s="124">
        <v>120</v>
      </c>
      <c r="F36" s="122">
        <v>90</v>
      </c>
      <c r="G36" s="123">
        <v>60</v>
      </c>
      <c r="H36" s="130">
        <v>0</v>
      </c>
    </row>
    <row r="37" spans="1:8" ht="22.5" customHeight="1" thickBot="1" x14ac:dyDescent="0.35">
      <c r="A37" s="58" t="s">
        <v>211</v>
      </c>
      <c r="B37" s="59" t="s">
        <v>924</v>
      </c>
      <c r="C37" s="131">
        <v>0</v>
      </c>
      <c r="D37" s="132">
        <v>15</v>
      </c>
      <c r="E37" s="133">
        <v>20</v>
      </c>
      <c r="F37" s="131">
        <v>60</v>
      </c>
      <c r="G37" s="132">
        <v>90</v>
      </c>
      <c r="H37" s="134"/>
    </row>
    <row r="38" spans="1:8" x14ac:dyDescent="0.3">
      <c r="A38" s="58" t="s">
        <v>212</v>
      </c>
      <c r="B38" s="135" t="s">
        <v>426</v>
      </c>
      <c r="C38" s="38">
        <v>0</v>
      </c>
      <c r="D38" s="38" t="s">
        <v>427</v>
      </c>
      <c r="E38" s="38" t="s">
        <v>428</v>
      </c>
      <c r="F38" s="38">
        <v>0.1</v>
      </c>
      <c r="G38" s="136">
        <v>0.2</v>
      </c>
      <c r="H38" s="104"/>
    </row>
    <row r="39" spans="1:8" ht="18" thickBot="1" x14ac:dyDescent="0.35">
      <c r="A39" s="137"/>
      <c r="B39" s="138" t="s">
        <v>429</v>
      </c>
      <c r="C39" s="139"/>
      <c r="D39" s="140"/>
      <c r="E39" s="141"/>
      <c r="F39" s="139"/>
      <c r="G39" s="140"/>
      <c r="H39" s="141"/>
    </row>
    <row r="40" spans="1:8" ht="18" thickBot="1" x14ac:dyDescent="0.35">
      <c r="A40" s="142"/>
      <c r="B40" s="48"/>
      <c r="C40" s="143"/>
      <c r="D40" s="143"/>
      <c r="E40" s="142"/>
      <c r="F40" s="143"/>
      <c r="G40" s="143"/>
      <c r="H40" s="142"/>
    </row>
    <row r="41" spans="1:8" ht="18" thickBot="1" x14ac:dyDescent="0.35">
      <c r="A41" s="193" t="s">
        <v>133</v>
      </c>
      <c r="B41" s="52" t="s">
        <v>900</v>
      </c>
      <c r="C41" s="84"/>
      <c r="D41" s="85"/>
      <c r="E41" s="86"/>
      <c r="F41" s="84"/>
      <c r="G41" s="85"/>
      <c r="H41" s="85"/>
    </row>
    <row r="42" spans="1:8" x14ac:dyDescent="0.3">
      <c r="A42" s="144" t="s">
        <v>161</v>
      </c>
      <c r="B42" s="145" t="s">
        <v>925</v>
      </c>
      <c r="C42" s="146" t="s">
        <v>430</v>
      </c>
      <c r="D42" s="147" t="s">
        <v>431</v>
      </c>
      <c r="E42" s="148" t="s">
        <v>432</v>
      </c>
      <c r="F42" s="146" t="s">
        <v>433</v>
      </c>
      <c r="G42" s="147" t="s">
        <v>434</v>
      </c>
      <c r="H42" s="149"/>
    </row>
    <row r="43" spans="1:8" ht="18" thickBot="1" x14ac:dyDescent="0.35">
      <c r="A43" s="97"/>
      <c r="B43" s="150" t="s">
        <v>926</v>
      </c>
      <c r="C43" s="151"/>
      <c r="D43" s="152"/>
      <c r="E43" s="153"/>
      <c r="F43" s="151"/>
      <c r="G43" s="152"/>
      <c r="H43" s="152"/>
    </row>
    <row r="44" spans="1:8" ht="20.25" customHeight="1" thickBot="1" x14ac:dyDescent="0.35">
      <c r="A44" s="154" t="s">
        <v>26</v>
      </c>
      <c r="B44" s="155" t="s">
        <v>435</v>
      </c>
      <c r="C44" s="156"/>
      <c r="D44" s="157"/>
      <c r="E44" s="158"/>
      <c r="F44" s="156"/>
      <c r="G44" s="157"/>
      <c r="H44" s="157"/>
    </row>
    <row r="45" spans="1:8" s="165" customFormat="1" ht="48" customHeight="1" x14ac:dyDescent="0.25">
      <c r="A45" s="159" t="s">
        <v>927</v>
      </c>
      <c r="B45" s="160" t="s">
        <v>436</v>
      </c>
      <c r="C45" s="161">
        <v>15</v>
      </c>
      <c r="D45" s="162">
        <v>10</v>
      </c>
      <c r="E45" s="163">
        <v>7</v>
      </c>
      <c r="F45" s="161">
        <v>4</v>
      </c>
      <c r="G45" s="162">
        <v>3</v>
      </c>
      <c r="H45" s="164"/>
    </row>
    <row r="46" spans="1:8" x14ac:dyDescent="0.3">
      <c r="A46" s="166"/>
      <c r="B46" s="167" t="s">
        <v>437</v>
      </c>
      <c r="C46" s="168">
        <v>15</v>
      </c>
      <c r="D46" s="169">
        <v>12</v>
      </c>
      <c r="E46" s="170">
        <v>10</v>
      </c>
      <c r="F46" s="168">
        <v>8</v>
      </c>
      <c r="G46" s="169">
        <v>5</v>
      </c>
      <c r="H46" s="171"/>
    </row>
    <row r="47" spans="1:8" x14ac:dyDescent="0.3">
      <c r="A47" s="166"/>
      <c r="B47" s="167" t="s">
        <v>438</v>
      </c>
      <c r="C47" s="168">
        <v>10</v>
      </c>
      <c r="D47" s="169">
        <v>7</v>
      </c>
      <c r="E47" s="170">
        <v>5</v>
      </c>
      <c r="F47" s="168">
        <v>3</v>
      </c>
      <c r="G47" s="169">
        <v>2</v>
      </c>
      <c r="H47" s="171"/>
    </row>
    <row r="48" spans="1:8" ht="18" thickBot="1" x14ac:dyDescent="0.35">
      <c r="A48" s="125"/>
      <c r="B48" s="71" t="s">
        <v>439</v>
      </c>
      <c r="C48" s="172">
        <v>5</v>
      </c>
      <c r="D48" s="173">
        <v>4</v>
      </c>
      <c r="E48" s="174">
        <v>2</v>
      </c>
      <c r="F48" s="172">
        <v>1</v>
      </c>
      <c r="G48" s="173">
        <v>0.5</v>
      </c>
      <c r="H48" s="129"/>
    </row>
    <row r="49" spans="1:8" ht="18" thickBot="1" x14ac:dyDescent="0.35">
      <c r="A49" s="175" t="s">
        <v>162</v>
      </c>
      <c r="B49" s="176" t="s">
        <v>929</v>
      </c>
      <c r="C49" s="177"/>
      <c r="D49" s="178"/>
      <c r="E49" s="179"/>
      <c r="F49" s="180"/>
      <c r="G49" s="178"/>
      <c r="H49" s="155"/>
    </row>
    <row r="50" spans="1:8" x14ac:dyDescent="0.3">
      <c r="A50" s="181" t="s">
        <v>1005</v>
      </c>
      <c r="B50" s="150" t="s">
        <v>14</v>
      </c>
      <c r="C50" s="177">
        <v>0.9</v>
      </c>
      <c r="D50" s="178">
        <v>1.05</v>
      </c>
      <c r="E50" s="179">
        <v>1.25</v>
      </c>
      <c r="F50" s="180">
        <v>1.4</v>
      </c>
      <c r="G50" s="178">
        <v>2</v>
      </c>
      <c r="H50" s="182"/>
    </row>
    <row r="51" spans="1:8" ht="20.25" hidden="1" customHeight="1" thickBot="1" x14ac:dyDescent="0.35">
      <c r="A51" s="181" t="s">
        <v>163</v>
      </c>
      <c r="B51" s="183"/>
      <c r="C51" s="184"/>
      <c r="D51" s="185"/>
      <c r="E51" s="186"/>
      <c r="F51" s="184"/>
      <c r="G51" s="185"/>
      <c r="H51" s="185"/>
    </row>
    <row r="52" spans="1:8" ht="20.25" customHeight="1" x14ac:dyDescent="0.3">
      <c r="A52" s="181" t="s">
        <v>164</v>
      </c>
      <c r="B52" s="150" t="s">
        <v>15</v>
      </c>
      <c r="C52" s="187"/>
      <c r="D52" s="188"/>
      <c r="E52" s="189"/>
      <c r="F52" s="187"/>
      <c r="G52" s="188"/>
      <c r="H52" s="190"/>
    </row>
    <row r="53" spans="1:8" ht="20.25" customHeight="1" x14ac:dyDescent="0.3">
      <c r="A53" s="181" t="s">
        <v>194</v>
      </c>
      <c r="B53" s="150" t="s">
        <v>195</v>
      </c>
      <c r="C53" s="191" t="s">
        <v>430</v>
      </c>
      <c r="D53" s="192" t="s">
        <v>440</v>
      </c>
      <c r="E53" s="192" t="s">
        <v>441</v>
      </c>
      <c r="F53" s="192" t="s">
        <v>442</v>
      </c>
      <c r="G53" s="192" t="s">
        <v>443</v>
      </c>
      <c r="H53" s="190"/>
    </row>
    <row r="55" spans="1:8" x14ac:dyDescent="0.3">
      <c r="A55" s="198" t="s">
        <v>446</v>
      </c>
    </row>
    <row r="56" spans="1:8" x14ac:dyDescent="0.3">
      <c r="A56" s="197" t="s">
        <v>444</v>
      </c>
    </row>
    <row r="57" spans="1:8" x14ac:dyDescent="0.3">
      <c r="A57" s="197" t="s">
        <v>445</v>
      </c>
    </row>
  </sheetData>
  <sheetProtection sheet="1" objects="1" scenarios="1" formatCells="0" formatColumns="0"/>
  <phoneticPr fontId="13" type="noConversion"/>
  <printOptions horizontalCentered="1"/>
  <pageMargins left="0.75" right="0.75" top="0.43" bottom="0.53" header="0.44" footer="0.31496062992125984"/>
  <pageSetup paperSize="9" scale="54" orientation="landscape" horizontalDpi="360" verticalDpi="300" r:id="rId1"/>
  <headerFooter alignWithMargins="0">
    <oddFooter>&amp;A</oddFooter>
  </headerFooter>
  <legacy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Hoja33">
    <tabColor rgb="FF08414A"/>
  </sheetPr>
  <dimension ref="A1:R98"/>
  <sheetViews>
    <sheetView showGridLines="0" workbookViewId="0">
      <selection sqref="A1:K1"/>
    </sheetView>
  </sheetViews>
  <sheetFormatPr baseColWidth="10" defaultRowHeight="17.25" x14ac:dyDescent="0.3"/>
  <cols>
    <col min="1" max="1" width="23.875" style="307" customWidth="1"/>
    <col min="2" max="2" width="13.875" style="307" customWidth="1"/>
    <col min="3" max="7" width="12.75" style="307" customWidth="1"/>
    <col min="8" max="8" width="13" style="307" customWidth="1"/>
    <col min="9" max="9" width="11" style="307"/>
    <col min="10" max="11" width="11.25" style="307" customWidth="1"/>
    <col min="12" max="12" width="21.875" style="307" bestFit="1" customWidth="1"/>
    <col min="13" max="16384" width="11" style="307"/>
  </cols>
  <sheetData>
    <row r="1" spans="1:18" s="446" customFormat="1" ht="30" customHeight="1" x14ac:dyDescent="0.45">
      <c r="A1" s="2521" t="s">
        <v>1089</v>
      </c>
      <c r="B1" s="2506"/>
      <c r="C1" s="2506"/>
      <c r="D1" s="2506"/>
      <c r="E1" s="2506"/>
      <c r="F1" s="2506"/>
      <c r="G1" s="2506"/>
      <c r="H1" s="2506"/>
      <c r="I1" s="2506"/>
      <c r="J1" s="2506"/>
      <c r="K1" s="2506"/>
      <c r="R1" s="305"/>
    </row>
    <row r="2" spans="1:18" s="446" customFormat="1" ht="27.75" x14ac:dyDescent="0.45">
      <c r="A2" s="408">
        <f>'Datos Básicos'!B8</f>
        <v>0</v>
      </c>
      <c r="L2" s="1189"/>
      <c r="M2" s="1075"/>
      <c r="P2" s="305"/>
    </row>
    <row r="3" spans="1:18" s="446" customFormat="1" ht="18.75" customHeight="1" x14ac:dyDescent="0.45">
      <c r="A3" s="408"/>
      <c r="R3" s="305"/>
    </row>
    <row r="4" spans="1:18" s="446" customFormat="1" ht="18.75" customHeight="1" x14ac:dyDescent="0.45">
      <c r="A4" s="408"/>
      <c r="R4" s="305"/>
    </row>
    <row r="5" spans="1:18" s="446" customFormat="1" ht="18.75" customHeight="1" x14ac:dyDescent="0.45">
      <c r="A5" s="408"/>
      <c r="R5" s="305"/>
    </row>
    <row r="6" spans="1:18" s="446" customFormat="1" ht="18.75" customHeight="1" thickBot="1" x14ac:dyDescent="0.5">
      <c r="A6" s="408"/>
      <c r="R6" s="305"/>
    </row>
    <row r="7" spans="1:18" s="407" customFormat="1" ht="31.5" x14ac:dyDescent="0.25">
      <c r="A7" s="1846"/>
      <c r="B7" s="1847" t="str">
        <f>IF(mes0=1,"",CONCATENATE("( ",12-mes0+1," meses de actividad en ",B36," )  "))</f>
        <v/>
      </c>
      <c r="C7" s="1848" t="str">
        <f>CONCATENATE("Datos ",'Datos Básicos'!B16," 
",'Datos Básicos'!B17)</f>
        <v>Datos Año 0 
2026</v>
      </c>
      <c r="D7" s="1848" t="str">
        <f>CONCATENATE("Datos Año ",'Datos Básicos'!C16,"
 ",'Datos Básicos'!C17)</f>
        <v>Datos Año 1
 2027</v>
      </c>
      <c r="E7" s="1848" t="str">
        <f>CONCATENATE("Datos Año ",'Datos Básicos'!D16,"
 ",'Datos Básicos'!D17)</f>
        <v>Datos Año 2
 2028</v>
      </c>
      <c r="F7" s="1848" t="str">
        <f>CONCATENATE("Datos Año ",'Datos Básicos'!E16,"
 ",'Datos Básicos'!E17)</f>
        <v>Datos Año 3
 2029</v>
      </c>
      <c r="G7" s="1848" t="str">
        <f>CONCATENATE("Datos Año ",'Datos Básicos'!F16,"
 ",'Datos Básicos'!F17)</f>
        <v>Datos Año 4
 2030</v>
      </c>
      <c r="H7" s="1849"/>
      <c r="I7" s="1850"/>
      <c r="J7" s="1851"/>
      <c r="K7" s="1134"/>
    </row>
    <row r="8" spans="1:18" x14ac:dyDescent="0.3">
      <c r="A8" s="1373"/>
      <c r="B8" s="393" t="s">
        <v>206</v>
      </c>
      <c r="C8" s="834">
        <f>'G.F. 0'!O24</f>
        <v>15716.639999999998</v>
      </c>
      <c r="D8" s="834">
        <f>'G.F. 1'!O24</f>
        <v>16302.72</v>
      </c>
      <c r="E8" s="834">
        <f>'G.F. 2'!$O$24</f>
        <v>18318.163200000003</v>
      </c>
      <c r="F8" s="834">
        <f>'G.F. 3'!$O$24</f>
        <v>18952.067327999997</v>
      </c>
      <c r="G8" s="834">
        <f>'G.F. 4'!$O$24</f>
        <v>19611.327621120006</v>
      </c>
      <c r="H8" s="1845" t="str">
        <f>CONCATENATE(Parametros!$G$6," / año")</f>
        <v>€ / año</v>
      </c>
      <c r="J8" s="1374"/>
    </row>
    <row r="9" spans="1:18" x14ac:dyDescent="0.3">
      <c r="A9" s="1373"/>
      <c r="B9" s="307" t="s">
        <v>207</v>
      </c>
      <c r="C9" s="834">
        <f>'G.F. 0'!O46</f>
        <v>0</v>
      </c>
      <c r="D9" s="834">
        <f>'G.F. 1'!O46</f>
        <v>0</v>
      </c>
      <c r="E9" s="834">
        <f>'G.F. 2'!$O$46</f>
        <v>0</v>
      </c>
      <c r="F9" s="834">
        <f>'G.F. 3'!$O$46</f>
        <v>0</v>
      </c>
      <c r="G9" s="834">
        <f>'G.F. 4'!$O$46</f>
        <v>0</v>
      </c>
      <c r="H9" s="1170" t="s">
        <v>286</v>
      </c>
      <c r="J9" s="1374"/>
    </row>
    <row r="10" spans="1:18" x14ac:dyDescent="0.3">
      <c r="A10" s="1373"/>
      <c r="B10" s="307" t="s">
        <v>998</v>
      </c>
      <c r="C10" s="834">
        <f>Amortizaciones!F21</f>
        <v>0</v>
      </c>
      <c r="D10" s="834">
        <f>Amortizaciones!G21</f>
        <v>0</v>
      </c>
      <c r="E10" s="834">
        <f>Amortizaciones!H21</f>
        <v>0</v>
      </c>
      <c r="F10" s="834">
        <f>Amortizaciones!I21</f>
        <v>0</v>
      </c>
      <c r="G10" s="834">
        <f>Amortizaciones!J21</f>
        <v>0</v>
      </c>
      <c r="H10" s="1170" t="s">
        <v>286</v>
      </c>
      <c r="J10" s="1374"/>
    </row>
    <row r="11" spans="1:18" ht="18" thickBot="1" x14ac:dyDescent="0.35">
      <c r="A11" s="1405"/>
      <c r="B11" s="1406" t="s">
        <v>279</v>
      </c>
      <c r="C11" s="1407">
        <f>SUM(C8:C10)</f>
        <v>15716.639999999998</v>
      </c>
      <c r="D11" s="1407">
        <f>SUM(D8:D10)</f>
        <v>16302.72</v>
      </c>
      <c r="E11" s="1407">
        <f>SUM(E8:E10)</f>
        <v>18318.163200000003</v>
      </c>
      <c r="F11" s="1407">
        <f>SUM(F8:F10)</f>
        <v>18952.067327999997</v>
      </c>
      <c r="G11" s="1407">
        <f>SUM(G8:G10)</f>
        <v>19611.327621120006</v>
      </c>
      <c r="H11" s="1408" t="s">
        <v>286</v>
      </c>
      <c r="I11" s="1409"/>
      <c r="J11" s="1410"/>
    </row>
    <row r="12" spans="1:18" ht="18" thickBot="1" x14ac:dyDescent="0.35"/>
    <row r="13" spans="1:18" ht="18" thickBot="1" x14ac:dyDescent="0.35">
      <c r="A13" s="1411"/>
      <c r="B13" s="1412" t="s">
        <v>280</v>
      </c>
      <c r="C13" s="1413">
        <f>'PyG anuales'!B24</f>
        <v>-646.31946839369516</v>
      </c>
      <c r="D13" s="1413">
        <f>'PyG anuales'!D24</f>
        <v>-1860.8104958238205</v>
      </c>
      <c r="E13" s="1413">
        <f>'PyG anuales'!G24</f>
        <v>-3239.7896967037746</v>
      </c>
      <c r="F13" s="1413">
        <f>'PyG anuales'!J24</f>
        <v>-4818.9543076760046</v>
      </c>
      <c r="G13" s="1413">
        <f>'PyG anuales'!M24</f>
        <v>-6558.9313748479281</v>
      </c>
      <c r="H13" s="1414" t="str">
        <f>CONCATENATE(Parametros!$G$6," / año")</f>
        <v>€ / año</v>
      </c>
      <c r="I13" s="1415"/>
      <c r="J13" s="1416"/>
    </row>
    <row r="14" spans="1:18" ht="18" thickBot="1" x14ac:dyDescent="0.35"/>
    <row r="15" spans="1:18" ht="18" thickBot="1" x14ac:dyDescent="0.35">
      <c r="A15" s="1411"/>
      <c r="B15" s="1417" t="s">
        <v>999</v>
      </c>
      <c r="C15" s="1418" t="e">
        <f>G46</f>
        <v>#DIV/0!</v>
      </c>
      <c r="D15" s="1418" t="e">
        <f>G59</f>
        <v>#DIV/0!</v>
      </c>
      <c r="E15" s="1418" t="e">
        <f>G72</f>
        <v>#DIV/0!</v>
      </c>
      <c r="F15" s="1418" t="e">
        <f>G85</f>
        <v>#DIV/0!</v>
      </c>
      <c r="G15" s="1418" t="e">
        <f>G98</f>
        <v>#DIV/0!</v>
      </c>
      <c r="H15" s="1415"/>
      <c r="I15" s="1415"/>
      <c r="J15" s="1416"/>
    </row>
    <row r="16" spans="1:18" ht="18" thickBot="1" x14ac:dyDescent="0.35"/>
    <row r="17" spans="1:18" x14ac:dyDescent="0.3">
      <c r="A17" s="1419"/>
      <c r="B17" s="1420" t="s">
        <v>284</v>
      </c>
      <c r="C17" s="1421" t="e">
        <f>C11/C15</f>
        <v>#DIV/0!</v>
      </c>
      <c r="D17" s="1421" t="e">
        <f>D11/D15</f>
        <v>#DIV/0!</v>
      </c>
      <c r="E17" s="1421" t="e">
        <f>E11/E15</f>
        <v>#DIV/0!</v>
      </c>
      <c r="F17" s="1421" t="e">
        <f>F11/F15</f>
        <v>#DIV/0!</v>
      </c>
      <c r="G17" s="1421" t="e">
        <f>G11/G15</f>
        <v>#DIV/0!</v>
      </c>
      <c r="H17" s="1422" t="str">
        <f>CONCATENATE(Parametros!$G$6," de venta al año")</f>
        <v>€ de venta al año</v>
      </c>
      <c r="I17" s="1423"/>
      <c r="J17" s="1424"/>
    </row>
    <row r="18" spans="1:18" ht="18" thickBot="1" x14ac:dyDescent="0.35">
      <c r="A18" s="1405"/>
      <c r="B18" s="1425" t="s">
        <v>136</v>
      </c>
      <c r="C18" s="1426" t="e">
        <f>C17/(12-mes0+1)</f>
        <v>#DIV/0!</v>
      </c>
      <c r="D18" s="1426" t="e">
        <f>D17/12</f>
        <v>#DIV/0!</v>
      </c>
      <c r="E18" s="1426" t="e">
        <f>E17/12</f>
        <v>#DIV/0!</v>
      </c>
      <c r="F18" s="1426" t="e">
        <f>F17/12</f>
        <v>#DIV/0!</v>
      </c>
      <c r="G18" s="1426" t="e">
        <f>G17/12</f>
        <v>#DIV/0!</v>
      </c>
      <c r="H18" s="1427" t="str">
        <f>CONCATENATE(Parametros!$G$6," / mes de media")</f>
        <v>€ / mes de media</v>
      </c>
      <c r="I18" s="1409"/>
      <c r="J18" s="1410"/>
    </row>
    <row r="19" spans="1:18" ht="18" thickBot="1" x14ac:dyDescent="0.35">
      <c r="B19" s="393"/>
      <c r="C19" s="665"/>
      <c r="D19" s="665"/>
      <c r="E19" s="665"/>
      <c r="F19" s="665"/>
      <c r="G19" s="665"/>
      <c r="H19" s="666"/>
    </row>
    <row r="20" spans="1:18" x14ac:dyDescent="0.3">
      <c r="A20" s="1419"/>
      <c r="B20" s="1420" t="s">
        <v>285</v>
      </c>
      <c r="C20" s="1421" t="e">
        <f>(C11-C13)/C15</f>
        <v>#DIV/0!</v>
      </c>
      <c r="D20" s="1421" t="e">
        <f>(D11-D13)/D15</f>
        <v>#DIV/0!</v>
      </c>
      <c r="E20" s="1421" t="e">
        <f>(E11-E13)/E15</f>
        <v>#DIV/0!</v>
      </c>
      <c r="F20" s="1421" t="e">
        <f>(F11-F13)/F15</f>
        <v>#DIV/0!</v>
      </c>
      <c r="G20" s="1421" t="e">
        <f>(G11-G13)/G15</f>
        <v>#DIV/0!</v>
      </c>
      <c r="H20" s="1422" t="str">
        <f>CONCATENATE(Parametros!$G$6," de venta al año")</f>
        <v>€ de venta al año</v>
      </c>
      <c r="I20" s="1423"/>
      <c r="J20" s="1424"/>
    </row>
    <row r="21" spans="1:18" ht="18" thickBot="1" x14ac:dyDescent="0.35">
      <c r="A21" s="1405"/>
      <c r="B21" s="1425" t="s">
        <v>136</v>
      </c>
      <c r="C21" s="1426" t="e">
        <f>C20/(12-mes0+1)</f>
        <v>#DIV/0!</v>
      </c>
      <c r="D21" s="1426" t="e">
        <f>D20/12</f>
        <v>#DIV/0!</v>
      </c>
      <c r="E21" s="1426" t="e">
        <f>E20/12</f>
        <v>#DIV/0!</v>
      </c>
      <c r="F21" s="1426" t="e">
        <f>F20/12</f>
        <v>#DIV/0!</v>
      </c>
      <c r="G21" s="1426" t="e">
        <f>G20/12</f>
        <v>#DIV/0!</v>
      </c>
      <c r="H21" s="1427" t="str">
        <f>CONCATENATE(Parametros!$G$6," / mes de media")</f>
        <v>€ / mes de media</v>
      </c>
      <c r="I21" s="1409"/>
      <c r="J21" s="1410"/>
    </row>
    <row r="22" spans="1:18" ht="18" thickBot="1" x14ac:dyDescent="0.35">
      <c r="B22" s="393"/>
      <c r="C22" s="665"/>
      <c r="D22" s="665"/>
      <c r="E22" s="665"/>
      <c r="F22" s="665"/>
      <c r="G22" s="665"/>
      <c r="H22" s="666"/>
    </row>
    <row r="23" spans="1:18" x14ac:dyDescent="0.3">
      <c r="A23" s="1428"/>
      <c r="B23" s="1429" t="s">
        <v>134</v>
      </c>
      <c r="C23" s="1421">
        <f>B46</f>
        <v>0</v>
      </c>
      <c r="D23" s="1421">
        <f>B59</f>
        <v>0</v>
      </c>
      <c r="E23" s="1421">
        <f>B72</f>
        <v>0</v>
      </c>
      <c r="F23" s="1421">
        <f>B85</f>
        <v>0</v>
      </c>
      <c r="G23" s="1421">
        <f>B98</f>
        <v>0</v>
      </c>
      <c r="H23" s="1422" t="str">
        <f>CONCATENATE(Parametros!$G$6," / año de venta previstos")</f>
        <v>€ / año de venta previstos</v>
      </c>
      <c r="I23" s="1423"/>
      <c r="J23" s="1424"/>
    </row>
    <row r="24" spans="1:18" ht="18" thickBot="1" x14ac:dyDescent="0.35">
      <c r="A24" s="1405"/>
      <c r="B24" s="1425" t="s">
        <v>135</v>
      </c>
      <c r="C24" s="1407">
        <f>C23/(12-mes0+1)</f>
        <v>0</v>
      </c>
      <c r="D24" s="1407">
        <f>D23/12</f>
        <v>0</v>
      </c>
      <c r="E24" s="1407">
        <f>E23/12</f>
        <v>0</v>
      </c>
      <c r="F24" s="1407">
        <f>F23/12</f>
        <v>0</v>
      </c>
      <c r="G24" s="1407">
        <f>G23/12</f>
        <v>0</v>
      </c>
      <c r="H24" s="1427" t="str">
        <f>CONCATENATE(Parametros!$G$6," / mes de media")</f>
        <v>€ / mes de media</v>
      </c>
      <c r="I24" s="1409"/>
      <c r="J24" s="1410"/>
    </row>
    <row r="25" spans="1:18" ht="18" thickBot="1" x14ac:dyDescent="0.35">
      <c r="B25" s="368"/>
      <c r="C25" s="668"/>
      <c r="D25" s="668"/>
      <c r="E25" s="668"/>
      <c r="F25" s="668"/>
      <c r="G25" s="668"/>
      <c r="H25" s="669"/>
    </row>
    <row r="26" spans="1:18" x14ac:dyDescent="0.3">
      <c r="A26" s="1428"/>
      <c r="B26" s="1429" t="s">
        <v>137</v>
      </c>
      <c r="C26" s="1430" t="e">
        <f>(C23-C17)*C15</f>
        <v>#DIV/0!</v>
      </c>
      <c r="D26" s="1430" t="e">
        <f>(D23-D17)*D15</f>
        <v>#DIV/0!</v>
      </c>
      <c r="E26" s="1430" t="e">
        <f>(E23-E17)*E15</f>
        <v>#DIV/0!</v>
      </c>
      <c r="F26" s="1430" t="e">
        <f>(F23-F17)*F15</f>
        <v>#DIV/0!</v>
      </c>
      <c r="G26" s="1430" t="e">
        <f>(G23-G17)*G15</f>
        <v>#DIV/0!</v>
      </c>
      <c r="H26" s="1422" t="str">
        <f>CONCATENATE(Parametros!$G$6," / año")</f>
        <v>€ / año</v>
      </c>
      <c r="I26" s="1423"/>
      <c r="J26" s="1424"/>
    </row>
    <row r="27" spans="1:18" x14ac:dyDescent="0.3">
      <c r="A27" s="1373"/>
      <c r="B27" s="368" t="s">
        <v>281</v>
      </c>
      <c r="C27" s="1145" t="e">
        <f>C26-C13</f>
        <v>#DIV/0!</v>
      </c>
      <c r="D27" s="1145" t="e">
        <f>D26-D13</f>
        <v>#DIV/0!</v>
      </c>
      <c r="E27" s="1145" t="e">
        <f>E26-E13</f>
        <v>#DIV/0!</v>
      </c>
      <c r="F27" s="1145" t="e">
        <f>F26-F13</f>
        <v>#DIV/0!</v>
      </c>
      <c r="G27" s="1145" t="e">
        <f>G26-G13</f>
        <v>#DIV/0!</v>
      </c>
      <c r="H27" s="669" t="str">
        <f>CONCATENATE(Parametros!$G$6," / año")</f>
        <v>€ / año</v>
      </c>
      <c r="J27" s="1374"/>
    </row>
    <row r="28" spans="1:18" x14ac:dyDescent="0.3">
      <c r="A28" s="1373"/>
      <c r="J28" s="1374"/>
    </row>
    <row r="29" spans="1:18" x14ac:dyDescent="0.3">
      <c r="A29" s="1431"/>
      <c r="B29" s="374" t="s">
        <v>283</v>
      </c>
      <c r="C29" s="1119" t="e">
        <f>B46/C17</f>
        <v>#DIV/0!</v>
      </c>
      <c r="D29" s="1119" t="e">
        <f>(B59)/D17</f>
        <v>#DIV/0!</v>
      </c>
      <c r="E29" s="1119" t="e">
        <f>B72/E17</f>
        <v>#DIV/0!</v>
      </c>
      <c r="F29" s="1119" t="e">
        <f>B85/F17</f>
        <v>#DIV/0!</v>
      </c>
      <c r="G29" s="1119" t="e">
        <f>B98/G17</f>
        <v>#DIV/0!</v>
      </c>
      <c r="H29" s="1171" t="s">
        <v>288</v>
      </c>
      <c r="J29" s="1374"/>
    </row>
    <row r="30" spans="1:18" s="446" customFormat="1" ht="18.75" customHeight="1" x14ac:dyDescent="0.3">
      <c r="A30" s="1431"/>
      <c r="B30" s="374" t="s">
        <v>282</v>
      </c>
      <c r="C30" s="1119" t="e">
        <f>C23/C20</f>
        <v>#DIV/0!</v>
      </c>
      <c r="D30" s="1119" t="e">
        <f>D23/D20</f>
        <v>#DIV/0!</v>
      </c>
      <c r="E30" s="1119" t="e">
        <f>E23/E20</f>
        <v>#DIV/0!</v>
      </c>
      <c r="F30" s="1119" t="e">
        <f>F23/F20</f>
        <v>#DIV/0!</v>
      </c>
      <c r="G30" s="1119" t="e">
        <f>G23/G20</f>
        <v>#DIV/0!</v>
      </c>
      <c r="H30" s="1171"/>
      <c r="I30" s="307"/>
      <c r="J30" s="1374"/>
      <c r="K30" s="307"/>
      <c r="R30" s="305"/>
    </row>
    <row r="31" spans="1:18" s="446" customFormat="1" ht="18.75" customHeight="1" thickBot="1" x14ac:dyDescent="0.35">
      <c r="A31" s="2133"/>
      <c r="B31" s="2134" t="s">
        <v>769</v>
      </c>
      <c r="C31" s="2135" t="e">
        <f>IF(1/C30&lt;1,0,1/C30-1)</f>
        <v>#DIV/0!</v>
      </c>
      <c r="D31" s="2135" t="e">
        <f>IF(1/D30&lt;1,0,1/D30-1)</f>
        <v>#DIV/0!</v>
      </c>
      <c r="E31" s="2135" t="e">
        <f>IF(1/E30&lt;1,0,1/E30-1)</f>
        <v>#DIV/0!</v>
      </c>
      <c r="F31" s="2135" t="e">
        <f>IF(1/F30&lt;1,0,1/F30-1)</f>
        <v>#DIV/0!</v>
      </c>
      <c r="G31" s="2135" t="e">
        <f>IF(1/G30&lt;1,0,1/G30-1)</f>
        <v>#DIV/0!</v>
      </c>
      <c r="H31" s="2136" t="e">
        <f>MAX(C31:G31)</f>
        <v>#DIV/0!</v>
      </c>
      <c r="I31" s="2137"/>
      <c r="J31" s="2138"/>
      <c r="R31" s="305"/>
    </row>
    <row r="32" spans="1:18" s="446" customFormat="1" ht="18.75" customHeight="1" x14ac:dyDescent="0.45">
      <c r="A32" s="408"/>
      <c r="R32" s="305"/>
    </row>
    <row r="33" spans="1:18" s="446" customFormat="1" ht="18.75" customHeight="1" x14ac:dyDescent="0.45">
      <c r="A33" s="408"/>
      <c r="R33" s="305"/>
    </row>
    <row r="34" spans="1:18" s="446" customFormat="1" ht="18.75" customHeight="1" x14ac:dyDescent="0.45">
      <c r="A34" s="408"/>
      <c r="R34" s="305"/>
    </row>
    <row r="35" spans="1:18" s="446" customFormat="1" ht="24" customHeight="1" thickBot="1" x14ac:dyDescent="0.5">
      <c r="A35" s="408" t="str">
        <f>CONCATENATE("Estructura de Ventas y de márgenes (en ",Parametros!$F$6,")")</f>
        <v>Estructura de Ventas y de márgenes (en Euros)</v>
      </c>
      <c r="R35" s="305"/>
    </row>
    <row r="36" spans="1:18" s="446" customFormat="1" ht="28.5" thickBot="1" x14ac:dyDescent="0.5">
      <c r="A36" s="1779" t="str">
        <f>'Datos Básicos'!B16&amp;":"</f>
        <v>Año 0:</v>
      </c>
      <c r="B36" s="1780">
        <f>'Datos Básicos'!B17</f>
        <v>2026</v>
      </c>
      <c r="C36" s="670" t="str">
        <f>IF(mes0=1,"",CONCATENATE("( ",12-mes0+1," meses )"))</f>
        <v/>
      </c>
      <c r="R36" s="305"/>
    </row>
    <row r="37" spans="1:18" s="446" customFormat="1" ht="16.5" customHeight="1" thickBot="1" x14ac:dyDescent="0.3">
      <c r="A37" s="1781" t="s">
        <v>461</v>
      </c>
      <c r="B37" s="1782" t="s">
        <v>864</v>
      </c>
      <c r="C37" s="1785" t="s">
        <v>878</v>
      </c>
      <c r="D37" s="1785" t="s">
        <v>879</v>
      </c>
      <c r="E37" s="1785" t="s">
        <v>880</v>
      </c>
      <c r="F37" s="1785" t="s">
        <v>947</v>
      </c>
      <c r="G37" s="1785" t="s">
        <v>948</v>
      </c>
      <c r="H37" s="1786" t="s">
        <v>881</v>
      </c>
    </row>
    <row r="38" spans="1:18" s="446" customFormat="1" ht="18.75" customHeight="1" x14ac:dyDescent="0.25">
      <c r="A38" s="1777" t="str">
        <f>'Prev.Ventas 0'!A5</f>
        <v/>
      </c>
      <c r="B38" s="1778">
        <f>'Prev.Ventas 0'!N17</f>
        <v>0</v>
      </c>
      <c r="C38" s="1783" t="str">
        <f t="shared" ref="C38:C45" si="0">IF($B$46=0,"",B38/$B$46)</f>
        <v/>
      </c>
      <c r="D38" s="1778">
        <f>'Prev.Ventas 0'!N31</f>
        <v>0</v>
      </c>
      <c r="E38" s="1783" t="str">
        <f t="shared" ref="E38:E45" si="1">IF($D$46=0,"",D38/$D$46)</f>
        <v/>
      </c>
      <c r="F38" s="1778">
        <f t="shared" ref="F38:F45" si="2">B38-D38</f>
        <v>0</v>
      </c>
      <c r="G38" s="1783" t="str">
        <f t="shared" ref="G38:G45" si="3">IF(B38=0,"",F38/B38)</f>
        <v/>
      </c>
      <c r="H38" s="1784" t="str">
        <f t="shared" ref="H38:H45" si="4">IF($F$46=0,"",F38/$F$46)</f>
        <v/>
      </c>
    </row>
    <row r="39" spans="1:18" s="446" customFormat="1" ht="14.25" customHeight="1" x14ac:dyDescent="0.25">
      <c r="A39" s="1367" t="str">
        <f>'Prev.Ventas 0'!A6</f>
        <v/>
      </c>
      <c r="B39" s="1353">
        <f>'Prev.Ventas 0'!N18</f>
        <v>0</v>
      </c>
      <c r="C39" s="1775" t="str">
        <f t="shared" si="0"/>
        <v/>
      </c>
      <c r="D39" s="1353">
        <f>'Prev.Ventas 0'!N32</f>
        <v>0</v>
      </c>
      <c r="E39" s="1775" t="str">
        <f t="shared" si="1"/>
        <v/>
      </c>
      <c r="F39" s="1353">
        <f t="shared" si="2"/>
        <v>0</v>
      </c>
      <c r="G39" s="1775" t="str">
        <f t="shared" si="3"/>
        <v/>
      </c>
      <c r="H39" s="1776" t="str">
        <f t="shared" si="4"/>
        <v/>
      </c>
    </row>
    <row r="40" spans="1:18" s="446" customFormat="1" ht="14.25" customHeight="1" x14ac:dyDescent="0.25">
      <c r="A40" s="1367" t="str">
        <f>'Prev.Ventas 0'!A7</f>
        <v/>
      </c>
      <c r="B40" s="1353">
        <f>'Prev.Ventas 0'!N19</f>
        <v>0</v>
      </c>
      <c r="C40" s="1775" t="str">
        <f t="shared" si="0"/>
        <v/>
      </c>
      <c r="D40" s="1353">
        <f>'Prev.Ventas 0'!N33</f>
        <v>0</v>
      </c>
      <c r="E40" s="1775" t="str">
        <f t="shared" si="1"/>
        <v/>
      </c>
      <c r="F40" s="1353">
        <f t="shared" si="2"/>
        <v>0</v>
      </c>
      <c r="G40" s="1775" t="str">
        <f t="shared" si="3"/>
        <v/>
      </c>
      <c r="H40" s="1776" t="str">
        <f t="shared" si="4"/>
        <v/>
      </c>
    </row>
    <row r="41" spans="1:18" s="446" customFormat="1" ht="14.25" customHeight="1" x14ac:dyDescent="0.25">
      <c r="A41" s="1367" t="str">
        <f>'Prev.Ventas 0'!A8</f>
        <v/>
      </c>
      <c r="B41" s="1353">
        <f>'Prev.Ventas 0'!N20</f>
        <v>0</v>
      </c>
      <c r="C41" s="1775" t="str">
        <f t="shared" si="0"/>
        <v/>
      </c>
      <c r="D41" s="1353">
        <f>'Prev.Ventas 0'!N34</f>
        <v>0</v>
      </c>
      <c r="E41" s="1775" t="str">
        <f t="shared" si="1"/>
        <v/>
      </c>
      <c r="F41" s="1353">
        <f t="shared" si="2"/>
        <v>0</v>
      </c>
      <c r="G41" s="1775" t="str">
        <f t="shared" si="3"/>
        <v/>
      </c>
      <c r="H41" s="1776" t="str">
        <f t="shared" si="4"/>
        <v/>
      </c>
    </row>
    <row r="42" spans="1:18" s="446" customFormat="1" ht="14.25" customHeight="1" x14ac:dyDescent="0.25">
      <c r="A42" s="1367" t="str">
        <f>'Prev.Ventas 0'!A9</f>
        <v/>
      </c>
      <c r="B42" s="1353">
        <f>'Prev.Ventas 0'!N21</f>
        <v>0</v>
      </c>
      <c r="C42" s="1775" t="str">
        <f t="shared" si="0"/>
        <v/>
      </c>
      <c r="D42" s="1353">
        <f>'Prev.Ventas 0'!N35</f>
        <v>0</v>
      </c>
      <c r="E42" s="1775" t="str">
        <f t="shared" si="1"/>
        <v/>
      </c>
      <c r="F42" s="1353">
        <f t="shared" si="2"/>
        <v>0</v>
      </c>
      <c r="G42" s="1775" t="str">
        <f t="shared" si="3"/>
        <v/>
      </c>
      <c r="H42" s="1776" t="str">
        <f t="shared" si="4"/>
        <v/>
      </c>
    </row>
    <row r="43" spans="1:18" s="446" customFormat="1" ht="14.25" customHeight="1" x14ac:dyDescent="0.25">
      <c r="A43" s="1367" t="str">
        <f>'Prev.Ventas 0'!A10</f>
        <v/>
      </c>
      <c r="B43" s="1353">
        <f>'Prev.Ventas 0'!N22</f>
        <v>0</v>
      </c>
      <c r="C43" s="1775" t="str">
        <f t="shared" si="0"/>
        <v/>
      </c>
      <c r="D43" s="1353">
        <f>'Prev.Ventas 0'!N36</f>
        <v>0</v>
      </c>
      <c r="E43" s="1775" t="str">
        <f t="shared" si="1"/>
        <v/>
      </c>
      <c r="F43" s="1353">
        <f t="shared" si="2"/>
        <v>0</v>
      </c>
      <c r="G43" s="1775" t="str">
        <f t="shared" si="3"/>
        <v/>
      </c>
      <c r="H43" s="1776" t="str">
        <f t="shared" si="4"/>
        <v/>
      </c>
    </row>
    <row r="44" spans="1:18" s="446" customFormat="1" ht="14.25" customHeight="1" x14ac:dyDescent="0.25">
      <c r="A44" s="1367" t="str">
        <f>'Prev.Ventas 0'!A11</f>
        <v/>
      </c>
      <c r="B44" s="1353">
        <f>'Prev.Ventas 0'!N23</f>
        <v>0</v>
      </c>
      <c r="C44" s="1775" t="str">
        <f t="shared" si="0"/>
        <v/>
      </c>
      <c r="D44" s="1353">
        <f>'Prev.Ventas 0'!N37</f>
        <v>0</v>
      </c>
      <c r="E44" s="1775" t="str">
        <f t="shared" si="1"/>
        <v/>
      </c>
      <c r="F44" s="1353">
        <f t="shared" si="2"/>
        <v>0</v>
      </c>
      <c r="G44" s="1775" t="str">
        <f t="shared" si="3"/>
        <v/>
      </c>
      <c r="H44" s="1776" t="str">
        <f t="shared" si="4"/>
        <v/>
      </c>
    </row>
    <row r="45" spans="1:18" s="446" customFormat="1" ht="14.25" customHeight="1" x14ac:dyDescent="0.25">
      <c r="A45" s="1367" t="str">
        <f>'Prev.Ventas 0'!A12</f>
        <v/>
      </c>
      <c r="B45" s="1353">
        <f>'Prev.Ventas 0'!N24</f>
        <v>0</v>
      </c>
      <c r="C45" s="1775" t="str">
        <f t="shared" si="0"/>
        <v/>
      </c>
      <c r="D45" s="1353">
        <f>'Prev.Ventas 0'!N38</f>
        <v>0</v>
      </c>
      <c r="E45" s="1775" t="str">
        <f t="shared" si="1"/>
        <v/>
      </c>
      <c r="F45" s="1353">
        <f t="shared" si="2"/>
        <v>0</v>
      </c>
      <c r="G45" s="1775" t="str">
        <f t="shared" si="3"/>
        <v/>
      </c>
      <c r="H45" s="1776" t="str">
        <f t="shared" si="4"/>
        <v/>
      </c>
    </row>
    <row r="46" spans="1:18" s="446" customFormat="1" ht="15.75" thickBot="1" x14ac:dyDescent="0.3">
      <c r="A46" s="2139" t="s">
        <v>1088</v>
      </c>
      <c r="B46" s="2140">
        <f>SUM(B38:B45)</f>
        <v>0</v>
      </c>
      <c r="C46" s="2141">
        <f>SUM(C38:C45)</f>
        <v>0</v>
      </c>
      <c r="D46" s="2140">
        <f>SUM(D38:D45)</f>
        <v>0</v>
      </c>
      <c r="E46" s="2141">
        <f>SUM(E38:E45)</f>
        <v>0</v>
      </c>
      <c r="F46" s="2140">
        <f>B46-D46</f>
        <v>0</v>
      </c>
      <c r="G46" s="2141" t="e">
        <f>F46/B46</f>
        <v>#DIV/0!</v>
      </c>
      <c r="H46" s="2142">
        <f>SUM(H38:H45)</f>
        <v>0</v>
      </c>
    </row>
    <row r="48" spans="1:18" s="446" customFormat="1" ht="18.75" customHeight="1" thickBot="1" x14ac:dyDescent="0.5">
      <c r="A48" s="408"/>
      <c r="P48" s="305"/>
    </row>
    <row r="49" spans="1:16" s="446" customFormat="1" ht="28.5" thickBot="1" x14ac:dyDescent="0.5">
      <c r="A49" s="1787">
        <f>'Datos Básicos'!C16</f>
        <v>1</v>
      </c>
      <c r="B49" s="1788">
        <f>B36+1</f>
        <v>2027</v>
      </c>
      <c r="N49" s="305"/>
    </row>
    <row r="50" spans="1:16" s="446" customFormat="1" ht="16.5" customHeight="1" thickBot="1" x14ac:dyDescent="0.3">
      <c r="A50" s="1781" t="s">
        <v>461</v>
      </c>
      <c r="B50" s="1789" t="s">
        <v>864</v>
      </c>
      <c r="C50" s="1785" t="s">
        <v>878</v>
      </c>
      <c r="D50" s="1785" t="s">
        <v>879</v>
      </c>
      <c r="E50" s="1785" t="s">
        <v>880</v>
      </c>
      <c r="F50" s="1785" t="s">
        <v>947</v>
      </c>
      <c r="G50" s="1785" t="s">
        <v>948</v>
      </c>
      <c r="H50" s="1790" t="s">
        <v>881</v>
      </c>
    </row>
    <row r="51" spans="1:16" s="446" customFormat="1" ht="18.75" customHeight="1" x14ac:dyDescent="0.25">
      <c r="A51" s="1777" t="str">
        <f>'Prev.Ventas 1'!A5</f>
        <v/>
      </c>
      <c r="B51" s="1778">
        <f>'Prev.Ventas 1'!N17</f>
        <v>0</v>
      </c>
      <c r="C51" s="1783" t="str">
        <f t="shared" ref="C51:C58" si="5">IF($B$59=0,"",B51/$B$59)</f>
        <v/>
      </c>
      <c r="D51" s="1778">
        <f>'Prev.Ventas 1'!N31</f>
        <v>0</v>
      </c>
      <c r="E51" s="1783" t="str">
        <f t="shared" ref="E51:E58" si="6">IF($D$59=0,"",D51/$D$59)</f>
        <v/>
      </c>
      <c r="F51" s="1778">
        <f t="shared" ref="F51:F58" si="7">B51-D51</f>
        <v>0</v>
      </c>
      <c r="G51" s="1783" t="str">
        <f t="shared" ref="G51:G58" si="8">IF(B51=0,"",F51/B51)</f>
        <v/>
      </c>
      <c r="H51" s="1784" t="str">
        <f t="shared" ref="H51:H58" si="9">IF($F$59=0,"",F51/$F$59)</f>
        <v/>
      </c>
    </row>
    <row r="52" spans="1:16" s="446" customFormat="1" ht="14.25" customHeight="1" x14ac:dyDescent="0.25">
      <c r="A52" s="1367" t="str">
        <f>'Prev.Ventas 1'!A6</f>
        <v/>
      </c>
      <c r="B52" s="1353">
        <f>'Prev.Ventas 1'!N18</f>
        <v>0</v>
      </c>
      <c r="C52" s="1775" t="str">
        <f t="shared" si="5"/>
        <v/>
      </c>
      <c r="D52" s="1353">
        <f>'Prev.Ventas 1'!N32</f>
        <v>0</v>
      </c>
      <c r="E52" s="1775" t="str">
        <f t="shared" si="6"/>
        <v/>
      </c>
      <c r="F52" s="1353">
        <f t="shared" si="7"/>
        <v>0</v>
      </c>
      <c r="G52" s="1775" t="str">
        <f t="shared" si="8"/>
        <v/>
      </c>
      <c r="H52" s="1776" t="str">
        <f t="shared" si="9"/>
        <v/>
      </c>
    </row>
    <row r="53" spans="1:16" s="446" customFormat="1" ht="14.25" customHeight="1" x14ac:dyDescent="0.25">
      <c r="A53" s="1367" t="str">
        <f>'Prev.Ventas 1'!A7</f>
        <v/>
      </c>
      <c r="B53" s="1353">
        <f>'Prev.Ventas 1'!N19</f>
        <v>0</v>
      </c>
      <c r="C53" s="1775" t="str">
        <f t="shared" si="5"/>
        <v/>
      </c>
      <c r="D53" s="1353">
        <f>'Prev.Ventas 1'!N33</f>
        <v>0</v>
      </c>
      <c r="E53" s="1775" t="str">
        <f t="shared" si="6"/>
        <v/>
      </c>
      <c r="F53" s="1353">
        <f t="shared" si="7"/>
        <v>0</v>
      </c>
      <c r="G53" s="1775" t="str">
        <f t="shared" si="8"/>
        <v/>
      </c>
      <c r="H53" s="1776" t="str">
        <f t="shared" si="9"/>
        <v/>
      </c>
    </row>
    <row r="54" spans="1:16" s="446" customFormat="1" ht="14.25" customHeight="1" x14ac:dyDescent="0.25">
      <c r="A54" s="1367" t="str">
        <f>'Prev.Ventas 1'!A8</f>
        <v/>
      </c>
      <c r="B54" s="1353">
        <f>'Prev.Ventas 1'!N20</f>
        <v>0</v>
      </c>
      <c r="C54" s="1775" t="str">
        <f t="shared" si="5"/>
        <v/>
      </c>
      <c r="D54" s="1353">
        <f>'Prev.Ventas 1'!N34</f>
        <v>0</v>
      </c>
      <c r="E54" s="1775" t="str">
        <f t="shared" si="6"/>
        <v/>
      </c>
      <c r="F54" s="1353">
        <f t="shared" si="7"/>
        <v>0</v>
      </c>
      <c r="G54" s="1775" t="str">
        <f t="shared" si="8"/>
        <v/>
      </c>
      <c r="H54" s="1776" t="str">
        <f t="shared" si="9"/>
        <v/>
      </c>
    </row>
    <row r="55" spans="1:16" s="446" customFormat="1" ht="14.25" customHeight="1" x14ac:dyDescent="0.25">
      <c r="A55" s="1367" t="str">
        <f>'Prev.Ventas 1'!A9</f>
        <v/>
      </c>
      <c r="B55" s="1353">
        <f>'Prev.Ventas 1'!N21</f>
        <v>0</v>
      </c>
      <c r="C55" s="1775" t="str">
        <f t="shared" si="5"/>
        <v/>
      </c>
      <c r="D55" s="1353">
        <f>'Prev.Ventas 1'!N35</f>
        <v>0</v>
      </c>
      <c r="E55" s="1775" t="str">
        <f t="shared" si="6"/>
        <v/>
      </c>
      <c r="F55" s="1353">
        <f t="shared" si="7"/>
        <v>0</v>
      </c>
      <c r="G55" s="1775" t="str">
        <f t="shared" si="8"/>
        <v/>
      </c>
      <c r="H55" s="1776" t="str">
        <f t="shared" si="9"/>
        <v/>
      </c>
    </row>
    <row r="56" spans="1:16" s="446" customFormat="1" ht="14.25" customHeight="1" x14ac:dyDescent="0.25">
      <c r="A56" s="1367" t="str">
        <f>'Prev.Ventas 1'!A10</f>
        <v/>
      </c>
      <c r="B56" s="1353">
        <f>'Prev.Ventas 1'!N22</f>
        <v>0</v>
      </c>
      <c r="C56" s="1775" t="str">
        <f t="shared" si="5"/>
        <v/>
      </c>
      <c r="D56" s="1353">
        <f>'Prev.Ventas 1'!N36</f>
        <v>0</v>
      </c>
      <c r="E56" s="1775" t="str">
        <f t="shared" si="6"/>
        <v/>
      </c>
      <c r="F56" s="1353">
        <f t="shared" si="7"/>
        <v>0</v>
      </c>
      <c r="G56" s="1775" t="str">
        <f t="shared" si="8"/>
        <v/>
      </c>
      <c r="H56" s="1776" t="str">
        <f t="shared" si="9"/>
        <v/>
      </c>
    </row>
    <row r="57" spans="1:16" s="446" customFormat="1" ht="14.25" customHeight="1" x14ac:dyDescent="0.25">
      <c r="A57" s="1367" t="str">
        <f>'Prev.Ventas 1'!A11</f>
        <v/>
      </c>
      <c r="B57" s="1353">
        <f>'Prev.Ventas 1'!N23</f>
        <v>0</v>
      </c>
      <c r="C57" s="1775" t="str">
        <f t="shared" si="5"/>
        <v/>
      </c>
      <c r="D57" s="1353">
        <f>'Prev.Ventas 1'!N37</f>
        <v>0</v>
      </c>
      <c r="E57" s="1775" t="str">
        <f t="shared" si="6"/>
        <v/>
      </c>
      <c r="F57" s="1353">
        <f t="shared" si="7"/>
        <v>0</v>
      </c>
      <c r="G57" s="1775" t="str">
        <f t="shared" si="8"/>
        <v/>
      </c>
      <c r="H57" s="1776" t="str">
        <f t="shared" si="9"/>
        <v/>
      </c>
    </row>
    <row r="58" spans="1:16" s="446" customFormat="1" ht="14.25" customHeight="1" x14ac:dyDescent="0.25">
      <c r="A58" s="1367" t="str">
        <f>'Prev.Ventas 1'!A12</f>
        <v/>
      </c>
      <c r="B58" s="1353">
        <f>'Prev.Ventas 1'!N24</f>
        <v>0</v>
      </c>
      <c r="C58" s="1775" t="str">
        <f t="shared" si="5"/>
        <v/>
      </c>
      <c r="D58" s="1353">
        <f>'Prev.Ventas 1'!N38</f>
        <v>0</v>
      </c>
      <c r="E58" s="1775" t="str">
        <f t="shared" si="6"/>
        <v/>
      </c>
      <c r="F58" s="1353">
        <f t="shared" si="7"/>
        <v>0</v>
      </c>
      <c r="G58" s="1775" t="str">
        <f t="shared" si="8"/>
        <v/>
      </c>
      <c r="H58" s="1776" t="str">
        <f t="shared" si="9"/>
        <v/>
      </c>
    </row>
    <row r="59" spans="1:16" s="446" customFormat="1" ht="15.75" thickBot="1" x14ac:dyDescent="0.3">
      <c r="A59" s="2139" t="s">
        <v>1088</v>
      </c>
      <c r="B59" s="2140">
        <f>SUM(B51:B58)</f>
        <v>0</v>
      </c>
      <c r="C59" s="2141">
        <f>SUM(C51:C58)</f>
        <v>0</v>
      </c>
      <c r="D59" s="2140">
        <f>SUM(D51:D58)</f>
        <v>0</v>
      </c>
      <c r="E59" s="2141">
        <f>SUM(E51:E58)</f>
        <v>0</v>
      </c>
      <c r="F59" s="2140">
        <f>B59-D59</f>
        <v>0</v>
      </c>
      <c r="G59" s="2141" t="e">
        <f>F59/B59</f>
        <v>#DIV/0!</v>
      </c>
      <c r="H59" s="2142">
        <f>SUM(H51:H58)</f>
        <v>0</v>
      </c>
    </row>
    <row r="61" spans="1:16" s="446" customFormat="1" ht="18.75" customHeight="1" thickBot="1" x14ac:dyDescent="0.5">
      <c r="A61" s="408"/>
      <c r="P61" s="305"/>
    </row>
    <row r="62" spans="1:16" s="446" customFormat="1" ht="28.5" thickBot="1" x14ac:dyDescent="0.5">
      <c r="A62" s="1787">
        <f>A49+1</f>
        <v>2</v>
      </c>
      <c r="B62" s="1788">
        <f>B49+1</f>
        <v>2028</v>
      </c>
      <c r="N62" s="305"/>
    </row>
    <row r="63" spans="1:16" s="446" customFormat="1" ht="16.5" customHeight="1" thickBot="1" x14ac:dyDescent="0.3">
      <c r="A63" s="1781" t="s">
        <v>461</v>
      </c>
      <c r="B63" s="1789" t="s">
        <v>864</v>
      </c>
      <c r="C63" s="1785" t="s">
        <v>878</v>
      </c>
      <c r="D63" s="1785" t="s">
        <v>879</v>
      </c>
      <c r="E63" s="1785" t="s">
        <v>880</v>
      </c>
      <c r="F63" s="1785" t="s">
        <v>947</v>
      </c>
      <c r="G63" s="1785" t="s">
        <v>948</v>
      </c>
      <c r="H63" s="1790" t="s">
        <v>881</v>
      </c>
    </row>
    <row r="64" spans="1:16" s="446" customFormat="1" ht="18.75" customHeight="1" x14ac:dyDescent="0.25">
      <c r="A64" s="1777" t="str">
        <f>'Prev.Ventas 2'!A5</f>
        <v/>
      </c>
      <c r="B64" s="1778">
        <f>'Prev.Ventas 2'!N17</f>
        <v>0</v>
      </c>
      <c r="C64" s="1783" t="str">
        <f t="shared" ref="C64:C71" si="10">IF($B$72=0,"",B64/$B$72)</f>
        <v/>
      </c>
      <c r="D64" s="1778">
        <f>'Prev.Ventas 2'!N31</f>
        <v>0</v>
      </c>
      <c r="E64" s="1783" t="str">
        <f t="shared" ref="E64:E71" si="11">IF($D$72=0,"",D64/$D$72)</f>
        <v/>
      </c>
      <c r="F64" s="1778">
        <f t="shared" ref="F64:F71" si="12">B64-D64</f>
        <v>0</v>
      </c>
      <c r="G64" s="1783" t="str">
        <f t="shared" ref="G64:G71" si="13">IF(B64=0,"",F64/B64)</f>
        <v/>
      </c>
      <c r="H64" s="1784" t="str">
        <f t="shared" ref="H64:H71" si="14">IF($F$72=0,"",F64/$F$72)</f>
        <v/>
      </c>
    </row>
    <row r="65" spans="1:14" s="446" customFormat="1" ht="14.25" customHeight="1" x14ac:dyDescent="0.25">
      <c r="A65" s="1367" t="str">
        <f>'Prev.Ventas 2'!A6</f>
        <v/>
      </c>
      <c r="B65" s="1353">
        <f>'Prev.Ventas 2'!N18</f>
        <v>0</v>
      </c>
      <c r="C65" s="1775" t="str">
        <f t="shared" si="10"/>
        <v/>
      </c>
      <c r="D65" s="1353">
        <f>'Prev.Ventas 2'!N32</f>
        <v>0</v>
      </c>
      <c r="E65" s="1775" t="str">
        <f t="shared" si="11"/>
        <v/>
      </c>
      <c r="F65" s="1353">
        <f t="shared" si="12"/>
        <v>0</v>
      </c>
      <c r="G65" s="1775" t="str">
        <f t="shared" si="13"/>
        <v/>
      </c>
      <c r="H65" s="1776" t="str">
        <f t="shared" si="14"/>
        <v/>
      </c>
    </row>
    <row r="66" spans="1:14" s="446" customFormat="1" ht="14.25" customHeight="1" x14ac:dyDescent="0.25">
      <c r="A66" s="1367" t="str">
        <f>'Prev.Ventas 2'!A7</f>
        <v/>
      </c>
      <c r="B66" s="1353">
        <f>'Prev.Ventas 2'!N19</f>
        <v>0</v>
      </c>
      <c r="C66" s="1775" t="str">
        <f t="shared" si="10"/>
        <v/>
      </c>
      <c r="D66" s="1353">
        <f>'Prev.Ventas 2'!N33</f>
        <v>0</v>
      </c>
      <c r="E66" s="1775" t="str">
        <f t="shared" si="11"/>
        <v/>
      </c>
      <c r="F66" s="1353">
        <f t="shared" si="12"/>
        <v>0</v>
      </c>
      <c r="G66" s="1775" t="str">
        <f t="shared" si="13"/>
        <v/>
      </c>
      <c r="H66" s="1776" t="str">
        <f t="shared" si="14"/>
        <v/>
      </c>
    </row>
    <row r="67" spans="1:14" s="446" customFormat="1" ht="14.25" customHeight="1" x14ac:dyDescent="0.25">
      <c r="A67" s="1367" t="str">
        <f>'Prev.Ventas 2'!A8</f>
        <v/>
      </c>
      <c r="B67" s="1353">
        <f>'Prev.Ventas 2'!N20</f>
        <v>0</v>
      </c>
      <c r="C67" s="1775" t="str">
        <f t="shared" si="10"/>
        <v/>
      </c>
      <c r="D67" s="1353">
        <f>'Prev.Ventas 2'!N34</f>
        <v>0</v>
      </c>
      <c r="E67" s="1775" t="str">
        <f t="shared" si="11"/>
        <v/>
      </c>
      <c r="F67" s="1353">
        <f t="shared" si="12"/>
        <v>0</v>
      </c>
      <c r="G67" s="1775" t="str">
        <f t="shared" si="13"/>
        <v/>
      </c>
      <c r="H67" s="1776" t="str">
        <f t="shared" si="14"/>
        <v/>
      </c>
    </row>
    <row r="68" spans="1:14" s="446" customFormat="1" ht="14.25" customHeight="1" x14ac:dyDescent="0.25">
      <c r="A68" s="1367" t="str">
        <f>'Prev.Ventas 2'!A9</f>
        <v/>
      </c>
      <c r="B68" s="1353">
        <f>'Prev.Ventas 2'!N21</f>
        <v>0</v>
      </c>
      <c r="C68" s="1775" t="str">
        <f t="shared" si="10"/>
        <v/>
      </c>
      <c r="D68" s="1353">
        <f>'Prev.Ventas 2'!N35</f>
        <v>0</v>
      </c>
      <c r="E68" s="1775" t="str">
        <f t="shared" si="11"/>
        <v/>
      </c>
      <c r="F68" s="1353">
        <f t="shared" si="12"/>
        <v>0</v>
      </c>
      <c r="G68" s="1775" t="str">
        <f t="shared" si="13"/>
        <v/>
      </c>
      <c r="H68" s="1776" t="str">
        <f t="shared" si="14"/>
        <v/>
      </c>
    </row>
    <row r="69" spans="1:14" s="446" customFormat="1" ht="14.25" customHeight="1" x14ac:dyDescent="0.25">
      <c r="A69" s="1367" t="str">
        <f>'Prev.Ventas 2'!A10</f>
        <v/>
      </c>
      <c r="B69" s="1353">
        <f>'Prev.Ventas 2'!N22</f>
        <v>0</v>
      </c>
      <c r="C69" s="1775" t="str">
        <f t="shared" si="10"/>
        <v/>
      </c>
      <c r="D69" s="1353">
        <f>'Prev.Ventas 2'!N36</f>
        <v>0</v>
      </c>
      <c r="E69" s="1775" t="str">
        <f t="shared" si="11"/>
        <v/>
      </c>
      <c r="F69" s="1353">
        <f t="shared" si="12"/>
        <v>0</v>
      </c>
      <c r="G69" s="1775" t="str">
        <f t="shared" si="13"/>
        <v/>
      </c>
      <c r="H69" s="1776" t="str">
        <f t="shared" si="14"/>
        <v/>
      </c>
    </row>
    <row r="70" spans="1:14" s="446" customFormat="1" ht="14.25" customHeight="1" x14ac:dyDescent="0.25">
      <c r="A70" s="1367" t="str">
        <f>'Prev.Ventas 2'!A11</f>
        <v/>
      </c>
      <c r="B70" s="1353">
        <f>'Prev.Ventas 2'!N23</f>
        <v>0</v>
      </c>
      <c r="C70" s="1775" t="str">
        <f t="shared" si="10"/>
        <v/>
      </c>
      <c r="D70" s="1353">
        <f>'Prev.Ventas 2'!N37</f>
        <v>0</v>
      </c>
      <c r="E70" s="1775" t="str">
        <f t="shared" si="11"/>
        <v/>
      </c>
      <c r="F70" s="1353">
        <f t="shared" si="12"/>
        <v>0</v>
      </c>
      <c r="G70" s="1775" t="str">
        <f t="shared" si="13"/>
        <v/>
      </c>
      <c r="H70" s="1776" t="str">
        <f t="shared" si="14"/>
        <v/>
      </c>
    </row>
    <row r="71" spans="1:14" s="446" customFormat="1" ht="14.25" customHeight="1" x14ac:dyDescent="0.25">
      <c r="A71" s="1367" t="str">
        <f>'Prev.Ventas 2'!A12</f>
        <v/>
      </c>
      <c r="B71" s="1353">
        <f>'Prev.Ventas 2'!N24</f>
        <v>0</v>
      </c>
      <c r="C71" s="1775" t="str">
        <f t="shared" si="10"/>
        <v/>
      </c>
      <c r="D71" s="1353">
        <f>'Prev.Ventas 2'!N38</f>
        <v>0</v>
      </c>
      <c r="E71" s="1775" t="str">
        <f t="shared" si="11"/>
        <v/>
      </c>
      <c r="F71" s="1353">
        <f t="shared" si="12"/>
        <v>0</v>
      </c>
      <c r="G71" s="1775" t="str">
        <f t="shared" si="13"/>
        <v/>
      </c>
      <c r="H71" s="1776" t="str">
        <f t="shared" si="14"/>
        <v/>
      </c>
    </row>
    <row r="72" spans="1:14" s="446" customFormat="1" ht="15.75" thickBot="1" x14ac:dyDescent="0.3">
      <c r="A72" s="2139" t="s">
        <v>1088</v>
      </c>
      <c r="B72" s="2140">
        <f>SUM(B64:B71)</f>
        <v>0</v>
      </c>
      <c r="C72" s="2141">
        <f>SUM(C64:C71)</f>
        <v>0</v>
      </c>
      <c r="D72" s="2140">
        <f>SUM(D64:D71)</f>
        <v>0</v>
      </c>
      <c r="E72" s="2141">
        <f>SUM(E64:E71)</f>
        <v>0</v>
      </c>
      <c r="F72" s="2140">
        <f>B72-D72</f>
        <v>0</v>
      </c>
      <c r="G72" s="2141" t="e">
        <f>F72/B72</f>
        <v>#DIV/0!</v>
      </c>
      <c r="H72" s="2142">
        <f>SUM(H64:H71)</f>
        <v>0</v>
      </c>
    </row>
    <row r="74" spans="1:14" ht="18" thickBot="1" x14ac:dyDescent="0.35"/>
    <row r="75" spans="1:14" s="446" customFormat="1" ht="28.5" thickBot="1" x14ac:dyDescent="0.5">
      <c r="A75" s="1787">
        <f>A62+1</f>
        <v>3</v>
      </c>
      <c r="B75" s="1788">
        <f>B62+1</f>
        <v>2029</v>
      </c>
      <c r="N75" s="305"/>
    </row>
    <row r="76" spans="1:14" s="446" customFormat="1" ht="16.5" customHeight="1" thickBot="1" x14ac:dyDescent="0.3">
      <c r="A76" s="1781" t="s">
        <v>461</v>
      </c>
      <c r="B76" s="1789" t="s">
        <v>864</v>
      </c>
      <c r="C76" s="1785" t="s">
        <v>878</v>
      </c>
      <c r="D76" s="1785" t="s">
        <v>879</v>
      </c>
      <c r="E76" s="1785" t="s">
        <v>880</v>
      </c>
      <c r="F76" s="1785" t="s">
        <v>947</v>
      </c>
      <c r="G76" s="1785" t="s">
        <v>948</v>
      </c>
      <c r="H76" s="1790" t="s">
        <v>881</v>
      </c>
    </row>
    <row r="77" spans="1:14" s="446" customFormat="1" ht="18.75" customHeight="1" x14ac:dyDescent="0.25">
      <c r="A77" s="1777" t="str">
        <f>'Prev.Ventas 3'!A5</f>
        <v/>
      </c>
      <c r="B77" s="1778">
        <f>'Prev.Ventas 3'!N17</f>
        <v>0</v>
      </c>
      <c r="C77" s="1783" t="str">
        <f t="shared" ref="C77:C84" si="15">IF($B$85=0,"",B77/$B$85)</f>
        <v/>
      </c>
      <c r="D77" s="1778">
        <f>'Prev.Ventas 3'!N31</f>
        <v>0</v>
      </c>
      <c r="E77" s="1783" t="str">
        <f t="shared" ref="E77:E84" si="16">IF($D$85=0,"",D77/$D$85)</f>
        <v/>
      </c>
      <c r="F77" s="1778">
        <f t="shared" ref="F77:F84" si="17">B77-D77</f>
        <v>0</v>
      </c>
      <c r="G77" s="1783" t="str">
        <f t="shared" ref="G77:G84" si="18">IF(B77=0,"",F77/B77)</f>
        <v/>
      </c>
      <c r="H77" s="1784" t="str">
        <f t="shared" ref="H77:H84" si="19">IF($F$85=0,"",F77/$F$85)</f>
        <v/>
      </c>
    </row>
    <row r="78" spans="1:14" s="446" customFormat="1" ht="14.25" customHeight="1" x14ac:dyDescent="0.25">
      <c r="A78" s="1367" t="str">
        <f>'Prev.Ventas 3'!A6</f>
        <v/>
      </c>
      <c r="B78" s="1353">
        <f>'Prev.Ventas 3'!N18</f>
        <v>0</v>
      </c>
      <c r="C78" s="1775" t="str">
        <f t="shared" si="15"/>
        <v/>
      </c>
      <c r="D78" s="1353">
        <f>'Prev.Ventas 3'!N32</f>
        <v>0</v>
      </c>
      <c r="E78" s="1775" t="str">
        <f t="shared" si="16"/>
        <v/>
      </c>
      <c r="F78" s="1353">
        <f t="shared" si="17"/>
        <v>0</v>
      </c>
      <c r="G78" s="1775" t="str">
        <f t="shared" si="18"/>
        <v/>
      </c>
      <c r="H78" s="1776" t="str">
        <f t="shared" si="19"/>
        <v/>
      </c>
    </row>
    <row r="79" spans="1:14" s="446" customFormat="1" ht="14.25" customHeight="1" x14ac:dyDescent="0.25">
      <c r="A79" s="1367" t="str">
        <f>'Prev.Ventas 3'!A7</f>
        <v/>
      </c>
      <c r="B79" s="1353">
        <f>'Prev.Ventas 3'!N19</f>
        <v>0</v>
      </c>
      <c r="C79" s="1775" t="str">
        <f t="shared" si="15"/>
        <v/>
      </c>
      <c r="D79" s="1353">
        <f>'Prev.Ventas 3'!N33</f>
        <v>0</v>
      </c>
      <c r="E79" s="1775" t="str">
        <f t="shared" si="16"/>
        <v/>
      </c>
      <c r="F79" s="1353">
        <f t="shared" si="17"/>
        <v>0</v>
      </c>
      <c r="G79" s="1775" t="str">
        <f t="shared" si="18"/>
        <v/>
      </c>
      <c r="H79" s="1776" t="str">
        <f t="shared" si="19"/>
        <v/>
      </c>
    </row>
    <row r="80" spans="1:14" s="446" customFormat="1" ht="14.25" customHeight="1" x14ac:dyDescent="0.25">
      <c r="A80" s="1367" t="str">
        <f>'Prev.Ventas 3'!A8</f>
        <v/>
      </c>
      <c r="B80" s="1353">
        <f>'Prev.Ventas 3'!N20</f>
        <v>0</v>
      </c>
      <c r="C80" s="1775" t="str">
        <f t="shared" si="15"/>
        <v/>
      </c>
      <c r="D80" s="1353">
        <f>'Prev.Ventas 3'!N34</f>
        <v>0</v>
      </c>
      <c r="E80" s="1775" t="str">
        <f t="shared" si="16"/>
        <v/>
      </c>
      <c r="F80" s="1353">
        <f t="shared" si="17"/>
        <v>0</v>
      </c>
      <c r="G80" s="1775" t="str">
        <f t="shared" si="18"/>
        <v/>
      </c>
      <c r="H80" s="1776" t="str">
        <f t="shared" si="19"/>
        <v/>
      </c>
    </row>
    <row r="81" spans="1:14" s="446" customFormat="1" ht="14.25" customHeight="1" x14ac:dyDescent="0.25">
      <c r="A81" s="1367" t="str">
        <f>'Prev.Ventas 3'!A9</f>
        <v/>
      </c>
      <c r="B81" s="1353">
        <f>'Prev.Ventas 3'!N21</f>
        <v>0</v>
      </c>
      <c r="C81" s="1775" t="str">
        <f t="shared" si="15"/>
        <v/>
      </c>
      <c r="D81" s="1353">
        <f>'Prev.Ventas 3'!N35</f>
        <v>0</v>
      </c>
      <c r="E81" s="1775" t="str">
        <f t="shared" si="16"/>
        <v/>
      </c>
      <c r="F81" s="1353">
        <f t="shared" si="17"/>
        <v>0</v>
      </c>
      <c r="G81" s="1775" t="str">
        <f t="shared" si="18"/>
        <v/>
      </c>
      <c r="H81" s="1776" t="str">
        <f t="shared" si="19"/>
        <v/>
      </c>
    </row>
    <row r="82" spans="1:14" s="446" customFormat="1" ht="14.25" customHeight="1" x14ac:dyDescent="0.25">
      <c r="A82" s="1367" t="str">
        <f>'Prev.Ventas 3'!A10</f>
        <v/>
      </c>
      <c r="B82" s="1353">
        <f>'Prev.Ventas 3'!N22</f>
        <v>0</v>
      </c>
      <c r="C82" s="1775" t="str">
        <f t="shared" si="15"/>
        <v/>
      </c>
      <c r="D82" s="1353">
        <f>'Prev.Ventas 3'!N36</f>
        <v>0</v>
      </c>
      <c r="E82" s="1775" t="str">
        <f t="shared" si="16"/>
        <v/>
      </c>
      <c r="F82" s="1353">
        <f t="shared" si="17"/>
        <v>0</v>
      </c>
      <c r="G82" s="1775" t="str">
        <f t="shared" si="18"/>
        <v/>
      </c>
      <c r="H82" s="1776" t="str">
        <f t="shared" si="19"/>
        <v/>
      </c>
    </row>
    <row r="83" spans="1:14" s="446" customFormat="1" ht="14.25" customHeight="1" x14ac:dyDescent="0.25">
      <c r="A83" s="1367" t="str">
        <f>'Prev.Ventas 3'!A11</f>
        <v/>
      </c>
      <c r="B83" s="1353">
        <f>'Prev.Ventas 3'!N23</f>
        <v>0</v>
      </c>
      <c r="C83" s="1775" t="str">
        <f t="shared" si="15"/>
        <v/>
      </c>
      <c r="D83" s="1353">
        <f>'Prev.Ventas 3'!N37</f>
        <v>0</v>
      </c>
      <c r="E83" s="1775" t="str">
        <f t="shared" si="16"/>
        <v/>
      </c>
      <c r="F83" s="1353">
        <f t="shared" si="17"/>
        <v>0</v>
      </c>
      <c r="G83" s="1775" t="str">
        <f t="shared" si="18"/>
        <v/>
      </c>
      <c r="H83" s="1776" t="str">
        <f t="shared" si="19"/>
        <v/>
      </c>
    </row>
    <row r="84" spans="1:14" s="446" customFormat="1" ht="14.25" customHeight="1" x14ac:dyDescent="0.25">
      <c r="A84" s="1367" t="str">
        <f>'Prev.Ventas 3'!A12</f>
        <v/>
      </c>
      <c r="B84" s="1353">
        <f>'Prev.Ventas 3'!N24</f>
        <v>0</v>
      </c>
      <c r="C84" s="1775" t="str">
        <f t="shared" si="15"/>
        <v/>
      </c>
      <c r="D84" s="1353">
        <f>'Prev.Ventas 3'!N38</f>
        <v>0</v>
      </c>
      <c r="E84" s="1775" t="str">
        <f t="shared" si="16"/>
        <v/>
      </c>
      <c r="F84" s="1353">
        <f t="shared" si="17"/>
        <v>0</v>
      </c>
      <c r="G84" s="1775" t="str">
        <f t="shared" si="18"/>
        <v/>
      </c>
      <c r="H84" s="1776" t="str">
        <f t="shared" si="19"/>
        <v/>
      </c>
    </row>
    <row r="85" spans="1:14" s="446" customFormat="1" ht="15.75" thickBot="1" x14ac:dyDescent="0.3">
      <c r="A85" s="2139" t="s">
        <v>1088</v>
      </c>
      <c r="B85" s="2140">
        <f>SUM(B77:B84)</f>
        <v>0</v>
      </c>
      <c r="C85" s="2141">
        <f>SUM(C77:C84)</f>
        <v>0</v>
      </c>
      <c r="D85" s="2140">
        <f>SUM(D77:D84)</f>
        <v>0</v>
      </c>
      <c r="E85" s="2141">
        <f>SUM(E77:E84)</f>
        <v>0</v>
      </c>
      <c r="F85" s="2140">
        <f>B85-D85</f>
        <v>0</v>
      </c>
      <c r="G85" s="2141" t="e">
        <f>F85/B85</f>
        <v>#DIV/0!</v>
      </c>
      <c r="H85" s="2142">
        <f>SUM(H77:H84)</f>
        <v>0</v>
      </c>
    </row>
    <row r="87" spans="1:14" ht="18" thickBot="1" x14ac:dyDescent="0.35"/>
    <row r="88" spans="1:14" s="446" customFormat="1" ht="28.5" thickBot="1" x14ac:dyDescent="0.5">
      <c r="A88" s="1787">
        <f>A75+1</f>
        <v>4</v>
      </c>
      <c r="B88" s="1788">
        <f>B75+1</f>
        <v>2030</v>
      </c>
      <c r="N88" s="305"/>
    </row>
    <row r="89" spans="1:14" s="446" customFormat="1" ht="16.5" customHeight="1" thickBot="1" x14ac:dyDescent="0.3">
      <c r="A89" s="1781" t="s">
        <v>461</v>
      </c>
      <c r="B89" s="1789" t="s">
        <v>864</v>
      </c>
      <c r="C89" s="1785" t="s">
        <v>878</v>
      </c>
      <c r="D89" s="1785" t="s">
        <v>879</v>
      </c>
      <c r="E89" s="1785" t="s">
        <v>880</v>
      </c>
      <c r="F89" s="1785" t="s">
        <v>947</v>
      </c>
      <c r="G89" s="1785" t="s">
        <v>948</v>
      </c>
      <c r="H89" s="1790" t="s">
        <v>881</v>
      </c>
    </row>
    <row r="90" spans="1:14" s="446" customFormat="1" ht="18.75" customHeight="1" x14ac:dyDescent="0.25">
      <c r="A90" s="1777" t="str">
        <f>'Prev.Ventas 4'!A5</f>
        <v/>
      </c>
      <c r="B90" s="1778">
        <f>'Prev.Ventas 4'!N17</f>
        <v>0</v>
      </c>
      <c r="C90" s="1783" t="str">
        <f t="shared" ref="C90:C97" si="20">IF($B$98=0,"",B90/$B$98)</f>
        <v/>
      </c>
      <c r="D90" s="1778">
        <f>'Prev.Ventas 4'!N31</f>
        <v>0</v>
      </c>
      <c r="E90" s="1783" t="str">
        <f t="shared" ref="E90:E97" si="21">IF($D$98=0,"",D90/$D$98)</f>
        <v/>
      </c>
      <c r="F90" s="1778">
        <f t="shared" ref="F90:F97" si="22">B90-D90</f>
        <v>0</v>
      </c>
      <c r="G90" s="1783" t="str">
        <f t="shared" ref="G90:G97" si="23">IF(B90=0,"",F90/B90)</f>
        <v/>
      </c>
      <c r="H90" s="1784" t="str">
        <f t="shared" ref="H90:H97" si="24">IF($F$98=0,"",F90/$F$98)</f>
        <v/>
      </c>
    </row>
    <row r="91" spans="1:14" s="446" customFormat="1" ht="14.25" customHeight="1" x14ac:dyDescent="0.25">
      <c r="A91" s="1367" t="str">
        <f>'Prev.Ventas 4'!A6</f>
        <v/>
      </c>
      <c r="B91" s="1353">
        <f>'Prev.Ventas 4'!N18</f>
        <v>0</v>
      </c>
      <c r="C91" s="1775" t="str">
        <f t="shared" si="20"/>
        <v/>
      </c>
      <c r="D91" s="1353">
        <f>'Prev.Ventas 4'!N32</f>
        <v>0</v>
      </c>
      <c r="E91" s="1775" t="str">
        <f t="shared" si="21"/>
        <v/>
      </c>
      <c r="F91" s="1353">
        <f t="shared" si="22"/>
        <v>0</v>
      </c>
      <c r="G91" s="1775" t="str">
        <f t="shared" si="23"/>
        <v/>
      </c>
      <c r="H91" s="1776" t="str">
        <f t="shared" si="24"/>
        <v/>
      </c>
    </row>
    <row r="92" spans="1:14" s="446" customFormat="1" ht="14.25" customHeight="1" x14ac:dyDescent="0.25">
      <c r="A92" s="1367" t="str">
        <f>'Prev.Ventas 4'!A7</f>
        <v/>
      </c>
      <c r="B92" s="1353">
        <f>'Prev.Ventas 4'!N19</f>
        <v>0</v>
      </c>
      <c r="C92" s="1775" t="str">
        <f t="shared" si="20"/>
        <v/>
      </c>
      <c r="D92" s="1353">
        <f>'Prev.Ventas 4'!N33</f>
        <v>0</v>
      </c>
      <c r="E92" s="1775" t="str">
        <f t="shared" si="21"/>
        <v/>
      </c>
      <c r="F92" s="1353">
        <f t="shared" si="22"/>
        <v>0</v>
      </c>
      <c r="G92" s="1775" t="str">
        <f t="shared" si="23"/>
        <v/>
      </c>
      <c r="H92" s="1776" t="str">
        <f t="shared" si="24"/>
        <v/>
      </c>
    </row>
    <row r="93" spans="1:14" s="446" customFormat="1" ht="14.25" customHeight="1" x14ac:dyDescent="0.25">
      <c r="A93" s="1367" t="str">
        <f>'Prev.Ventas 4'!A8</f>
        <v/>
      </c>
      <c r="B93" s="1353">
        <f>'Prev.Ventas 4'!N20</f>
        <v>0</v>
      </c>
      <c r="C93" s="1775" t="str">
        <f t="shared" si="20"/>
        <v/>
      </c>
      <c r="D93" s="1353">
        <f>'Prev.Ventas 4'!N34</f>
        <v>0</v>
      </c>
      <c r="E93" s="1775" t="str">
        <f t="shared" si="21"/>
        <v/>
      </c>
      <c r="F93" s="1353">
        <f t="shared" si="22"/>
        <v>0</v>
      </c>
      <c r="G93" s="1775" t="str">
        <f t="shared" si="23"/>
        <v/>
      </c>
      <c r="H93" s="1776" t="str">
        <f t="shared" si="24"/>
        <v/>
      </c>
    </row>
    <row r="94" spans="1:14" s="446" customFormat="1" ht="14.25" customHeight="1" x14ac:dyDescent="0.25">
      <c r="A94" s="1367" t="str">
        <f>'Prev.Ventas 4'!A9</f>
        <v/>
      </c>
      <c r="B94" s="1353">
        <f>'Prev.Ventas 4'!N21</f>
        <v>0</v>
      </c>
      <c r="C94" s="1775" t="str">
        <f t="shared" si="20"/>
        <v/>
      </c>
      <c r="D94" s="1353">
        <f>'Prev.Ventas 4'!N35</f>
        <v>0</v>
      </c>
      <c r="E94" s="1775" t="str">
        <f t="shared" si="21"/>
        <v/>
      </c>
      <c r="F94" s="1353">
        <f t="shared" si="22"/>
        <v>0</v>
      </c>
      <c r="G94" s="1775" t="str">
        <f t="shared" si="23"/>
        <v/>
      </c>
      <c r="H94" s="1776" t="str">
        <f t="shared" si="24"/>
        <v/>
      </c>
    </row>
    <row r="95" spans="1:14" s="446" customFormat="1" ht="14.25" customHeight="1" x14ac:dyDescent="0.25">
      <c r="A95" s="1367" t="str">
        <f>'Prev.Ventas 4'!A10</f>
        <v/>
      </c>
      <c r="B95" s="1353">
        <f>'Prev.Ventas 4'!N22</f>
        <v>0</v>
      </c>
      <c r="C95" s="1775" t="str">
        <f t="shared" si="20"/>
        <v/>
      </c>
      <c r="D95" s="1353">
        <f>'Prev.Ventas 4'!N36</f>
        <v>0</v>
      </c>
      <c r="E95" s="1775" t="str">
        <f t="shared" si="21"/>
        <v/>
      </c>
      <c r="F95" s="1353">
        <f t="shared" si="22"/>
        <v>0</v>
      </c>
      <c r="G95" s="1775" t="str">
        <f t="shared" si="23"/>
        <v/>
      </c>
      <c r="H95" s="1776" t="str">
        <f t="shared" si="24"/>
        <v/>
      </c>
    </row>
    <row r="96" spans="1:14" s="446" customFormat="1" ht="14.25" customHeight="1" x14ac:dyDescent="0.25">
      <c r="A96" s="1367" t="str">
        <f>'Prev.Ventas 4'!A11</f>
        <v/>
      </c>
      <c r="B96" s="1353">
        <f>'Prev.Ventas 4'!N23</f>
        <v>0</v>
      </c>
      <c r="C96" s="1775" t="str">
        <f t="shared" si="20"/>
        <v/>
      </c>
      <c r="D96" s="1353">
        <f>'Prev.Ventas 4'!N37</f>
        <v>0</v>
      </c>
      <c r="E96" s="1775" t="str">
        <f t="shared" si="21"/>
        <v/>
      </c>
      <c r="F96" s="1353">
        <f t="shared" si="22"/>
        <v>0</v>
      </c>
      <c r="G96" s="1775" t="str">
        <f t="shared" si="23"/>
        <v/>
      </c>
      <c r="H96" s="1776" t="str">
        <f t="shared" si="24"/>
        <v/>
      </c>
    </row>
    <row r="97" spans="1:8" s="446" customFormat="1" ht="14.25" customHeight="1" x14ac:dyDescent="0.25">
      <c r="A97" s="1367" t="str">
        <f>'Prev.Ventas 4'!A12</f>
        <v/>
      </c>
      <c r="B97" s="1353">
        <f>'Prev.Ventas 4'!N24</f>
        <v>0</v>
      </c>
      <c r="C97" s="1775" t="str">
        <f t="shared" si="20"/>
        <v/>
      </c>
      <c r="D97" s="1353">
        <f>'Prev.Ventas 4'!N38</f>
        <v>0</v>
      </c>
      <c r="E97" s="1775" t="str">
        <f t="shared" si="21"/>
        <v/>
      </c>
      <c r="F97" s="1353">
        <f t="shared" si="22"/>
        <v>0</v>
      </c>
      <c r="G97" s="1775" t="str">
        <f t="shared" si="23"/>
        <v/>
      </c>
      <c r="H97" s="1776" t="str">
        <f t="shared" si="24"/>
        <v/>
      </c>
    </row>
    <row r="98" spans="1:8" s="446" customFormat="1" ht="15.75" thickBot="1" x14ac:dyDescent="0.3">
      <c r="A98" s="2139" t="s">
        <v>1088</v>
      </c>
      <c r="B98" s="2140">
        <f>SUM(B90:B97)</f>
        <v>0</v>
      </c>
      <c r="C98" s="2141">
        <f>SUM(C90:C97)</f>
        <v>0</v>
      </c>
      <c r="D98" s="2140">
        <f>SUM(D90:D97)</f>
        <v>0</v>
      </c>
      <c r="E98" s="2141">
        <f>SUM(E90:E97)</f>
        <v>0</v>
      </c>
      <c r="F98" s="2140">
        <f>B98-D98</f>
        <v>0</v>
      </c>
      <c r="G98" s="2141" t="e">
        <f>F98/B98</f>
        <v>#DIV/0!</v>
      </c>
      <c r="H98" s="2142">
        <f>SUM(H90:H97)</f>
        <v>0</v>
      </c>
    </row>
  </sheetData>
  <sheetProtection sheet="1" objects="1" scenarios="1" formatCells="0" formatColumns="0"/>
  <mergeCells count="1">
    <mergeCell ref="A1:K1"/>
  </mergeCells>
  <phoneticPr fontId="13" type="noConversion"/>
  <conditionalFormatting sqref="A31:G31">
    <cfRule type="expression" dxfId="9" priority="1" stopIfTrue="1">
      <formula>$H$31=0</formula>
    </cfRule>
  </conditionalFormatting>
  <printOptions horizontalCentered="1"/>
  <pageMargins left="0.75" right="0.75" top="1" bottom="1" header="0" footer="0"/>
  <pageSetup paperSize="9" scale="75" fitToHeight="2" orientation="landscape" horizontalDpi="300" verticalDpi="300" r:id="rId1"/>
  <headerFooter alignWithMargins="0"/>
  <rowBreaks count="1" manualBreakCount="1">
    <brk id="31" max="7" man="1"/>
  </rowBreaks>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Hoja73">
    <tabColor rgb="FF2F6DB5"/>
  </sheetPr>
  <dimension ref="A1:IV1083"/>
  <sheetViews>
    <sheetView showGridLines="0" workbookViewId="0"/>
  </sheetViews>
  <sheetFormatPr baseColWidth="10" defaultColWidth="10" defaultRowHeight="15" x14ac:dyDescent="0.25"/>
  <cols>
    <col min="1" max="1" width="54.625" style="232" customWidth="1"/>
    <col min="2" max="7" width="16" style="232" customWidth="1"/>
    <col min="8" max="224" width="10" style="2071"/>
    <col min="225" max="16384" width="10" style="232"/>
  </cols>
  <sheetData>
    <row r="1" spans="1:10" ht="27.75" x14ac:dyDescent="0.45">
      <c r="A1" s="2072" t="s">
        <v>1110</v>
      </c>
      <c r="B1" s="2068"/>
      <c r="C1" s="2068"/>
      <c r="D1" s="2068"/>
      <c r="E1" s="2068"/>
      <c r="F1" s="2068"/>
      <c r="G1" s="2068"/>
      <c r="H1" s="2264"/>
    </row>
    <row r="2" spans="1:10" s="2071" customFormat="1" x14ac:dyDescent="0.25">
      <c r="A2" s="2069"/>
      <c r="B2" s="2070"/>
      <c r="C2" s="2070"/>
      <c r="D2" s="2070"/>
      <c r="E2" s="2070"/>
      <c r="F2" s="2070"/>
      <c r="G2" s="2070"/>
    </row>
    <row r="3" spans="1:10" s="2071" customFormat="1" x14ac:dyDescent="0.25">
      <c r="A3" s="2069"/>
      <c r="B3" s="2070"/>
      <c r="C3" s="2070"/>
      <c r="D3" s="2070"/>
      <c r="E3" s="2070"/>
      <c r="F3" s="2070"/>
      <c r="G3" s="2070"/>
    </row>
    <row r="4" spans="1:10" s="2071" customFormat="1" x14ac:dyDescent="0.25">
      <c r="A4" s="2069"/>
      <c r="B4" s="2070"/>
      <c r="C4" s="2070"/>
      <c r="D4" s="2070"/>
      <c r="E4" s="2070"/>
      <c r="F4" s="2070"/>
      <c r="G4" s="2070"/>
    </row>
    <row r="5" spans="1:10" s="2071" customFormat="1" x14ac:dyDescent="0.25">
      <c r="A5" s="2069"/>
      <c r="B5" s="2070"/>
      <c r="C5" s="2070"/>
      <c r="D5" s="2070"/>
      <c r="E5" s="2070"/>
      <c r="F5" s="2070"/>
      <c r="G5" s="2070"/>
    </row>
    <row r="6" spans="1:10" s="2071" customFormat="1" ht="15.75" thickBot="1" x14ac:dyDescent="0.3">
      <c r="A6" s="2069"/>
      <c r="B6" s="2070"/>
      <c r="C6" s="2070"/>
      <c r="D6" s="2070"/>
      <c r="E6" s="2070"/>
      <c r="F6" s="2070"/>
      <c r="G6" s="2070"/>
    </row>
    <row r="7" spans="1:10" ht="12.75" customHeight="1" x14ac:dyDescent="0.25">
      <c r="B7" s="2544" t="s">
        <v>691</v>
      </c>
      <c r="C7" s="2545"/>
      <c r="D7" s="2546"/>
      <c r="E7" s="2538" t="s">
        <v>485</v>
      </c>
      <c r="F7" s="2540" t="s">
        <v>693</v>
      </c>
      <c r="G7" s="2542" t="s">
        <v>694</v>
      </c>
    </row>
    <row r="8" spans="1:10" ht="13.5" customHeight="1" thickBot="1" x14ac:dyDescent="0.3">
      <c r="A8" s="2075" t="s">
        <v>497</v>
      </c>
      <c r="B8" s="2547"/>
      <c r="C8" s="2548"/>
      <c r="D8" s="2549"/>
      <c r="E8" s="2539"/>
      <c r="F8" s="2541"/>
      <c r="G8" s="2543"/>
    </row>
    <row r="9" spans="1:10" s="2071" customFormat="1" ht="15.75" thickBot="1" x14ac:dyDescent="0.3">
      <c r="A9" s="2075"/>
    </row>
    <row r="10" spans="1:10" ht="15.75" thickBot="1" x14ac:dyDescent="0.3">
      <c r="B10" s="2536" t="s">
        <v>498</v>
      </c>
      <c r="C10" s="2537"/>
      <c r="D10" s="2537"/>
      <c r="E10" s="2537"/>
      <c r="F10" s="2537"/>
      <c r="G10" s="2537"/>
      <c r="H10" s="2074"/>
      <c r="I10" s="269"/>
      <c r="J10" s="2071" t="s">
        <v>689</v>
      </c>
    </row>
    <row r="11" spans="1:10" ht="15.75" thickBot="1" x14ac:dyDescent="0.3">
      <c r="A11" s="293" t="s">
        <v>499</v>
      </c>
      <c r="B11" s="294" t="s">
        <v>500</v>
      </c>
      <c r="C11" s="294" t="s">
        <v>501</v>
      </c>
      <c r="D11" s="295" t="s">
        <v>502</v>
      </c>
      <c r="E11" s="294" t="s">
        <v>503</v>
      </c>
      <c r="F11" s="295" t="s">
        <v>1132</v>
      </c>
      <c r="G11" s="294" t="s">
        <v>1133</v>
      </c>
      <c r="H11" s="2074"/>
      <c r="I11" s="232"/>
    </row>
    <row r="12" spans="1:10" ht="15.75" thickBot="1" x14ac:dyDescent="0.3">
      <c r="A12" s="233" t="s">
        <v>506</v>
      </c>
      <c r="B12" s="234"/>
      <c r="C12" s="234"/>
      <c r="D12" s="235"/>
      <c r="E12" s="277"/>
      <c r="F12" s="275"/>
      <c r="G12" s="277"/>
      <c r="H12" s="2074"/>
      <c r="I12" s="267"/>
      <c r="J12" s="2071" t="s">
        <v>407</v>
      </c>
    </row>
    <row r="13" spans="1:10" ht="15.75" thickBot="1" x14ac:dyDescent="0.3">
      <c r="A13" s="233" t="s">
        <v>507</v>
      </c>
      <c r="B13" s="234"/>
      <c r="C13" s="234"/>
      <c r="D13" s="235"/>
      <c r="E13" s="952">
        <f>'Inv. Iniciales ANC'!B76*0
+'Inv. Iniciales ANC'!B69*0</f>
        <v>0</v>
      </c>
      <c r="F13" s="953">
        <f>E13</f>
        <v>0</v>
      </c>
      <c r="G13" s="952">
        <f>F13</f>
        <v>0</v>
      </c>
      <c r="H13" s="2074" t="s">
        <v>695</v>
      </c>
      <c r="I13" s="232"/>
    </row>
    <row r="14" spans="1:10" x14ac:dyDescent="0.25">
      <c r="A14" s="236" t="s">
        <v>508</v>
      </c>
      <c r="B14" s="237">
        <v>0</v>
      </c>
      <c r="C14" s="237"/>
      <c r="D14" s="238"/>
      <c r="E14" s="237">
        <f>'Inv. Iniciales ANC'!B59</f>
        <v>0</v>
      </c>
      <c r="F14" s="238">
        <f t="shared" ref="F14:G18" si="0">E14</f>
        <v>0</v>
      </c>
      <c r="G14" s="237">
        <f t="shared" si="0"/>
        <v>0</v>
      </c>
      <c r="H14" s="2074" t="s">
        <v>695</v>
      </c>
      <c r="I14" s="282"/>
      <c r="J14" s="2071" t="s">
        <v>692</v>
      </c>
    </row>
    <row r="15" spans="1:10" x14ac:dyDescent="0.25">
      <c r="A15" s="240" t="s">
        <v>509</v>
      </c>
      <c r="B15" s="241"/>
      <c r="C15" s="241"/>
      <c r="D15" s="242"/>
      <c r="E15" s="241">
        <f>'Inv. Iniciales ANC'!B60+'Inv. Iniciales ANC'!B61</f>
        <v>0</v>
      </c>
      <c r="F15" s="242">
        <f t="shared" si="0"/>
        <v>0</v>
      </c>
      <c r="G15" s="241">
        <f t="shared" si="0"/>
        <v>0</v>
      </c>
      <c r="H15" s="2074" t="s">
        <v>695</v>
      </c>
      <c r="I15" s="232"/>
    </row>
    <row r="16" spans="1:10" x14ac:dyDescent="0.25">
      <c r="A16" s="240" t="s">
        <v>510</v>
      </c>
      <c r="B16" s="241"/>
      <c r="C16" s="241"/>
      <c r="D16" s="242"/>
      <c r="E16" s="954"/>
      <c r="F16" s="955"/>
      <c r="G16" s="954"/>
      <c r="H16" s="2074"/>
      <c r="I16" s="951"/>
      <c r="J16" s="2078" t="s">
        <v>815</v>
      </c>
    </row>
    <row r="17" spans="1:8" x14ac:dyDescent="0.25">
      <c r="A17" s="240" t="s">
        <v>511</v>
      </c>
      <c r="B17" s="241"/>
      <c r="C17" s="241"/>
      <c r="D17" s="242"/>
      <c r="E17" s="276"/>
      <c r="F17" s="267"/>
      <c r="G17" s="276"/>
      <c r="H17" s="2074"/>
    </row>
    <row r="18" spans="1:8" x14ac:dyDescent="0.25">
      <c r="A18" s="240" t="s">
        <v>512</v>
      </c>
      <c r="B18" s="241"/>
      <c r="C18" s="241"/>
      <c r="D18" s="242"/>
      <c r="E18" s="241">
        <f>'Inv. Iniciales ANC'!B57+'Inv. Iniciales ANC'!B58</f>
        <v>0</v>
      </c>
      <c r="F18" s="242">
        <f t="shared" si="0"/>
        <v>0</v>
      </c>
      <c r="G18" s="241">
        <f t="shared" si="0"/>
        <v>0</v>
      </c>
      <c r="H18" s="2074" t="s">
        <v>695</v>
      </c>
    </row>
    <row r="19" spans="1:8" x14ac:dyDescent="0.25">
      <c r="A19" s="240" t="s">
        <v>513</v>
      </c>
      <c r="B19" s="241"/>
      <c r="C19" s="241"/>
      <c r="D19" s="242"/>
      <c r="E19" s="276"/>
      <c r="F19" s="267"/>
      <c r="G19" s="276"/>
      <c r="H19" s="2074"/>
    </row>
    <row r="20" spans="1:8" x14ac:dyDescent="0.25">
      <c r="A20" s="240" t="s">
        <v>514</v>
      </c>
      <c r="B20" s="241"/>
      <c r="C20" s="241"/>
      <c r="D20" s="242"/>
      <c r="E20" s="276"/>
      <c r="F20" s="267"/>
      <c r="G20" s="276"/>
      <c r="H20" s="2074"/>
    </row>
    <row r="21" spans="1:8" x14ac:dyDescent="0.25">
      <c r="A21" s="240" t="s">
        <v>515</v>
      </c>
      <c r="B21" s="241"/>
      <c r="C21" s="241"/>
      <c r="D21" s="242"/>
      <c r="E21" s="276"/>
      <c r="F21" s="267"/>
      <c r="G21" s="276"/>
      <c r="H21" s="2074"/>
    </row>
    <row r="22" spans="1:8" x14ac:dyDescent="0.25">
      <c r="A22" s="240" t="s">
        <v>998</v>
      </c>
      <c r="B22" s="241"/>
      <c r="C22" s="241"/>
      <c r="D22" s="242"/>
      <c r="E22" s="241">
        <f>-'Inv. Iniciales ANC'!E62</f>
        <v>0</v>
      </c>
      <c r="F22" s="242">
        <f>E22-Amortizaciones!F19</f>
        <v>0</v>
      </c>
      <c r="G22" s="241">
        <f>F22-Amortizaciones!G19</f>
        <v>0</v>
      </c>
      <c r="H22" s="2074" t="s">
        <v>695</v>
      </c>
    </row>
    <row r="23" spans="1:8" ht="15.75" thickBot="1" x14ac:dyDescent="0.3">
      <c r="A23" s="244" t="s">
        <v>516</v>
      </c>
      <c r="B23" s="245">
        <f t="shared" ref="B23:G23" si="1">SUM(B14:B22)</f>
        <v>0</v>
      </c>
      <c r="C23" s="245">
        <f t="shared" si="1"/>
        <v>0</v>
      </c>
      <c r="D23" s="246">
        <f>SUM(D14:D22)</f>
        <v>0</v>
      </c>
      <c r="E23" s="245">
        <f t="shared" si="1"/>
        <v>0</v>
      </c>
      <c r="F23" s="246">
        <f t="shared" si="1"/>
        <v>0</v>
      </c>
      <c r="G23" s="245">
        <f t="shared" si="1"/>
        <v>0</v>
      </c>
      <c r="H23" s="2074"/>
    </row>
    <row r="24" spans="1:8" x14ac:dyDescent="0.25">
      <c r="A24" s="240" t="s">
        <v>517</v>
      </c>
      <c r="B24" s="241"/>
      <c r="C24" s="241"/>
      <c r="D24" s="242"/>
      <c r="E24" s="241">
        <f>'Inv. Iniciales ANC'!B10</f>
        <v>0</v>
      </c>
      <c r="F24" s="242">
        <f t="shared" ref="F24:G26" si="2">E24</f>
        <v>0</v>
      </c>
      <c r="G24" s="241">
        <f t="shared" si="2"/>
        <v>0</v>
      </c>
      <c r="H24" s="2074" t="s">
        <v>695</v>
      </c>
    </row>
    <row r="25" spans="1:8" x14ac:dyDescent="0.25">
      <c r="A25" s="240" t="s">
        <v>518</v>
      </c>
      <c r="B25" s="241"/>
      <c r="C25" s="241"/>
      <c r="D25" s="242"/>
      <c r="E25" s="241">
        <f>+'Inv. Iniciales ANC'!B19+'Inv. Iniciales ANC'!B25+'Inv. Iniciales ANC'!B42</f>
        <v>0</v>
      </c>
      <c r="F25" s="242">
        <f t="shared" si="2"/>
        <v>0</v>
      </c>
      <c r="G25" s="241">
        <f t="shared" si="2"/>
        <v>0</v>
      </c>
      <c r="H25" s="2074" t="s">
        <v>695</v>
      </c>
    </row>
    <row r="26" spans="1:8" x14ac:dyDescent="0.25">
      <c r="A26" s="240" t="s">
        <v>519</v>
      </c>
      <c r="B26" s="241"/>
      <c r="C26" s="241"/>
      <c r="D26" s="242"/>
      <c r="E26" s="241">
        <f>+'Inv. Iniciales ANC'!B30+'Inv. Iniciales ANC'!B36+'Inv. Iniciales ANC'!B49</f>
        <v>0</v>
      </c>
      <c r="F26" s="242">
        <f t="shared" si="2"/>
        <v>0</v>
      </c>
      <c r="G26" s="241">
        <f t="shared" si="2"/>
        <v>0</v>
      </c>
      <c r="H26" s="2074" t="s">
        <v>695</v>
      </c>
    </row>
    <row r="27" spans="1:8" x14ac:dyDescent="0.25">
      <c r="A27" s="240" t="s">
        <v>520</v>
      </c>
      <c r="B27" s="241"/>
      <c r="C27" s="241"/>
      <c r="D27" s="242"/>
      <c r="E27" s="276"/>
      <c r="F27" s="267"/>
      <c r="G27" s="276"/>
      <c r="H27" s="2074"/>
    </row>
    <row r="28" spans="1:8" x14ac:dyDescent="0.25">
      <c r="A28" s="240" t="s">
        <v>521</v>
      </c>
      <c r="B28" s="241"/>
      <c r="C28" s="241"/>
      <c r="D28" s="242"/>
      <c r="E28" s="241">
        <f>+'Inv. Iniciales ANC'!B54</f>
        <v>0</v>
      </c>
      <c r="F28" s="242">
        <f>E28</f>
        <v>0</v>
      </c>
      <c r="G28" s="241">
        <f>F28</f>
        <v>0</v>
      </c>
      <c r="H28" s="2074" t="s">
        <v>695</v>
      </c>
    </row>
    <row r="29" spans="1:8" x14ac:dyDescent="0.25">
      <c r="A29" s="240" t="s">
        <v>515</v>
      </c>
      <c r="B29" s="241"/>
      <c r="C29" s="241"/>
      <c r="D29" s="242"/>
      <c r="E29" s="276"/>
      <c r="F29" s="267"/>
      <c r="G29" s="276"/>
      <c r="H29" s="2074"/>
    </row>
    <row r="30" spans="1:8" x14ac:dyDescent="0.25">
      <c r="A30" s="240" t="s">
        <v>998</v>
      </c>
      <c r="B30" s="241"/>
      <c r="C30" s="241"/>
      <c r="D30" s="243"/>
      <c r="E30" s="241">
        <f>-('Inv. Iniciales ANC'!E10+'Inv. Iniciales ANC'!E19+'Inv. Iniciales ANC'!E25+'Inv. Iniciales ANC'!E30+'Inv. Iniciales ANC'!E36+'Inv. Iniciales ANC'!E42+'Inv. Iniciales ANC'!E49+'Inv. Iniciales ANC'!E54)</f>
        <v>0</v>
      </c>
      <c r="F30" s="241">
        <f>E30-Amortizaciones!F8</f>
        <v>0</v>
      </c>
      <c r="G30" s="241">
        <f>F30-Amortizaciones!G8</f>
        <v>0</v>
      </c>
      <c r="H30" s="2074" t="s">
        <v>695</v>
      </c>
    </row>
    <row r="31" spans="1:8" ht="15.75" thickBot="1" x14ac:dyDescent="0.3">
      <c r="A31" s="248" t="s">
        <v>522</v>
      </c>
      <c r="B31" s="249">
        <f t="shared" ref="B31:G31" si="3">SUM(B24:B30)</f>
        <v>0</v>
      </c>
      <c r="C31" s="249">
        <f t="shared" si="3"/>
        <v>0</v>
      </c>
      <c r="D31" s="250">
        <f>SUM(D24:D30)</f>
        <v>0</v>
      </c>
      <c r="E31" s="249">
        <f t="shared" si="3"/>
        <v>0</v>
      </c>
      <c r="F31" s="250">
        <f t="shared" si="3"/>
        <v>0</v>
      </c>
      <c r="G31" s="249">
        <f t="shared" si="3"/>
        <v>0</v>
      </c>
      <c r="H31" s="2074" t="s">
        <v>695</v>
      </c>
    </row>
    <row r="32" spans="1:8" x14ac:dyDescent="0.25">
      <c r="A32" s="236" t="s">
        <v>523</v>
      </c>
      <c r="B32" s="237"/>
      <c r="C32" s="237"/>
      <c r="D32" s="238"/>
      <c r="E32" s="278"/>
      <c r="F32" s="268"/>
      <c r="G32" s="278"/>
      <c r="H32" s="2074"/>
    </row>
    <row r="33" spans="1:256" x14ac:dyDescent="0.25">
      <c r="A33" s="240" t="s">
        <v>524</v>
      </c>
      <c r="B33" s="241"/>
      <c r="C33" s="241"/>
      <c r="D33" s="242"/>
      <c r="E33" s="270"/>
      <c r="F33" s="269"/>
      <c r="G33" s="270"/>
      <c r="H33" s="2074"/>
    </row>
    <row r="34" spans="1:256" x14ac:dyDescent="0.25">
      <c r="A34" s="240" t="s">
        <v>525</v>
      </c>
      <c r="B34" s="241"/>
      <c r="C34" s="241"/>
      <c r="D34" s="242"/>
      <c r="E34" s="270"/>
      <c r="F34" s="269"/>
      <c r="G34" s="270"/>
      <c r="H34" s="2074"/>
    </row>
    <row r="35" spans="1:256" x14ac:dyDescent="0.25">
      <c r="A35" s="240" t="s">
        <v>526</v>
      </c>
      <c r="B35" s="241"/>
      <c r="C35" s="241"/>
      <c r="D35" s="243"/>
      <c r="E35" s="270"/>
      <c r="F35" s="270"/>
      <c r="G35" s="270"/>
      <c r="H35" s="2074"/>
    </row>
    <row r="36" spans="1:256" x14ac:dyDescent="0.25">
      <c r="A36" s="240" t="s">
        <v>527</v>
      </c>
      <c r="B36" s="241"/>
      <c r="C36" s="241"/>
      <c r="D36" s="242"/>
      <c r="E36" s="270"/>
      <c r="F36" s="269"/>
      <c r="G36" s="270"/>
      <c r="H36" s="2074"/>
    </row>
    <row r="37" spans="1:256" x14ac:dyDescent="0.25">
      <c r="A37" s="240" t="s">
        <v>528</v>
      </c>
      <c r="B37" s="241"/>
      <c r="C37" s="241"/>
      <c r="D37" s="242"/>
      <c r="E37" s="270"/>
      <c r="F37" s="269"/>
      <c r="G37" s="270"/>
      <c r="H37" s="2074"/>
    </row>
    <row r="38" spans="1:256" x14ac:dyDescent="0.25">
      <c r="A38" s="240" t="s">
        <v>529</v>
      </c>
      <c r="B38" s="241"/>
      <c r="C38" s="241"/>
      <c r="D38" s="242"/>
      <c r="E38" s="241">
        <f>+'Inv. Iniciales ANC'!B81</f>
        <v>0</v>
      </c>
      <c r="F38" s="242">
        <f>E38</f>
        <v>0</v>
      </c>
      <c r="G38" s="241">
        <f>F38</f>
        <v>0</v>
      </c>
      <c r="H38" s="2074" t="s">
        <v>695</v>
      </c>
    </row>
    <row r="39" spans="1:256" x14ac:dyDescent="0.25">
      <c r="A39" s="240" t="s">
        <v>515</v>
      </c>
      <c r="B39" s="241"/>
      <c r="C39" s="241"/>
      <c r="D39" s="242"/>
      <c r="E39" s="270"/>
      <c r="F39" s="269"/>
      <c r="G39" s="270"/>
      <c r="H39" s="2074"/>
    </row>
    <row r="40" spans="1:256" x14ac:dyDescent="0.25">
      <c r="A40" s="240" t="s">
        <v>530</v>
      </c>
      <c r="B40" s="241"/>
      <c r="C40" s="241"/>
      <c r="D40" s="242"/>
      <c r="E40" s="270"/>
      <c r="F40" s="269"/>
      <c r="G40" s="270"/>
      <c r="H40" s="2074"/>
    </row>
    <row r="41" spans="1:256" s="231" customFormat="1" ht="15.75" thickBot="1" x14ac:dyDescent="0.3">
      <c r="A41" s="244" t="s">
        <v>531</v>
      </c>
      <c r="B41" s="245">
        <f t="shared" ref="B41:G41" si="4">SUM(B32:B40)</f>
        <v>0</v>
      </c>
      <c r="C41" s="245">
        <f t="shared" si="4"/>
        <v>0</v>
      </c>
      <c r="D41" s="246">
        <f>SUM(D32:D40)</f>
        <v>0</v>
      </c>
      <c r="E41" s="245">
        <f t="shared" si="4"/>
        <v>0</v>
      </c>
      <c r="F41" s="246">
        <f t="shared" si="4"/>
        <v>0</v>
      </c>
      <c r="G41" s="245">
        <f t="shared" si="4"/>
        <v>0</v>
      </c>
      <c r="H41" s="2074"/>
      <c r="I41" s="2075"/>
      <c r="J41" s="2075"/>
      <c r="K41" s="2075"/>
      <c r="L41" s="2075"/>
      <c r="M41" s="2075"/>
      <c r="N41" s="2075"/>
      <c r="O41" s="2075"/>
      <c r="P41" s="2075"/>
      <c r="Q41" s="2075"/>
      <c r="R41" s="2075"/>
      <c r="S41" s="2075"/>
      <c r="T41" s="2075"/>
      <c r="U41" s="2075"/>
      <c r="V41" s="2075"/>
      <c r="W41" s="2075"/>
      <c r="X41" s="2075"/>
      <c r="Y41" s="2075"/>
      <c r="Z41" s="2075"/>
      <c r="AA41" s="2075"/>
      <c r="AB41" s="2075"/>
      <c r="AC41" s="2075"/>
      <c r="AD41" s="2075"/>
      <c r="AE41" s="2075"/>
      <c r="AF41" s="2075"/>
      <c r="AG41" s="2075"/>
      <c r="AH41" s="2075"/>
      <c r="AI41" s="2075"/>
      <c r="AJ41" s="2075"/>
      <c r="AK41" s="2075"/>
      <c r="AL41" s="2075"/>
      <c r="AM41" s="2075"/>
      <c r="AN41" s="2075"/>
      <c r="AO41" s="2075"/>
      <c r="AP41" s="2075"/>
      <c r="AQ41" s="2075"/>
      <c r="AR41" s="2075"/>
      <c r="AS41" s="2075"/>
      <c r="AT41" s="2075"/>
      <c r="AU41" s="2075"/>
      <c r="AV41" s="2075"/>
      <c r="AW41" s="2075"/>
      <c r="AX41" s="2075"/>
      <c r="AY41" s="2075"/>
      <c r="AZ41" s="2075"/>
      <c r="BA41" s="2075"/>
      <c r="BB41" s="2075"/>
      <c r="BC41" s="2075"/>
      <c r="BD41" s="2075"/>
      <c r="BE41" s="2075"/>
      <c r="BF41" s="2075"/>
      <c r="BG41" s="2075"/>
      <c r="BH41" s="2075"/>
      <c r="BI41" s="2075"/>
      <c r="BJ41" s="2075"/>
      <c r="BK41" s="2075"/>
      <c r="BL41" s="2075"/>
      <c r="BM41" s="2075"/>
      <c r="BN41" s="2075"/>
      <c r="BO41" s="2075"/>
      <c r="BP41" s="2075"/>
      <c r="BQ41" s="2075"/>
      <c r="BR41" s="2075"/>
      <c r="BS41" s="2075"/>
      <c r="BT41" s="2075"/>
      <c r="BU41" s="2075"/>
      <c r="BV41" s="2075"/>
      <c r="BW41" s="2075"/>
      <c r="BX41" s="2075"/>
      <c r="BY41" s="2075"/>
      <c r="BZ41" s="2075"/>
      <c r="CA41" s="2075"/>
      <c r="CB41" s="2075"/>
      <c r="CC41" s="2075"/>
      <c r="CD41" s="2075"/>
      <c r="CE41" s="2075"/>
      <c r="CF41" s="2075"/>
      <c r="CG41" s="2075"/>
      <c r="CH41" s="2075"/>
      <c r="CI41" s="2075"/>
      <c r="CJ41" s="2075"/>
      <c r="CK41" s="2075"/>
      <c r="CL41" s="2075"/>
      <c r="CM41" s="2075"/>
      <c r="CN41" s="2075"/>
      <c r="CO41" s="2075"/>
      <c r="CP41" s="2075"/>
      <c r="CQ41" s="2075"/>
      <c r="CR41" s="2075"/>
      <c r="CS41" s="2075"/>
      <c r="CT41" s="2075"/>
      <c r="CU41" s="2075"/>
      <c r="CV41" s="2075"/>
      <c r="CW41" s="2075"/>
      <c r="CX41" s="2075"/>
      <c r="CY41" s="2075"/>
      <c r="CZ41" s="2075"/>
      <c r="DA41" s="2075"/>
      <c r="DB41" s="2075"/>
      <c r="DC41" s="2075"/>
      <c r="DD41" s="2075"/>
      <c r="DE41" s="2075"/>
      <c r="DF41" s="2075"/>
      <c r="DG41" s="2075"/>
      <c r="DH41" s="2075"/>
      <c r="DI41" s="2075"/>
      <c r="DJ41" s="2075"/>
      <c r="DK41" s="2075"/>
      <c r="DL41" s="2075"/>
      <c r="DM41" s="2075"/>
      <c r="DN41" s="2075"/>
      <c r="DO41" s="2075"/>
      <c r="DP41" s="2075"/>
      <c r="DQ41" s="2075"/>
      <c r="DR41" s="2075"/>
      <c r="DS41" s="2075"/>
      <c r="DT41" s="2075"/>
      <c r="DU41" s="2075"/>
      <c r="DV41" s="2075"/>
      <c r="DW41" s="2075"/>
      <c r="DX41" s="2075"/>
      <c r="DY41" s="2075"/>
      <c r="DZ41" s="2075"/>
      <c r="EA41" s="2075"/>
      <c r="EB41" s="2075"/>
      <c r="EC41" s="2075"/>
      <c r="ED41" s="2075"/>
      <c r="EE41" s="2075"/>
      <c r="EF41" s="2075"/>
      <c r="EG41" s="2075"/>
      <c r="EH41" s="2075"/>
      <c r="EI41" s="2075"/>
      <c r="EJ41" s="2075"/>
      <c r="EK41" s="2075"/>
      <c r="EL41" s="2075"/>
      <c r="EM41" s="2075"/>
      <c r="EN41" s="2075"/>
      <c r="EO41" s="2075"/>
      <c r="EP41" s="2075"/>
      <c r="EQ41" s="2075"/>
      <c r="ER41" s="2075"/>
      <c r="ES41" s="2075"/>
      <c r="ET41" s="2075"/>
      <c r="EU41" s="2075"/>
      <c r="EV41" s="2075"/>
      <c r="EW41" s="2075"/>
      <c r="EX41" s="2075"/>
      <c r="EY41" s="2075"/>
      <c r="EZ41" s="2075"/>
      <c r="FA41" s="2075"/>
      <c r="FB41" s="2075"/>
      <c r="FC41" s="2075"/>
      <c r="FD41" s="2075"/>
      <c r="FE41" s="2075"/>
      <c r="FF41" s="2075"/>
      <c r="FG41" s="2075"/>
      <c r="FH41" s="2075"/>
      <c r="FI41" s="2075"/>
      <c r="FJ41" s="2075"/>
      <c r="FK41" s="2075"/>
      <c r="FL41" s="2075"/>
      <c r="FM41" s="2075"/>
      <c r="FN41" s="2075"/>
      <c r="FO41" s="2075"/>
      <c r="FP41" s="2075"/>
      <c r="FQ41" s="2075"/>
      <c r="FR41" s="2075"/>
      <c r="FS41" s="2075"/>
      <c r="FT41" s="2075"/>
      <c r="FU41" s="2075"/>
      <c r="FV41" s="2075"/>
      <c r="FW41" s="2075"/>
      <c r="FX41" s="2075"/>
      <c r="FY41" s="2075"/>
      <c r="FZ41" s="2075"/>
      <c r="GA41" s="2075"/>
      <c r="GB41" s="2075"/>
      <c r="GC41" s="2075"/>
      <c r="GD41" s="2075"/>
      <c r="GE41" s="2075"/>
      <c r="GF41" s="2075"/>
      <c r="GG41" s="2075"/>
      <c r="GH41" s="2075"/>
      <c r="GI41" s="2075"/>
      <c r="GJ41" s="2075"/>
      <c r="GK41" s="2075"/>
      <c r="GL41" s="2075"/>
      <c r="GM41" s="2075"/>
      <c r="GN41" s="2075"/>
      <c r="GO41" s="2075"/>
      <c r="GP41" s="2075"/>
      <c r="GQ41" s="2075"/>
      <c r="GR41" s="2075"/>
      <c r="GS41" s="2075"/>
      <c r="GT41" s="2075"/>
      <c r="GU41" s="2075"/>
      <c r="GV41" s="2075"/>
      <c r="GW41" s="2075"/>
      <c r="GX41" s="2075"/>
      <c r="GY41" s="2075"/>
      <c r="GZ41" s="2075"/>
      <c r="HA41" s="2075"/>
      <c r="HB41" s="2075"/>
      <c r="HC41" s="2075"/>
      <c r="HD41" s="2075"/>
      <c r="HE41" s="2075"/>
      <c r="HF41" s="2075"/>
      <c r="HG41" s="2075"/>
      <c r="HH41" s="2075"/>
      <c r="HI41" s="2075"/>
      <c r="HJ41" s="2075"/>
      <c r="HK41" s="2075"/>
      <c r="HL41" s="2075"/>
      <c r="HM41" s="2075"/>
      <c r="HN41" s="2075"/>
      <c r="HO41" s="2075"/>
      <c r="HP41" s="2075"/>
    </row>
    <row r="42" spans="1:256" s="231" customFormat="1" ht="15.75" thickBot="1" x14ac:dyDescent="0.3">
      <c r="A42" s="233" t="s">
        <v>532</v>
      </c>
      <c r="B42" s="252"/>
      <c r="C42" s="252"/>
      <c r="D42" s="253"/>
      <c r="E42" s="272"/>
      <c r="F42" s="271"/>
      <c r="G42" s="272"/>
      <c r="H42" s="2074"/>
      <c r="I42" s="2075"/>
      <c r="J42" s="2075"/>
      <c r="K42" s="2075"/>
      <c r="L42" s="2075"/>
      <c r="M42" s="2075"/>
      <c r="N42" s="2075"/>
      <c r="O42" s="2075"/>
      <c r="P42" s="2075"/>
      <c r="Q42" s="2075"/>
      <c r="R42" s="2075"/>
      <c r="S42" s="2075"/>
      <c r="T42" s="2075"/>
      <c r="U42" s="2075"/>
      <c r="V42" s="2075"/>
      <c r="W42" s="2075"/>
      <c r="X42" s="2075"/>
      <c r="Y42" s="2075"/>
      <c r="Z42" s="2075"/>
      <c r="AA42" s="2075"/>
      <c r="AB42" s="2075"/>
      <c r="AC42" s="2075"/>
      <c r="AD42" s="2075"/>
      <c r="AE42" s="2075"/>
      <c r="AF42" s="2075"/>
      <c r="AG42" s="2075"/>
      <c r="AH42" s="2075"/>
      <c r="AI42" s="2075"/>
      <c r="AJ42" s="2075"/>
      <c r="AK42" s="2075"/>
      <c r="AL42" s="2075"/>
      <c r="AM42" s="2075"/>
      <c r="AN42" s="2075"/>
      <c r="AO42" s="2075"/>
      <c r="AP42" s="2075"/>
      <c r="AQ42" s="2075"/>
      <c r="AR42" s="2075"/>
      <c r="AS42" s="2075"/>
      <c r="AT42" s="2075"/>
      <c r="AU42" s="2075"/>
      <c r="AV42" s="2075"/>
      <c r="AW42" s="2075"/>
      <c r="AX42" s="2075"/>
      <c r="AY42" s="2075"/>
      <c r="AZ42" s="2075"/>
      <c r="BA42" s="2075"/>
      <c r="BB42" s="2075"/>
      <c r="BC42" s="2075"/>
      <c r="BD42" s="2075"/>
      <c r="BE42" s="2075"/>
      <c r="BF42" s="2075"/>
      <c r="BG42" s="2075"/>
      <c r="BH42" s="2075"/>
      <c r="BI42" s="2075"/>
      <c r="BJ42" s="2075"/>
      <c r="BK42" s="2075"/>
      <c r="BL42" s="2075"/>
      <c r="BM42" s="2075"/>
      <c r="BN42" s="2075"/>
      <c r="BO42" s="2075"/>
      <c r="BP42" s="2075"/>
      <c r="BQ42" s="2075"/>
      <c r="BR42" s="2075"/>
      <c r="BS42" s="2075"/>
      <c r="BT42" s="2075"/>
      <c r="BU42" s="2075"/>
      <c r="BV42" s="2075"/>
      <c r="BW42" s="2075"/>
      <c r="BX42" s="2075"/>
      <c r="BY42" s="2075"/>
      <c r="BZ42" s="2075"/>
      <c r="CA42" s="2075"/>
      <c r="CB42" s="2075"/>
      <c r="CC42" s="2075"/>
      <c r="CD42" s="2075"/>
      <c r="CE42" s="2075"/>
      <c r="CF42" s="2075"/>
      <c r="CG42" s="2075"/>
      <c r="CH42" s="2075"/>
      <c r="CI42" s="2075"/>
      <c r="CJ42" s="2075"/>
      <c r="CK42" s="2075"/>
      <c r="CL42" s="2075"/>
      <c r="CM42" s="2075"/>
      <c r="CN42" s="2075"/>
      <c r="CO42" s="2075"/>
      <c r="CP42" s="2075"/>
      <c r="CQ42" s="2075"/>
      <c r="CR42" s="2075"/>
      <c r="CS42" s="2075"/>
      <c r="CT42" s="2075"/>
      <c r="CU42" s="2075"/>
      <c r="CV42" s="2075"/>
      <c r="CW42" s="2075"/>
      <c r="CX42" s="2075"/>
      <c r="CY42" s="2075"/>
      <c r="CZ42" s="2075"/>
      <c r="DA42" s="2075"/>
      <c r="DB42" s="2075"/>
      <c r="DC42" s="2075"/>
      <c r="DD42" s="2075"/>
      <c r="DE42" s="2075"/>
      <c r="DF42" s="2075"/>
      <c r="DG42" s="2075"/>
      <c r="DH42" s="2075"/>
      <c r="DI42" s="2075"/>
      <c r="DJ42" s="2075"/>
      <c r="DK42" s="2075"/>
      <c r="DL42" s="2075"/>
      <c r="DM42" s="2075"/>
      <c r="DN42" s="2075"/>
      <c r="DO42" s="2075"/>
      <c r="DP42" s="2075"/>
      <c r="DQ42" s="2075"/>
      <c r="DR42" s="2075"/>
      <c r="DS42" s="2075"/>
      <c r="DT42" s="2075"/>
      <c r="DU42" s="2075"/>
      <c r="DV42" s="2075"/>
      <c r="DW42" s="2075"/>
      <c r="DX42" s="2075"/>
      <c r="DY42" s="2075"/>
      <c r="DZ42" s="2075"/>
      <c r="EA42" s="2075"/>
      <c r="EB42" s="2075"/>
      <c r="EC42" s="2075"/>
      <c r="ED42" s="2075"/>
      <c r="EE42" s="2075"/>
      <c r="EF42" s="2075"/>
      <c r="EG42" s="2075"/>
      <c r="EH42" s="2075"/>
      <c r="EI42" s="2075"/>
      <c r="EJ42" s="2075"/>
      <c r="EK42" s="2075"/>
      <c r="EL42" s="2075"/>
      <c r="EM42" s="2075"/>
      <c r="EN42" s="2075"/>
      <c r="EO42" s="2075"/>
      <c r="EP42" s="2075"/>
      <c r="EQ42" s="2075"/>
      <c r="ER42" s="2075"/>
      <c r="ES42" s="2075"/>
      <c r="ET42" s="2075"/>
      <c r="EU42" s="2075"/>
      <c r="EV42" s="2075"/>
      <c r="EW42" s="2075"/>
      <c r="EX42" s="2075"/>
      <c r="EY42" s="2075"/>
      <c r="EZ42" s="2075"/>
      <c r="FA42" s="2075"/>
      <c r="FB42" s="2075"/>
      <c r="FC42" s="2075"/>
      <c r="FD42" s="2075"/>
      <c r="FE42" s="2075"/>
      <c r="FF42" s="2075"/>
      <c r="FG42" s="2075"/>
      <c r="FH42" s="2075"/>
      <c r="FI42" s="2075"/>
      <c r="FJ42" s="2075"/>
      <c r="FK42" s="2075"/>
      <c r="FL42" s="2075"/>
      <c r="FM42" s="2075"/>
      <c r="FN42" s="2075"/>
      <c r="FO42" s="2075"/>
      <c r="FP42" s="2075"/>
      <c r="FQ42" s="2075"/>
      <c r="FR42" s="2075"/>
      <c r="FS42" s="2075"/>
      <c r="FT42" s="2075"/>
      <c r="FU42" s="2075"/>
      <c r="FV42" s="2075"/>
      <c r="FW42" s="2075"/>
      <c r="FX42" s="2075"/>
      <c r="FY42" s="2075"/>
      <c r="FZ42" s="2075"/>
      <c r="GA42" s="2075"/>
      <c r="GB42" s="2075"/>
      <c r="GC42" s="2075"/>
      <c r="GD42" s="2075"/>
      <c r="GE42" s="2075"/>
      <c r="GF42" s="2075"/>
      <c r="GG42" s="2075"/>
      <c r="GH42" s="2075"/>
      <c r="GI42" s="2075"/>
      <c r="GJ42" s="2075"/>
      <c r="GK42" s="2075"/>
      <c r="GL42" s="2075"/>
      <c r="GM42" s="2075"/>
      <c r="GN42" s="2075"/>
      <c r="GO42" s="2075"/>
      <c r="GP42" s="2075"/>
      <c r="GQ42" s="2075"/>
      <c r="GR42" s="2075"/>
      <c r="GS42" s="2075"/>
      <c r="GT42" s="2075"/>
      <c r="GU42" s="2075"/>
      <c r="GV42" s="2075"/>
      <c r="GW42" s="2075"/>
      <c r="GX42" s="2075"/>
      <c r="GY42" s="2075"/>
      <c r="GZ42" s="2075"/>
      <c r="HA42" s="2075"/>
      <c r="HB42" s="2075"/>
      <c r="HC42" s="2075"/>
      <c r="HD42" s="2075"/>
      <c r="HE42" s="2075"/>
      <c r="HF42" s="2075"/>
      <c r="HG42" s="2075"/>
      <c r="HH42" s="2075"/>
      <c r="HI42" s="2075"/>
      <c r="HJ42" s="2075"/>
      <c r="HK42" s="2075"/>
      <c r="HL42" s="2075"/>
      <c r="HM42" s="2075"/>
      <c r="HN42" s="2075"/>
      <c r="HO42" s="2075"/>
      <c r="HP42" s="2075"/>
    </row>
    <row r="43" spans="1:256" s="231" customFormat="1" ht="15.75" thickBot="1" x14ac:dyDescent="0.3">
      <c r="A43" s="233" t="s">
        <v>533</v>
      </c>
      <c r="B43" s="252"/>
      <c r="C43" s="252"/>
      <c r="D43" s="254"/>
      <c r="E43" s="272"/>
      <c r="F43" s="272"/>
      <c r="G43" s="272"/>
      <c r="H43" s="2074"/>
      <c r="I43" s="2075"/>
      <c r="J43" s="2075"/>
      <c r="K43" s="2075"/>
      <c r="L43" s="2075"/>
      <c r="M43" s="2075"/>
      <c r="N43" s="2075"/>
      <c r="O43" s="2075"/>
      <c r="P43" s="2075"/>
      <c r="Q43" s="2075"/>
      <c r="R43" s="2075"/>
      <c r="S43" s="2075"/>
      <c r="T43" s="2075"/>
      <c r="U43" s="2075"/>
      <c r="V43" s="2075"/>
      <c r="W43" s="2075"/>
      <c r="X43" s="2075"/>
      <c r="Y43" s="2075"/>
      <c r="Z43" s="2075"/>
      <c r="AA43" s="2075"/>
      <c r="AB43" s="2075"/>
      <c r="AC43" s="2075"/>
      <c r="AD43" s="2075"/>
      <c r="AE43" s="2075"/>
      <c r="AF43" s="2075"/>
      <c r="AG43" s="2075"/>
      <c r="AH43" s="2075"/>
      <c r="AI43" s="2075"/>
      <c r="AJ43" s="2075"/>
      <c r="AK43" s="2075"/>
      <c r="AL43" s="2075"/>
      <c r="AM43" s="2075"/>
      <c r="AN43" s="2075"/>
      <c r="AO43" s="2075"/>
      <c r="AP43" s="2075"/>
      <c r="AQ43" s="2075"/>
      <c r="AR43" s="2075"/>
      <c r="AS43" s="2075"/>
      <c r="AT43" s="2075"/>
      <c r="AU43" s="2075"/>
      <c r="AV43" s="2075"/>
      <c r="AW43" s="2075"/>
      <c r="AX43" s="2075"/>
      <c r="AY43" s="2075"/>
      <c r="AZ43" s="2075"/>
      <c r="BA43" s="2075"/>
      <c r="BB43" s="2075"/>
      <c r="BC43" s="2075"/>
      <c r="BD43" s="2075"/>
      <c r="BE43" s="2075"/>
      <c r="BF43" s="2075"/>
      <c r="BG43" s="2075"/>
      <c r="BH43" s="2075"/>
      <c r="BI43" s="2075"/>
      <c r="BJ43" s="2075"/>
      <c r="BK43" s="2075"/>
      <c r="BL43" s="2075"/>
      <c r="BM43" s="2075"/>
      <c r="BN43" s="2075"/>
      <c r="BO43" s="2075"/>
      <c r="BP43" s="2075"/>
      <c r="BQ43" s="2075"/>
      <c r="BR43" s="2075"/>
      <c r="BS43" s="2075"/>
      <c r="BT43" s="2075"/>
      <c r="BU43" s="2075"/>
      <c r="BV43" s="2075"/>
      <c r="BW43" s="2075"/>
      <c r="BX43" s="2075"/>
      <c r="BY43" s="2075"/>
      <c r="BZ43" s="2075"/>
      <c r="CA43" s="2075"/>
      <c r="CB43" s="2075"/>
      <c r="CC43" s="2075"/>
      <c r="CD43" s="2075"/>
      <c r="CE43" s="2075"/>
      <c r="CF43" s="2075"/>
      <c r="CG43" s="2075"/>
      <c r="CH43" s="2075"/>
      <c r="CI43" s="2075"/>
      <c r="CJ43" s="2075"/>
      <c r="CK43" s="2075"/>
      <c r="CL43" s="2075"/>
      <c r="CM43" s="2075"/>
      <c r="CN43" s="2075"/>
      <c r="CO43" s="2075"/>
      <c r="CP43" s="2075"/>
      <c r="CQ43" s="2075"/>
      <c r="CR43" s="2075"/>
      <c r="CS43" s="2075"/>
      <c r="CT43" s="2075"/>
      <c r="CU43" s="2075"/>
      <c r="CV43" s="2075"/>
      <c r="CW43" s="2075"/>
      <c r="CX43" s="2075"/>
      <c r="CY43" s="2075"/>
      <c r="CZ43" s="2075"/>
      <c r="DA43" s="2075"/>
      <c r="DB43" s="2075"/>
      <c r="DC43" s="2075"/>
      <c r="DD43" s="2075"/>
      <c r="DE43" s="2075"/>
      <c r="DF43" s="2075"/>
      <c r="DG43" s="2075"/>
      <c r="DH43" s="2075"/>
      <c r="DI43" s="2075"/>
      <c r="DJ43" s="2075"/>
      <c r="DK43" s="2075"/>
      <c r="DL43" s="2075"/>
      <c r="DM43" s="2075"/>
      <c r="DN43" s="2075"/>
      <c r="DO43" s="2075"/>
      <c r="DP43" s="2075"/>
      <c r="DQ43" s="2075"/>
      <c r="DR43" s="2075"/>
      <c r="DS43" s="2075"/>
      <c r="DT43" s="2075"/>
      <c r="DU43" s="2075"/>
      <c r="DV43" s="2075"/>
      <c r="DW43" s="2075"/>
      <c r="DX43" s="2075"/>
      <c r="DY43" s="2075"/>
      <c r="DZ43" s="2075"/>
      <c r="EA43" s="2075"/>
      <c r="EB43" s="2075"/>
      <c r="EC43" s="2075"/>
      <c r="ED43" s="2075"/>
      <c r="EE43" s="2075"/>
      <c r="EF43" s="2075"/>
      <c r="EG43" s="2075"/>
      <c r="EH43" s="2075"/>
      <c r="EI43" s="2075"/>
      <c r="EJ43" s="2075"/>
      <c r="EK43" s="2075"/>
      <c r="EL43" s="2075"/>
      <c r="EM43" s="2075"/>
      <c r="EN43" s="2075"/>
      <c r="EO43" s="2075"/>
      <c r="EP43" s="2075"/>
      <c r="EQ43" s="2075"/>
      <c r="ER43" s="2075"/>
      <c r="ES43" s="2075"/>
      <c r="ET43" s="2075"/>
      <c r="EU43" s="2075"/>
      <c r="EV43" s="2075"/>
      <c r="EW43" s="2075"/>
      <c r="EX43" s="2075"/>
      <c r="EY43" s="2075"/>
      <c r="EZ43" s="2075"/>
      <c r="FA43" s="2075"/>
      <c r="FB43" s="2075"/>
      <c r="FC43" s="2075"/>
      <c r="FD43" s="2075"/>
      <c r="FE43" s="2075"/>
      <c r="FF43" s="2075"/>
      <c r="FG43" s="2075"/>
      <c r="FH43" s="2075"/>
      <c r="FI43" s="2075"/>
      <c r="FJ43" s="2075"/>
      <c r="FK43" s="2075"/>
      <c r="FL43" s="2075"/>
      <c r="FM43" s="2075"/>
      <c r="FN43" s="2075"/>
      <c r="FO43" s="2075"/>
      <c r="FP43" s="2075"/>
      <c r="FQ43" s="2075"/>
      <c r="FR43" s="2075"/>
      <c r="FS43" s="2075"/>
      <c r="FT43" s="2075"/>
      <c r="FU43" s="2075"/>
      <c r="FV43" s="2075"/>
      <c r="FW43" s="2075"/>
      <c r="FX43" s="2075"/>
      <c r="FY43" s="2075"/>
      <c r="FZ43" s="2075"/>
      <c r="GA43" s="2075"/>
      <c r="GB43" s="2075"/>
      <c r="GC43" s="2075"/>
      <c r="GD43" s="2075"/>
      <c r="GE43" s="2075"/>
      <c r="GF43" s="2075"/>
      <c r="GG43" s="2075"/>
      <c r="GH43" s="2075"/>
      <c r="GI43" s="2075"/>
      <c r="GJ43" s="2075"/>
      <c r="GK43" s="2075"/>
      <c r="GL43" s="2075"/>
      <c r="GM43" s="2075"/>
      <c r="GN43" s="2075"/>
      <c r="GO43" s="2075"/>
      <c r="GP43" s="2075"/>
      <c r="GQ43" s="2075"/>
      <c r="GR43" s="2075"/>
      <c r="GS43" s="2075"/>
      <c r="GT43" s="2075"/>
      <c r="GU43" s="2075"/>
      <c r="GV43" s="2075"/>
      <c r="GW43" s="2075"/>
      <c r="GX43" s="2075"/>
      <c r="GY43" s="2075"/>
      <c r="GZ43" s="2075"/>
      <c r="HA43" s="2075"/>
      <c r="HB43" s="2075"/>
      <c r="HC43" s="2075"/>
      <c r="HD43" s="2075"/>
      <c r="HE43" s="2075"/>
      <c r="HF43" s="2075"/>
      <c r="HG43" s="2075"/>
      <c r="HH43" s="2075"/>
      <c r="HI43" s="2075"/>
      <c r="HJ43" s="2075"/>
      <c r="HK43" s="2075"/>
      <c r="HL43" s="2075"/>
      <c r="HM43" s="2075"/>
      <c r="HN43" s="2075"/>
      <c r="HO43" s="2075"/>
      <c r="HP43" s="2075"/>
      <c r="IV43" s="252"/>
    </row>
    <row r="44" spans="1:256" s="231" customFormat="1" ht="15.75" thickBot="1" x14ac:dyDescent="0.3">
      <c r="A44" s="233" t="s">
        <v>534</v>
      </c>
      <c r="B44" s="252"/>
      <c r="C44" s="252"/>
      <c r="D44" s="254"/>
      <c r="E44" s="272"/>
      <c r="F44" s="272"/>
      <c r="G44" s="272"/>
      <c r="H44" s="2074"/>
      <c r="I44" s="2075"/>
      <c r="J44" s="2075"/>
      <c r="K44" s="2075"/>
      <c r="L44" s="2075"/>
      <c r="M44" s="2075"/>
      <c r="N44" s="2075"/>
      <c r="O44" s="2075"/>
      <c r="P44" s="2075"/>
      <c r="Q44" s="2075"/>
      <c r="R44" s="2075"/>
      <c r="S44" s="2075"/>
      <c r="T44" s="2075"/>
      <c r="U44" s="2075"/>
      <c r="V44" s="2075"/>
      <c r="W44" s="2075"/>
      <c r="X44" s="2075"/>
      <c r="Y44" s="2075"/>
      <c r="Z44" s="2075"/>
      <c r="AA44" s="2075"/>
      <c r="AB44" s="2075"/>
      <c r="AC44" s="2075"/>
      <c r="AD44" s="2075"/>
      <c r="AE44" s="2075"/>
      <c r="AF44" s="2075"/>
      <c r="AG44" s="2075"/>
      <c r="AH44" s="2075"/>
      <c r="AI44" s="2075"/>
      <c r="AJ44" s="2075"/>
      <c r="AK44" s="2075"/>
      <c r="AL44" s="2075"/>
      <c r="AM44" s="2075"/>
      <c r="AN44" s="2075"/>
      <c r="AO44" s="2075"/>
      <c r="AP44" s="2075"/>
      <c r="AQ44" s="2075"/>
      <c r="AR44" s="2075"/>
      <c r="AS44" s="2075"/>
      <c r="AT44" s="2075"/>
      <c r="AU44" s="2075"/>
      <c r="AV44" s="2075"/>
      <c r="AW44" s="2075"/>
      <c r="AX44" s="2075"/>
      <c r="AY44" s="2075"/>
      <c r="AZ44" s="2075"/>
      <c r="BA44" s="2075"/>
      <c r="BB44" s="2075"/>
      <c r="BC44" s="2075"/>
      <c r="BD44" s="2075"/>
      <c r="BE44" s="2075"/>
      <c r="BF44" s="2075"/>
      <c r="BG44" s="2075"/>
      <c r="BH44" s="2075"/>
      <c r="BI44" s="2075"/>
      <c r="BJ44" s="2075"/>
      <c r="BK44" s="2075"/>
      <c r="BL44" s="2075"/>
      <c r="BM44" s="2075"/>
      <c r="BN44" s="2075"/>
      <c r="BO44" s="2075"/>
      <c r="BP44" s="2075"/>
      <c r="BQ44" s="2075"/>
      <c r="BR44" s="2075"/>
      <c r="BS44" s="2075"/>
      <c r="BT44" s="2075"/>
      <c r="BU44" s="2075"/>
      <c r="BV44" s="2075"/>
      <c r="BW44" s="2075"/>
      <c r="BX44" s="2075"/>
      <c r="BY44" s="2075"/>
      <c r="BZ44" s="2075"/>
      <c r="CA44" s="2075"/>
      <c r="CB44" s="2075"/>
      <c r="CC44" s="2075"/>
      <c r="CD44" s="2075"/>
      <c r="CE44" s="2075"/>
      <c r="CF44" s="2075"/>
      <c r="CG44" s="2075"/>
      <c r="CH44" s="2075"/>
      <c r="CI44" s="2075"/>
      <c r="CJ44" s="2075"/>
      <c r="CK44" s="2075"/>
      <c r="CL44" s="2075"/>
      <c r="CM44" s="2075"/>
      <c r="CN44" s="2075"/>
      <c r="CO44" s="2075"/>
      <c r="CP44" s="2075"/>
      <c r="CQ44" s="2075"/>
      <c r="CR44" s="2075"/>
      <c r="CS44" s="2075"/>
      <c r="CT44" s="2075"/>
      <c r="CU44" s="2075"/>
      <c r="CV44" s="2075"/>
      <c r="CW44" s="2075"/>
      <c r="CX44" s="2075"/>
      <c r="CY44" s="2075"/>
      <c r="CZ44" s="2075"/>
      <c r="DA44" s="2075"/>
      <c r="DB44" s="2075"/>
      <c r="DC44" s="2075"/>
      <c r="DD44" s="2075"/>
      <c r="DE44" s="2075"/>
      <c r="DF44" s="2075"/>
      <c r="DG44" s="2075"/>
      <c r="DH44" s="2075"/>
      <c r="DI44" s="2075"/>
      <c r="DJ44" s="2075"/>
      <c r="DK44" s="2075"/>
      <c r="DL44" s="2075"/>
      <c r="DM44" s="2075"/>
      <c r="DN44" s="2075"/>
      <c r="DO44" s="2075"/>
      <c r="DP44" s="2075"/>
      <c r="DQ44" s="2075"/>
      <c r="DR44" s="2075"/>
      <c r="DS44" s="2075"/>
      <c r="DT44" s="2075"/>
      <c r="DU44" s="2075"/>
      <c r="DV44" s="2075"/>
      <c r="DW44" s="2075"/>
      <c r="DX44" s="2075"/>
      <c r="DY44" s="2075"/>
      <c r="DZ44" s="2075"/>
      <c r="EA44" s="2075"/>
      <c r="EB44" s="2075"/>
      <c r="EC44" s="2075"/>
      <c r="ED44" s="2075"/>
      <c r="EE44" s="2075"/>
      <c r="EF44" s="2075"/>
      <c r="EG44" s="2075"/>
      <c r="EH44" s="2075"/>
      <c r="EI44" s="2075"/>
      <c r="EJ44" s="2075"/>
      <c r="EK44" s="2075"/>
      <c r="EL44" s="2075"/>
      <c r="EM44" s="2075"/>
      <c r="EN44" s="2075"/>
      <c r="EO44" s="2075"/>
      <c r="EP44" s="2075"/>
      <c r="EQ44" s="2075"/>
      <c r="ER44" s="2075"/>
      <c r="ES44" s="2075"/>
      <c r="ET44" s="2075"/>
      <c r="EU44" s="2075"/>
      <c r="EV44" s="2075"/>
      <c r="EW44" s="2075"/>
      <c r="EX44" s="2075"/>
      <c r="EY44" s="2075"/>
      <c r="EZ44" s="2075"/>
      <c r="FA44" s="2075"/>
      <c r="FB44" s="2075"/>
      <c r="FC44" s="2075"/>
      <c r="FD44" s="2075"/>
      <c r="FE44" s="2075"/>
      <c r="FF44" s="2075"/>
      <c r="FG44" s="2075"/>
      <c r="FH44" s="2075"/>
      <c r="FI44" s="2075"/>
      <c r="FJ44" s="2075"/>
      <c r="FK44" s="2075"/>
      <c r="FL44" s="2075"/>
      <c r="FM44" s="2075"/>
      <c r="FN44" s="2075"/>
      <c r="FO44" s="2075"/>
      <c r="FP44" s="2075"/>
      <c r="FQ44" s="2075"/>
      <c r="FR44" s="2075"/>
      <c r="FS44" s="2075"/>
      <c r="FT44" s="2075"/>
      <c r="FU44" s="2075"/>
      <c r="FV44" s="2075"/>
      <c r="FW44" s="2075"/>
      <c r="FX44" s="2075"/>
      <c r="FY44" s="2075"/>
      <c r="FZ44" s="2075"/>
      <c r="GA44" s="2075"/>
      <c r="GB44" s="2075"/>
      <c r="GC44" s="2075"/>
      <c r="GD44" s="2075"/>
      <c r="GE44" s="2075"/>
      <c r="GF44" s="2075"/>
      <c r="GG44" s="2075"/>
      <c r="GH44" s="2075"/>
      <c r="GI44" s="2075"/>
      <c r="GJ44" s="2075"/>
      <c r="GK44" s="2075"/>
      <c r="GL44" s="2075"/>
      <c r="GM44" s="2075"/>
      <c r="GN44" s="2075"/>
      <c r="GO44" s="2075"/>
      <c r="GP44" s="2075"/>
      <c r="GQ44" s="2075"/>
      <c r="GR44" s="2075"/>
      <c r="GS44" s="2075"/>
      <c r="GT44" s="2075"/>
      <c r="GU44" s="2075"/>
      <c r="GV44" s="2075"/>
      <c r="GW44" s="2075"/>
      <c r="GX44" s="2075"/>
      <c r="GY44" s="2075"/>
      <c r="GZ44" s="2075"/>
      <c r="HA44" s="2075"/>
      <c r="HB44" s="2075"/>
      <c r="HC44" s="2075"/>
      <c r="HD44" s="2075"/>
      <c r="HE44" s="2075"/>
      <c r="HF44" s="2075"/>
      <c r="HG44" s="2075"/>
      <c r="HH44" s="2075"/>
      <c r="HI44" s="2075"/>
      <c r="HJ44" s="2075"/>
      <c r="HK44" s="2075"/>
      <c r="HL44" s="2075"/>
      <c r="HM44" s="2075"/>
      <c r="HN44" s="2075"/>
      <c r="HO44" s="2075"/>
      <c r="HP44" s="2075"/>
    </row>
    <row r="45" spans="1:256" s="231" customFormat="1" ht="15.75" thickBot="1" x14ac:dyDescent="0.3">
      <c r="A45" s="233" t="s">
        <v>535</v>
      </c>
      <c r="B45" s="252"/>
      <c r="C45" s="252"/>
      <c r="D45" s="253"/>
      <c r="E45" s="272"/>
      <c r="F45" s="271"/>
      <c r="G45" s="272"/>
      <c r="H45" s="2074"/>
      <c r="I45" s="2075"/>
      <c r="J45" s="2075"/>
      <c r="K45" s="2075"/>
      <c r="L45" s="2075"/>
      <c r="M45" s="2075"/>
      <c r="N45" s="2075"/>
      <c r="O45" s="2075"/>
      <c r="P45" s="2075"/>
      <c r="Q45" s="2075"/>
      <c r="R45" s="2075"/>
      <c r="S45" s="2075"/>
      <c r="T45" s="2075"/>
      <c r="U45" s="2075"/>
      <c r="V45" s="2075"/>
      <c r="W45" s="2075"/>
      <c r="X45" s="2075"/>
      <c r="Y45" s="2075"/>
      <c r="Z45" s="2075"/>
      <c r="AA45" s="2075"/>
      <c r="AB45" s="2075"/>
      <c r="AC45" s="2075"/>
      <c r="AD45" s="2075"/>
      <c r="AE45" s="2075"/>
      <c r="AF45" s="2075"/>
      <c r="AG45" s="2075"/>
      <c r="AH45" s="2075"/>
      <c r="AI45" s="2075"/>
      <c r="AJ45" s="2075"/>
      <c r="AK45" s="2075"/>
      <c r="AL45" s="2075"/>
      <c r="AM45" s="2075"/>
      <c r="AN45" s="2075"/>
      <c r="AO45" s="2075"/>
      <c r="AP45" s="2075"/>
      <c r="AQ45" s="2075"/>
      <c r="AR45" s="2075"/>
      <c r="AS45" s="2075"/>
      <c r="AT45" s="2075"/>
      <c r="AU45" s="2075"/>
      <c r="AV45" s="2075"/>
      <c r="AW45" s="2075"/>
      <c r="AX45" s="2075"/>
      <c r="AY45" s="2075"/>
      <c r="AZ45" s="2075"/>
      <c r="BA45" s="2075"/>
      <c r="BB45" s="2075"/>
      <c r="BC45" s="2075"/>
      <c r="BD45" s="2075"/>
      <c r="BE45" s="2075"/>
      <c r="BF45" s="2075"/>
      <c r="BG45" s="2075"/>
      <c r="BH45" s="2075"/>
      <c r="BI45" s="2075"/>
      <c r="BJ45" s="2075"/>
      <c r="BK45" s="2075"/>
      <c r="BL45" s="2075"/>
      <c r="BM45" s="2075"/>
      <c r="BN45" s="2075"/>
      <c r="BO45" s="2075"/>
      <c r="BP45" s="2075"/>
      <c r="BQ45" s="2075"/>
      <c r="BR45" s="2075"/>
      <c r="BS45" s="2075"/>
      <c r="BT45" s="2075"/>
      <c r="BU45" s="2075"/>
      <c r="BV45" s="2075"/>
      <c r="BW45" s="2075"/>
      <c r="BX45" s="2075"/>
      <c r="BY45" s="2075"/>
      <c r="BZ45" s="2075"/>
      <c r="CA45" s="2075"/>
      <c r="CB45" s="2075"/>
      <c r="CC45" s="2075"/>
      <c r="CD45" s="2075"/>
      <c r="CE45" s="2075"/>
      <c r="CF45" s="2075"/>
      <c r="CG45" s="2075"/>
      <c r="CH45" s="2075"/>
      <c r="CI45" s="2075"/>
      <c r="CJ45" s="2075"/>
      <c r="CK45" s="2075"/>
      <c r="CL45" s="2075"/>
      <c r="CM45" s="2075"/>
      <c r="CN45" s="2075"/>
      <c r="CO45" s="2075"/>
      <c r="CP45" s="2075"/>
      <c r="CQ45" s="2075"/>
      <c r="CR45" s="2075"/>
      <c r="CS45" s="2075"/>
      <c r="CT45" s="2075"/>
      <c r="CU45" s="2075"/>
      <c r="CV45" s="2075"/>
      <c r="CW45" s="2075"/>
      <c r="CX45" s="2075"/>
      <c r="CY45" s="2075"/>
      <c r="CZ45" s="2075"/>
      <c r="DA45" s="2075"/>
      <c r="DB45" s="2075"/>
      <c r="DC45" s="2075"/>
      <c r="DD45" s="2075"/>
      <c r="DE45" s="2075"/>
      <c r="DF45" s="2075"/>
      <c r="DG45" s="2075"/>
      <c r="DH45" s="2075"/>
      <c r="DI45" s="2075"/>
      <c r="DJ45" s="2075"/>
      <c r="DK45" s="2075"/>
      <c r="DL45" s="2075"/>
      <c r="DM45" s="2075"/>
      <c r="DN45" s="2075"/>
      <c r="DO45" s="2075"/>
      <c r="DP45" s="2075"/>
      <c r="DQ45" s="2075"/>
      <c r="DR45" s="2075"/>
      <c r="DS45" s="2075"/>
      <c r="DT45" s="2075"/>
      <c r="DU45" s="2075"/>
      <c r="DV45" s="2075"/>
      <c r="DW45" s="2075"/>
      <c r="DX45" s="2075"/>
      <c r="DY45" s="2075"/>
      <c r="DZ45" s="2075"/>
      <c r="EA45" s="2075"/>
      <c r="EB45" s="2075"/>
      <c r="EC45" s="2075"/>
      <c r="ED45" s="2075"/>
      <c r="EE45" s="2075"/>
      <c r="EF45" s="2075"/>
      <c r="EG45" s="2075"/>
      <c r="EH45" s="2075"/>
      <c r="EI45" s="2075"/>
      <c r="EJ45" s="2075"/>
      <c r="EK45" s="2075"/>
      <c r="EL45" s="2075"/>
      <c r="EM45" s="2075"/>
      <c r="EN45" s="2075"/>
      <c r="EO45" s="2075"/>
      <c r="EP45" s="2075"/>
      <c r="EQ45" s="2075"/>
      <c r="ER45" s="2075"/>
      <c r="ES45" s="2075"/>
      <c r="ET45" s="2075"/>
      <c r="EU45" s="2075"/>
      <c r="EV45" s="2075"/>
      <c r="EW45" s="2075"/>
      <c r="EX45" s="2075"/>
      <c r="EY45" s="2075"/>
      <c r="EZ45" s="2075"/>
      <c r="FA45" s="2075"/>
      <c r="FB45" s="2075"/>
      <c r="FC45" s="2075"/>
      <c r="FD45" s="2075"/>
      <c r="FE45" s="2075"/>
      <c r="FF45" s="2075"/>
      <c r="FG45" s="2075"/>
      <c r="FH45" s="2075"/>
      <c r="FI45" s="2075"/>
      <c r="FJ45" s="2075"/>
      <c r="FK45" s="2075"/>
      <c r="FL45" s="2075"/>
      <c r="FM45" s="2075"/>
      <c r="FN45" s="2075"/>
      <c r="FO45" s="2075"/>
      <c r="FP45" s="2075"/>
      <c r="FQ45" s="2075"/>
      <c r="FR45" s="2075"/>
      <c r="FS45" s="2075"/>
      <c r="FT45" s="2075"/>
      <c r="FU45" s="2075"/>
      <c r="FV45" s="2075"/>
      <c r="FW45" s="2075"/>
      <c r="FX45" s="2075"/>
      <c r="FY45" s="2075"/>
      <c r="FZ45" s="2075"/>
      <c r="GA45" s="2075"/>
      <c r="GB45" s="2075"/>
      <c r="GC45" s="2075"/>
      <c r="GD45" s="2075"/>
      <c r="GE45" s="2075"/>
      <c r="GF45" s="2075"/>
      <c r="GG45" s="2075"/>
      <c r="GH45" s="2075"/>
      <c r="GI45" s="2075"/>
      <c r="GJ45" s="2075"/>
      <c r="GK45" s="2075"/>
      <c r="GL45" s="2075"/>
      <c r="GM45" s="2075"/>
      <c r="GN45" s="2075"/>
      <c r="GO45" s="2075"/>
      <c r="GP45" s="2075"/>
      <c r="GQ45" s="2075"/>
      <c r="GR45" s="2075"/>
      <c r="GS45" s="2075"/>
      <c r="GT45" s="2075"/>
      <c r="GU45" s="2075"/>
      <c r="GV45" s="2075"/>
      <c r="GW45" s="2075"/>
      <c r="GX45" s="2075"/>
      <c r="GY45" s="2075"/>
      <c r="GZ45" s="2075"/>
      <c r="HA45" s="2075"/>
      <c r="HB45" s="2075"/>
      <c r="HC45" s="2075"/>
      <c r="HD45" s="2075"/>
      <c r="HE45" s="2075"/>
      <c r="HF45" s="2075"/>
      <c r="HG45" s="2075"/>
      <c r="HH45" s="2075"/>
      <c r="HI45" s="2075"/>
      <c r="HJ45" s="2075"/>
      <c r="HK45" s="2075"/>
      <c r="HL45" s="2075"/>
      <c r="HM45" s="2075"/>
      <c r="HN45" s="2075"/>
      <c r="HO45" s="2075"/>
      <c r="HP45" s="2075"/>
    </row>
    <row r="46" spans="1:256" x14ac:dyDescent="0.25">
      <c r="A46" s="255" t="s">
        <v>536</v>
      </c>
      <c r="B46" s="241"/>
      <c r="C46" s="241"/>
      <c r="D46" s="242"/>
      <c r="E46" s="274"/>
      <c r="F46" s="273"/>
      <c r="G46" s="274"/>
      <c r="H46" s="2074"/>
    </row>
    <row r="47" spans="1:256" x14ac:dyDescent="0.25">
      <c r="A47" s="255" t="s">
        <v>537</v>
      </c>
      <c r="B47" s="241"/>
      <c r="C47" s="241"/>
      <c r="D47" s="242"/>
      <c r="E47" s="241">
        <f>'Balances anuales'!B16</f>
        <v>0</v>
      </c>
      <c r="F47" s="242">
        <f>E47</f>
        <v>0</v>
      </c>
      <c r="G47" s="241">
        <f>F47</f>
        <v>0</v>
      </c>
      <c r="H47" s="2074" t="s">
        <v>695</v>
      </c>
    </row>
    <row r="48" spans="1:256" x14ac:dyDescent="0.25">
      <c r="A48" s="255" t="s">
        <v>538</v>
      </c>
      <c r="B48" s="241"/>
      <c r="C48" s="241"/>
      <c r="D48" s="242"/>
      <c r="E48" s="274"/>
      <c r="F48" s="273"/>
      <c r="G48" s="274"/>
      <c r="H48" s="2074"/>
    </row>
    <row r="49" spans="1:224" x14ac:dyDescent="0.25">
      <c r="A49" s="255" t="s">
        <v>539</v>
      </c>
      <c r="B49" s="241"/>
      <c r="C49" s="241"/>
      <c r="D49" s="243"/>
      <c r="E49" s="274"/>
      <c r="F49" s="274"/>
      <c r="G49" s="274"/>
      <c r="H49" s="2074"/>
    </row>
    <row r="50" spans="1:224" x14ac:dyDescent="0.25">
      <c r="A50" s="255" t="s">
        <v>540</v>
      </c>
      <c r="B50" s="241"/>
      <c r="C50" s="241"/>
      <c r="D50" s="242"/>
      <c r="E50" s="274"/>
      <c r="F50" s="273"/>
      <c r="G50" s="274"/>
      <c r="H50" s="2074"/>
    </row>
    <row r="51" spans="1:224" x14ac:dyDescent="0.25">
      <c r="A51" s="255" t="s">
        <v>514</v>
      </c>
      <c r="B51" s="241"/>
      <c r="C51" s="241"/>
      <c r="D51" s="242"/>
      <c r="E51" s="270"/>
      <c r="F51" s="269"/>
      <c r="G51" s="270"/>
      <c r="H51" s="2074"/>
    </row>
    <row r="52" spans="1:224" x14ac:dyDescent="0.25">
      <c r="A52" s="255" t="s">
        <v>515</v>
      </c>
      <c r="B52" s="241"/>
      <c r="C52" s="241"/>
      <c r="D52" s="242"/>
      <c r="E52" s="270"/>
      <c r="F52" s="269"/>
      <c r="G52" s="270"/>
      <c r="H52" s="2074"/>
    </row>
    <row r="53" spans="1:224" s="231" customFormat="1" ht="15.75" thickBot="1" x14ac:dyDescent="0.3">
      <c r="A53" s="248" t="s">
        <v>546</v>
      </c>
      <c r="B53" s="249">
        <f t="shared" ref="B53:G53" si="5">SUM(B46:B52)</f>
        <v>0</v>
      </c>
      <c r="C53" s="249">
        <f t="shared" si="5"/>
        <v>0</v>
      </c>
      <c r="D53" s="250">
        <f>SUM(D46:D52)</f>
        <v>0</v>
      </c>
      <c r="E53" s="249">
        <f t="shared" si="5"/>
        <v>0</v>
      </c>
      <c r="F53" s="250">
        <f t="shared" si="5"/>
        <v>0</v>
      </c>
      <c r="G53" s="249">
        <f t="shared" si="5"/>
        <v>0</v>
      </c>
      <c r="H53" s="2074"/>
      <c r="I53" s="2075"/>
      <c r="J53" s="2075"/>
      <c r="K53" s="2075"/>
      <c r="L53" s="2075"/>
      <c r="M53" s="2075"/>
      <c r="N53" s="2075"/>
      <c r="O53" s="2075"/>
      <c r="P53" s="2075"/>
      <c r="Q53" s="2075"/>
      <c r="R53" s="2075"/>
      <c r="S53" s="2075"/>
      <c r="T53" s="2075"/>
      <c r="U53" s="2075"/>
      <c r="V53" s="2075"/>
      <c r="W53" s="2075"/>
      <c r="X53" s="2075"/>
      <c r="Y53" s="2075"/>
      <c r="Z53" s="2075"/>
      <c r="AA53" s="2075"/>
      <c r="AB53" s="2075"/>
      <c r="AC53" s="2075"/>
      <c r="AD53" s="2075"/>
      <c r="AE53" s="2075"/>
      <c r="AF53" s="2075"/>
      <c r="AG53" s="2075"/>
      <c r="AH53" s="2075"/>
      <c r="AI53" s="2075"/>
      <c r="AJ53" s="2075"/>
      <c r="AK53" s="2075"/>
      <c r="AL53" s="2075"/>
      <c r="AM53" s="2075"/>
      <c r="AN53" s="2075"/>
      <c r="AO53" s="2075"/>
      <c r="AP53" s="2075"/>
      <c r="AQ53" s="2075"/>
      <c r="AR53" s="2075"/>
      <c r="AS53" s="2075"/>
      <c r="AT53" s="2075"/>
      <c r="AU53" s="2075"/>
      <c r="AV53" s="2075"/>
      <c r="AW53" s="2075"/>
      <c r="AX53" s="2075"/>
      <c r="AY53" s="2075"/>
      <c r="AZ53" s="2075"/>
      <c r="BA53" s="2075"/>
      <c r="BB53" s="2075"/>
      <c r="BC53" s="2075"/>
      <c r="BD53" s="2075"/>
      <c r="BE53" s="2075"/>
      <c r="BF53" s="2075"/>
      <c r="BG53" s="2075"/>
      <c r="BH53" s="2075"/>
      <c r="BI53" s="2075"/>
      <c r="BJ53" s="2075"/>
      <c r="BK53" s="2075"/>
      <c r="BL53" s="2075"/>
      <c r="BM53" s="2075"/>
      <c r="BN53" s="2075"/>
      <c r="BO53" s="2075"/>
      <c r="BP53" s="2075"/>
      <c r="BQ53" s="2075"/>
      <c r="BR53" s="2075"/>
      <c r="BS53" s="2075"/>
      <c r="BT53" s="2075"/>
      <c r="BU53" s="2075"/>
      <c r="BV53" s="2075"/>
      <c r="BW53" s="2075"/>
      <c r="BX53" s="2075"/>
      <c r="BY53" s="2075"/>
      <c r="BZ53" s="2075"/>
      <c r="CA53" s="2075"/>
      <c r="CB53" s="2075"/>
      <c r="CC53" s="2075"/>
      <c r="CD53" s="2075"/>
      <c r="CE53" s="2075"/>
      <c r="CF53" s="2075"/>
      <c r="CG53" s="2075"/>
      <c r="CH53" s="2075"/>
      <c r="CI53" s="2075"/>
      <c r="CJ53" s="2075"/>
      <c r="CK53" s="2075"/>
      <c r="CL53" s="2075"/>
      <c r="CM53" s="2075"/>
      <c r="CN53" s="2075"/>
      <c r="CO53" s="2075"/>
      <c r="CP53" s="2075"/>
      <c r="CQ53" s="2075"/>
      <c r="CR53" s="2075"/>
      <c r="CS53" s="2075"/>
      <c r="CT53" s="2075"/>
      <c r="CU53" s="2075"/>
      <c r="CV53" s="2075"/>
      <c r="CW53" s="2075"/>
      <c r="CX53" s="2075"/>
      <c r="CY53" s="2075"/>
      <c r="CZ53" s="2075"/>
      <c r="DA53" s="2075"/>
      <c r="DB53" s="2075"/>
      <c r="DC53" s="2075"/>
      <c r="DD53" s="2075"/>
      <c r="DE53" s="2075"/>
      <c r="DF53" s="2075"/>
      <c r="DG53" s="2075"/>
      <c r="DH53" s="2075"/>
      <c r="DI53" s="2075"/>
      <c r="DJ53" s="2075"/>
      <c r="DK53" s="2075"/>
      <c r="DL53" s="2075"/>
      <c r="DM53" s="2075"/>
      <c r="DN53" s="2075"/>
      <c r="DO53" s="2075"/>
      <c r="DP53" s="2075"/>
      <c r="DQ53" s="2075"/>
      <c r="DR53" s="2075"/>
      <c r="DS53" s="2075"/>
      <c r="DT53" s="2075"/>
      <c r="DU53" s="2075"/>
      <c r="DV53" s="2075"/>
      <c r="DW53" s="2075"/>
      <c r="DX53" s="2075"/>
      <c r="DY53" s="2075"/>
      <c r="DZ53" s="2075"/>
      <c r="EA53" s="2075"/>
      <c r="EB53" s="2075"/>
      <c r="EC53" s="2075"/>
      <c r="ED53" s="2075"/>
      <c r="EE53" s="2075"/>
      <c r="EF53" s="2075"/>
      <c r="EG53" s="2075"/>
      <c r="EH53" s="2075"/>
      <c r="EI53" s="2075"/>
      <c r="EJ53" s="2075"/>
      <c r="EK53" s="2075"/>
      <c r="EL53" s="2075"/>
      <c r="EM53" s="2075"/>
      <c r="EN53" s="2075"/>
      <c r="EO53" s="2075"/>
      <c r="EP53" s="2075"/>
      <c r="EQ53" s="2075"/>
      <c r="ER53" s="2075"/>
      <c r="ES53" s="2075"/>
      <c r="ET53" s="2075"/>
      <c r="EU53" s="2075"/>
      <c r="EV53" s="2075"/>
      <c r="EW53" s="2075"/>
      <c r="EX53" s="2075"/>
      <c r="EY53" s="2075"/>
      <c r="EZ53" s="2075"/>
      <c r="FA53" s="2075"/>
      <c r="FB53" s="2075"/>
      <c r="FC53" s="2075"/>
      <c r="FD53" s="2075"/>
      <c r="FE53" s="2075"/>
      <c r="FF53" s="2075"/>
      <c r="FG53" s="2075"/>
      <c r="FH53" s="2075"/>
      <c r="FI53" s="2075"/>
      <c r="FJ53" s="2075"/>
      <c r="FK53" s="2075"/>
      <c r="FL53" s="2075"/>
      <c r="FM53" s="2075"/>
      <c r="FN53" s="2075"/>
      <c r="FO53" s="2075"/>
      <c r="FP53" s="2075"/>
      <c r="FQ53" s="2075"/>
      <c r="FR53" s="2075"/>
      <c r="FS53" s="2075"/>
      <c r="FT53" s="2075"/>
      <c r="FU53" s="2075"/>
      <c r="FV53" s="2075"/>
      <c r="FW53" s="2075"/>
      <c r="FX53" s="2075"/>
      <c r="FY53" s="2075"/>
      <c r="FZ53" s="2075"/>
      <c r="GA53" s="2075"/>
      <c r="GB53" s="2075"/>
      <c r="GC53" s="2075"/>
      <c r="GD53" s="2075"/>
      <c r="GE53" s="2075"/>
      <c r="GF53" s="2075"/>
      <c r="GG53" s="2075"/>
      <c r="GH53" s="2075"/>
      <c r="GI53" s="2075"/>
      <c r="GJ53" s="2075"/>
      <c r="GK53" s="2075"/>
      <c r="GL53" s="2075"/>
      <c r="GM53" s="2075"/>
      <c r="GN53" s="2075"/>
      <c r="GO53" s="2075"/>
      <c r="GP53" s="2075"/>
      <c r="GQ53" s="2075"/>
      <c r="GR53" s="2075"/>
      <c r="GS53" s="2075"/>
      <c r="GT53" s="2075"/>
      <c r="GU53" s="2075"/>
      <c r="GV53" s="2075"/>
      <c r="GW53" s="2075"/>
      <c r="GX53" s="2075"/>
      <c r="GY53" s="2075"/>
      <c r="GZ53" s="2075"/>
      <c r="HA53" s="2075"/>
      <c r="HB53" s="2075"/>
      <c r="HC53" s="2075"/>
      <c r="HD53" s="2075"/>
      <c r="HE53" s="2075"/>
      <c r="HF53" s="2075"/>
      <c r="HG53" s="2075"/>
      <c r="HH53" s="2075"/>
      <c r="HI53" s="2075"/>
      <c r="HJ53" s="2075"/>
      <c r="HK53" s="2075"/>
      <c r="HL53" s="2075"/>
      <c r="HM53" s="2075"/>
      <c r="HN53" s="2075"/>
      <c r="HO53" s="2075"/>
      <c r="HP53" s="2075"/>
    </row>
    <row r="54" spans="1:224" x14ac:dyDescent="0.25">
      <c r="A54" s="256" t="s">
        <v>547</v>
      </c>
      <c r="B54" s="237"/>
      <c r="C54" s="237"/>
      <c r="D54" s="238"/>
      <c r="E54" s="237">
        <f>'Balances anuales'!B17</f>
        <v>0</v>
      </c>
      <c r="F54" s="238">
        <f>'Balances anuales'!D17</f>
        <v>0</v>
      </c>
      <c r="G54" s="237">
        <f>'Balances anuales'!F17</f>
        <v>0</v>
      </c>
      <c r="H54" s="2074" t="s">
        <v>695</v>
      </c>
    </row>
    <row r="55" spans="1:224" x14ac:dyDescent="0.25">
      <c r="A55" s="255" t="s">
        <v>548</v>
      </c>
      <c r="B55" s="241"/>
      <c r="C55" s="241"/>
      <c r="D55" s="242"/>
      <c r="E55" s="270"/>
      <c r="F55" s="269"/>
      <c r="G55" s="270"/>
      <c r="H55" s="2074"/>
    </row>
    <row r="56" spans="1:224" x14ac:dyDescent="0.25">
      <c r="A56" s="255" t="s">
        <v>549</v>
      </c>
      <c r="B56" s="241"/>
      <c r="C56" s="241"/>
      <c r="D56" s="242"/>
      <c r="E56" s="270"/>
      <c r="F56" s="269"/>
      <c r="G56" s="270"/>
      <c r="H56" s="2074"/>
    </row>
    <row r="57" spans="1:224" x14ac:dyDescent="0.25">
      <c r="A57" s="255" t="s">
        <v>550</v>
      </c>
      <c r="B57" s="241"/>
      <c r="C57" s="241"/>
      <c r="D57" s="243"/>
      <c r="E57" s="270"/>
      <c r="F57" s="270"/>
      <c r="G57" s="270"/>
      <c r="H57" s="2074"/>
    </row>
    <row r="58" spans="1:224" x14ac:dyDescent="0.25">
      <c r="A58" s="255" t="s">
        <v>551</v>
      </c>
      <c r="B58" s="241"/>
      <c r="C58" s="241"/>
      <c r="D58" s="242"/>
      <c r="E58" s="276"/>
      <c r="F58" s="267"/>
      <c r="G58" s="276"/>
      <c r="H58" s="2074"/>
    </row>
    <row r="59" spans="1:224" x14ac:dyDescent="0.25">
      <c r="A59" s="255" t="s">
        <v>552</v>
      </c>
      <c r="B59" s="241"/>
      <c r="C59" s="241"/>
      <c r="D59" s="242"/>
      <c r="E59" s="241">
        <f>SUM('Balances anuales'!B18:B20)</f>
        <v>0</v>
      </c>
      <c r="F59" s="242">
        <f>SUM('Balances anuales'!D18:D20)</f>
        <v>0</v>
      </c>
      <c r="G59" s="241">
        <f>SUM('Balances anuales'!F18:F20)</f>
        <v>0</v>
      </c>
      <c r="H59" s="2074" t="s">
        <v>695</v>
      </c>
    </row>
    <row r="60" spans="1:224" x14ac:dyDescent="0.25">
      <c r="A60" s="255" t="s">
        <v>515</v>
      </c>
      <c r="B60" s="241"/>
      <c r="C60" s="241"/>
      <c r="D60" s="242"/>
      <c r="E60" s="270"/>
      <c r="F60" s="269"/>
      <c r="G60" s="270"/>
      <c r="H60" s="2074"/>
    </row>
    <row r="61" spans="1:224" s="231" customFormat="1" ht="15.75" thickBot="1" x14ac:dyDescent="0.3">
      <c r="A61" s="244" t="s">
        <v>553</v>
      </c>
      <c r="B61" s="245">
        <f t="shared" ref="B61:G61" si="6">SUM(B54:B60)</f>
        <v>0</v>
      </c>
      <c r="C61" s="245">
        <f t="shared" si="6"/>
        <v>0</v>
      </c>
      <c r="D61" s="246">
        <f>SUM(D54:D60)</f>
        <v>0</v>
      </c>
      <c r="E61" s="245">
        <f t="shared" si="6"/>
        <v>0</v>
      </c>
      <c r="F61" s="246">
        <f t="shared" si="6"/>
        <v>0</v>
      </c>
      <c r="G61" s="245">
        <f t="shared" si="6"/>
        <v>0</v>
      </c>
      <c r="H61" s="2074"/>
      <c r="I61" s="2075"/>
      <c r="J61" s="2075"/>
      <c r="K61" s="2075"/>
      <c r="L61" s="2075"/>
      <c r="M61" s="2075"/>
      <c r="N61" s="2075"/>
      <c r="O61" s="2075"/>
      <c r="P61" s="2075"/>
      <c r="Q61" s="2075"/>
      <c r="R61" s="2075"/>
      <c r="S61" s="2075"/>
      <c r="T61" s="2075"/>
      <c r="U61" s="2075"/>
      <c r="V61" s="2075"/>
      <c r="W61" s="2075"/>
      <c r="X61" s="2075"/>
      <c r="Y61" s="2075"/>
      <c r="Z61" s="2075"/>
      <c r="AA61" s="2075"/>
      <c r="AB61" s="2075"/>
      <c r="AC61" s="2075"/>
      <c r="AD61" s="2075"/>
      <c r="AE61" s="2075"/>
      <c r="AF61" s="2075"/>
      <c r="AG61" s="2075"/>
      <c r="AH61" s="2075"/>
      <c r="AI61" s="2075"/>
      <c r="AJ61" s="2075"/>
      <c r="AK61" s="2075"/>
      <c r="AL61" s="2075"/>
      <c r="AM61" s="2075"/>
      <c r="AN61" s="2075"/>
      <c r="AO61" s="2075"/>
      <c r="AP61" s="2075"/>
      <c r="AQ61" s="2075"/>
      <c r="AR61" s="2075"/>
      <c r="AS61" s="2075"/>
      <c r="AT61" s="2075"/>
      <c r="AU61" s="2075"/>
      <c r="AV61" s="2075"/>
      <c r="AW61" s="2075"/>
      <c r="AX61" s="2075"/>
      <c r="AY61" s="2075"/>
      <c r="AZ61" s="2075"/>
      <c r="BA61" s="2075"/>
      <c r="BB61" s="2075"/>
      <c r="BC61" s="2075"/>
      <c r="BD61" s="2075"/>
      <c r="BE61" s="2075"/>
      <c r="BF61" s="2075"/>
      <c r="BG61" s="2075"/>
      <c r="BH61" s="2075"/>
      <c r="BI61" s="2075"/>
      <c r="BJ61" s="2075"/>
      <c r="BK61" s="2075"/>
      <c r="BL61" s="2075"/>
      <c r="BM61" s="2075"/>
      <c r="BN61" s="2075"/>
      <c r="BO61" s="2075"/>
      <c r="BP61" s="2075"/>
      <c r="BQ61" s="2075"/>
      <c r="BR61" s="2075"/>
      <c r="BS61" s="2075"/>
      <c r="BT61" s="2075"/>
      <c r="BU61" s="2075"/>
      <c r="BV61" s="2075"/>
      <c r="BW61" s="2075"/>
      <c r="BX61" s="2075"/>
      <c r="BY61" s="2075"/>
      <c r="BZ61" s="2075"/>
      <c r="CA61" s="2075"/>
      <c r="CB61" s="2075"/>
      <c r="CC61" s="2075"/>
      <c r="CD61" s="2075"/>
      <c r="CE61" s="2075"/>
      <c r="CF61" s="2075"/>
      <c r="CG61" s="2075"/>
      <c r="CH61" s="2075"/>
      <c r="CI61" s="2075"/>
      <c r="CJ61" s="2075"/>
      <c r="CK61" s="2075"/>
      <c r="CL61" s="2075"/>
      <c r="CM61" s="2075"/>
      <c r="CN61" s="2075"/>
      <c r="CO61" s="2075"/>
      <c r="CP61" s="2075"/>
      <c r="CQ61" s="2075"/>
      <c r="CR61" s="2075"/>
      <c r="CS61" s="2075"/>
      <c r="CT61" s="2075"/>
      <c r="CU61" s="2075"/>
      <c r="CV61" s="2075"/>
      <c r="CW61" s="2075"/>
      <c r="CX61" s="2075"/>
      <c r="CY61" s="2075"/>
      <c r="CZ61" s="2075"/>
      <c r="DA61" s="2075"/>
      <c r="DB61" s="2075"/>
      <c r="DC61" s="2075"/>
      <c r="DD61" s="2075"/>
      <c r="DE61" s="2075"/>
      <c r="DF61" s="2075"/>
      <c r="DG61" s="2075"/>
      <c r="DH61" s="2075"/>
      <c r="DI61" s="2075"/>
      <c r="DJ61" s="2075"/>
      <c r="DK61" s="2075"/>
      <c r="DL61" s="2075"/>
      <c r="DM61" s="2075"/>
      <c r="DN61" s="2075"/>
      <c r="DO61" s="2075"/>
      <c r="DP61" s="2075"/>
      <c r="DQ61" s="2075"/>
      <c r="DR61" s="2075"/>
      <c r="DS61" s="2075"/>
      <c r="DT61" s="2075"/>
      <c r="DU61" s="2075"/>
      <c r="DV61" s="2075"/>
      <c r="DW61" s="2075"/>
      <c r="DX61" s="2075"/>
      <c r="DY61" s="2075"/>
      <c r="DZ61" s="2075"/>
      <c r="EA61" s="2075"/>
      <c r="EB61" s="2075"/>
      <c r="EC61" s="2075"/>
      <c r="ED61" s="2075"/>
      <c r="EE61" s="2075"/>
      <c r="EF61" s="2075"/>
      <c r="EG61" s="2075"/>
      <c r="EH61" s="2075"/>
      <c r="EI61" s="2075"/>
      <c r="EJ61" s="2075"/>
      <c r="EK61" s="2075"/>
      <c r="EL61" s="2075"/>
      <c r="EM61" s="2075"/>
      <c r="EN61" s="2075"/>
      <c r="EO61" s="2075"/>
      <c r="EP61" s="2075"/>
      <c r="EQ61" s="2075"/>
      <c r="ER61" s="2075"/>
      <c r="ES61" s="2075"/>
      <c r="ET61" s="2075"/>
      <c r="EU61" s="2075"/>
      <c r="EV61" s="2075"/>
      <c r="EW61" s="2075"/>
      <c r="EX61" s="2075"/>
      <c r="EY61" s="2075"/>
      <c r="EZ61" s="2075"/>
      <c r="FA61" s="2075"/>
      <c r="FB61" s="2075"/>
      <c r="FC61" s="2075"/>
      <c r="FD61" s="2075"/>
      <c r="FE61" s="2075"/>
      <c r="FF61" s="2075"/>
      <c r="FG61" s="2075"/>
      <c r="FH61" s="2075"/>
      <c r="FI61" s="2075"/>
      <c r="FJ61" s="2075"/>
      <c r="FK61" s="2075"/>
      <c r="FL61" s="2075"/>
      <c r="FM61" s="2075"/>
      <c r="FN61" s="2075"/>
      <c r="FO61" s="2075"/>
      <c r="FP61" s="2075"/>
      <c r="FQ61" s="2075"/>
      <c r="FR61" s="2075"/>
      <c r="FS61" s="2075"/>
      <c r="FT61" s="2075"/>
      <c r="FU61" s="2075"/>
      <c r="FV61" s="2075"/>
      <c r="FW61" s="2075"/>
      <c r="FX61" s="2075"/>
      <c r="FY61" s="2075"/>
      <c r="FZ61" s="2075"/>
      <c r="GA61" s="2075"/>
      <c r="GB61" s="2075"/>
      <c r="GC61" s="2075"/>
      <c r="GD61" s="2075"/>
      <c r="GE61" s="2075"/>
      <c r="GF61" s="2075"/>
      <c r="GG61" s="2075"/>
      <c r="GH61" s="2075"/>
      <c r="GI61" s="2075"/>
      <c r="GJ61" s="2075"/>
      <c r="GK61" s="2075"/>
      <c r="GL61" s="2075"/>
      <c r="GM61" s="2075"/>
      <c r="GN61" s="2075"/>
      <c r="GO61" s="2075"/>
      <c r="GP61" s="2075"/>
      <c r="GQ61" s="2075"/>
      <c r="GR61" s="2075"/>
      <c r="GS61" s="2075"/>
      <c r="GT61" s="2075"/>
      <c r="GU61" s="2075"/>
      <c r="GV61" s="2075"/>
      <c r="GW61" s="2075"/>
      <c r="GX61" s="2075"/>
      <c r="GY61" s="2075"/>
      <c r="GZ61" s="2075"/>
      <c r="HA61" s="2075"/>
      <c r="HB61" s="2075"/>
      <c r="HC61" s="2075"/>
      <c r="HD61" s="2075"/>
      <c r="HE61" s="2075"/>
      <c r="HF61" s="2075"/>
      <c r="HG61" s="2075"/>
      <c r="HH61" s="2075"/>
      <c r="HI61" s="2075"/>
      <c r="HJ61" s="2075"/>
      <c r="HK61" s="2075"/>
      <c r="HL61" s="2075"/>
      <c r="HM61" s="2075"/>
      <c r="HN61" s="2075"/>
      <c r="HO61" s="2075"/>
      <c r="HP61" s="2075"/>
    </row>
    <row r="62" spans="1:224" x14ac:dyDescent="0.25">
      <c r="A62" s="255" t="s">
        <v>523</v>
      </c>
      <c r="B62" s="241"/>
      <c r="C62" s="241"/>
      <c r="D62" s="242"/>
      <c r="E62" s="270"/>
      <c r="F62" s="269"/>
      <c r="G62" s="270"/>
      <c r="H62" s="2074"/>
    </row>
    <row r="63" spans="1:224" x14ac:dyDescent="0.25">
      <c r="A63" s="255" t="s">
        <v>524</v>
      </c>
      <c r="B63" s="241"/>
      <c r="C63" s="241"/>
      <c r="D63" s="242"/>
      <c r="E63" s="270"/>
      <c r="F63" s="269"/>
      <c r="G63" s="270"/>
      <c r="H63" s="2074"/>
    </row>
    <row r="64" spans="1:224" x14ac:dyDescent="0.25">
      <c r="A64" s="255" t="s">
        <v>525</v>
      </c>
      <c r="B64" s="241"/>
      <c r="C64" s="241"/>
      <c r="D64" s="243"/>
      <c r="E64" s="270"/>
      <c r="F64" s="270"/>
      <c r="G64" s="270"/>
      <c r="H64" s="2074"/>
    </row>
    <row r="65" spans="1:224" x14ac:dyDescent="0.25">
      <c r="A65" s="255" t="s">
        <v>526</v>
      </c>
      <c r="B65" s="241"/>
      <c r="C65" s="241"/>
      <c r="D65" s="242"/>
      <c r="E65" s="270"/>
      <c r="F65" s="269"/>
      <c r="G65" s="270"/>
      <c r="H65" s="2074"/>
    </row>
    <row r="66" spans="1:224" x14ac:dyDescent="0.25">
      <c r="A66" s="255" t="s">
        <v>554</v>
      </c>
      <c r="B66" s="241"/>
      <c r="C66" s="241"/>
      <c r="D66" s="242"/>
      <c r="E66" s="270"/>
      <c r="F66" s="269"/>
      <c r="G66" s="270"/>
      <c r="H66" s="2074"/>
    </row>
    <row r="67" spans="1:224" x14ac:dyDescent="0.25">
      <c r="A67" s="255" t="s">
        <v>528</v>
      </c>
      <c r="B67" s="241"/>
      <c r="C67" s="241"/>
      <c r="D67" s="242"/>
      <c r="E67" s="270"/>
      <c r="F67" s="269"/>
      <c r="G67" s="270"/>
      <c r="H67" s="2074"/>
    </row>
    <row r="68" spans="1:224" x14ac:dyDescent="0.25">
      <c r="A68" s="255" t="s">
        <v>555</v>
      </c>
      <c r="B68" s="241"/>
      <c r="C68" s="241"/>
      <c r="D68" s="242"/>
      <c r="E68" s="241">
        <f>'Balances anuales'!B15</f>
        <v>0</v>
      </c>
      <c r="F68" s="242">
        <f>E68</f>
        <v>0</v>
      </c>
      <c r="G68" s="241">
        <f>F68</f>
        <v>0</v>
      </c>
      <c r="H68" s="2074" t="s">
        <v>695</v>
      </c>
    </row>
    <row r="69" spans="1:224" x14ac:dyDescent="0.25">
      <c r="A69" s="255" t="s">
        <v>515</v>
      </c>
      <c r="B69" s="241"/>
      <c r="C69" s="241"/>
      <c r="D69" s="242"/>
      <c r="E69" s="270"/>
      <c r="F69" s="269"/>
      <c r="G69" s="270"/>
      <c r="H69" s="2074"/>
    </row>
    <row r="70" spans="1:224" s="231" customFormat="1" ht="15.75" thickBot="1" x14ac:dyDescent="0.3">
      <c r="A70" s="248" t="s">
        <v>556</v>
      </c>
      <c r="B70" s="249">
        <f t="shared" ref="B70:G70" si="7">SUM(B62:B69)</f>
        <v>0</v>
      </c>
      <c r="C70" s="249">
        <f t="shared" si="7"/>
        <v>0</v>
      </c>
      <c r="D70" s="250">
        <f>SUM(D62:D69)</f>
        <v>0</v>
      </c>
      <c r="E70" s="249">
        <f t="shared" si="7"/>
        <v>0</v>
      </c>
      <c r="F70" s="250">
        <f t="shared" si="7"/>
        <v>0</v>
      </c>
      <c r="G70" s="249">
        <f t="shared" si="7"/>
        <v>0</v>
      </c>
      <c r="H70" s="2074"/>
      <c r="I70" s="2075"/>
      <c r="J70" s="2075"/>
      <c r="K70" s="2075"/>
      <c r="L70" s="2075"/>
      <c r="M70" s="2075"/>
      <c r="N70" s="2075"/>
      <c r="O70" s="2075"/>
      <c r="P70" s="2075"/>
      <c r="Q70" s="2075"/>
      <c r="R70" s="2075"/>
      <c r="S70" s="2075"/>
      <c r="T70" s="2075"/>
      <c r="U70" s="2075"/>
      <c r="V70" s="2075"/>
      <c r="W70" s="2075"/>
      <c r="X70" s="2075"/>
      <c r="Y70" s="2075"/>
      <c r="Z70" s="2075"/>
      <c r="AA70" s="2075"/>
      <c r="AB70" s="2075"/>
      <c r="AC70" s="2075"/>
      <c r="AD70" s="2075"/>
      <c r="AE70" s="2075"/>
      <c r="AF70" s="2075"/>
      <c r="AG70" s="2075"/>
      <c r="AH70" s="2075"/>
      <c r="AI70" s="2075"/>
      <c r="AJ70" s="2075"/>
      <c r="AK70" s="2075"/>
      <c r="AL70" s="2075"/>
      <c r="AM70" s="2075"/>
      <c r="AN70" s="2075"/>
      <c r="AO70" s="2075"/>
      <c r="AP70" s="2075"/>
      <c r="AQ70" s="2075"/>
      <c r="AR70" s="2075"/>
      <c r="AS70" s="2075"/>
      <c r="AT70" s="2075"/>
      <c r="AU70" s="2075"/>
      <c r="AV70" s="2075"/>
      <c r="AW70" s="2075"/>
      <c r="AX70" s="2075"/>
      <c r="AY70" s="2075"/>
      <c r="AZ70" s="2075"/>
      <c r="BA70" s="2075"/>
      <c r="BB70" s="2075"/>
      <c r="BC70" s="2075"/>
      <c r="BD70" s="2075"/>
      <c r="BE70" s="2075"/>
      <c r="BF70" s="2075"/>
      <c r="BG70" s="2075"/>
      <c r="BH70" s="2075"/>
      <c r="BI70" s="2075"/>
      <c r="BJ70" s="2075"/>
      <c r="BK70" s="2075"/>
      <c r="BL70" s="2075"/>
      <c r="BM70" s="2075"/>
      <c r="BN70" s="2075"/>
      <c r="BO70" s="2075"/>
      <c r="BP70" s="2075"/>
      <c r="BQ70" s="2075"/>
      <c r="BR70" s="2075"/>
      <c r="BS70" s="2075"/>
      <c r="BT70" s="2075"/>
      <c r="BU70" s="2075"/>
      <c r="BV70" s="2075"/>
      <c r="BW70" s="2075"/>
      <c r="BX70" s="2075"/>
      <c r="BY70" s="2075"/>
      <c r="BZ70" s="2075"/>
      <c r="CA70" s="2075"/>
      <c r="CB70" s="2075"/>
      <c r="CC70" s="2075"/>
      <c r="CD70" s="2075"/>
      <c r="CE70" s="2075"/>
      <c r="CF70" s="2075"/>
      <c r="CG70" s="2075"/>
      <c r="CH70" s="2075"/>
      <c r="CI70" s="2075"/>
      <c r="CJ70" s="2075"/>
      <c r="CK70" s="2075"/>
      <c r="CL70" s="2075"/>
      <c r="CM70" s="2075"/>
      <c r="CN70" s="2075"/>
      <c r="CO70" s="2075"/>
      <c r="CP70" s="2075"/>
      <c r="CQ70" s="2075"/>
      <c r="CR70" s="2075"/>
      <c r="CS70" s="2075"/>
      <c r="CT70" s="2075"/>
      <c r="CU70" s="2075"/>
      <c r="CV70" s="2075"/>
      <c r="CW70" s="2075"/>
      <c r="CX70" s="2075"/>
      <c r="CY70" s="2075"/>
      <c r="CZ70" s="2075"/>
      <c r="DA70" s="2075"/>
      <c r="DB70" s="2075"/>
      <c r="DC70" s="2075"/>
      <c r="DD70" s="2075"/>
      <c r="DE70" s="2075"/>
      <c r="DF70" s="2075"/>
      <c r="DG70" s="2075"/>
      <c r="DH70" s="2075"/>
      <c r="DI70" s="2075"/>
      <c r="DJ70" s="2075"/>
      <c r="DK70" s="2075"/>
      <c r="DL70" s="2075"/>
      <c r="DM70" s="2075"/>
      <c r="DN70" s="2075"/>
      <c r="DO70" s="2075"/>
      <c r="DP70" s="2075"/>
      <c r="DQ70" s="2075"/>
      <c r="DR70" s="2075"/>
      <c r="DS70" s="2075"/>
      <c r="DT70" s="2075"/>
      <c r="DU70" s="2075"/>
      <c r="DV70" s="2075"/>
      <c r="DW70" s="2075"/>
      <c r="DX70" s="2075"/>
      <c r="DY70" s="2075"/>
      <c r="DZ70" s="2075"/>
      <c r="EA70" s="2075"/>
      <c r="EB70" s="2075"/>
      <c r="EC70" s="2075"/>
      <c r="ED70" s="2075"/>
      <c r="EE70" s="2075"/>
      <c r="EF70" s="2075"/>
      <c r="EG70" s="2075"/>
      <c r="EH70" s="2075"/>
      <c r="EI70" s="2075"/>
      <c r="EJ70" s="2075"/>
      <c r="EK70" s="2075"/>
      <c r="EL70" s="2075"/>
      <c r="EM70" s="2075"/>
      <c r="EN70" s="2075"/>
      <c r="EO70" s="2075"/>
      <c r="EP70" s="2075"/>
      <c r="EQ70" s="2075"/>
      <c r="ER70" s="2075"/>
      <c r="ES70" s="2075"/>
      <c r="ET70" s="2075"/>
      <c r="EU70" s="2075"/>
      <c r="EV70" s="2075"/>
      <c r="EW70" s="2075"/>
      <c r="EX70" s="2075"/>
      <c r="EY70" s="2075"/>
      <c r="EZ70" s="2075"/>
      <c r="FA70" s="2075"/>
      <c r="FB70" s="2075"/>
      <c r="FC70" s="2075"/>
      <c r="FD70" s="2075"/>
      <c r="FE70" s="2075"/>
      <c r="FF70" s="2075"/>
      <c r="FG70" s="2075"/>
      <c r="FH70" s="2075"/>
      <c r="FI70" s="2075"/>
      <c r="FJ70" s="2075"/>
      <c r="FK70" s="2075"/>
      <c r="FL70" s="2075"/>
      <c r="FM70" s="2075"/>
      <c r="FN70" s="2075"/>
      <c r="FO70" s="2075"/>
      <c r="FP70" s="2075"/>
      <c r="FQ70" s="2075"/>
      <c r="FR70" s="2075"/>
      <c r="FS70" s="2075"/>
      <c r="FT70" s="2075"/>
      <c r="FU70" s="2075"/>
      <c r="FV70" s="2075"/>
      <c r="FW70" s="2075"/>
      <c r="FX70" s="2075"/>
      <c r="FY70" s="2075"/>
      <c r="FZ70" s="2075"/>
      <c r="GA70" s="2075"/>
      <c r="GB70" s="2075"/>
      <c r="GC70" s="2075"/>
      <c r="GD70" s="2075"/>
      <c r="GE70" s="2075"/>
      <c r="GF70" s="2075"/>
      <c r="GG70" s="2075"/>
      <c r="GH70" s="2075"/>
      <c r="GI70" s="2075"/>
      <c r="GJ70" s="2075"/>
      <c r="GK70" s="2075"/>
      <c r="GL70" s="2075"/>
      <c r="GM70" s="2075"/>
      <c r="GN70" s="2075"/>
      <c r="GO70" s="2075"/>
      <c r="GP70" s="2075"/>
      <c r="GQ70" s="2075"/>
      <c r="GR70" s="2075"/>
      <c r="GS70" s="2075"/>
      <c r="GT70" s="2075"/>
      <c r="GU70" s="2075"/>
      <c r="GV70" s="2075"/>
      <c r="GW70" s="2075"/>
      <c r="GX70" s="2075"/>
      <c r="GY70" s="2075"/>
      <c r="GZ70" s="2075"/>
      <c r="HA70" s="2075"/>
      <c r="HB70" s="2075"/>
      <c r="HC70" s="2075"/>
      <c r="HD70" s="2075"/>
      <c r="HE70" s="2075"/>
      <c r="HF70" s="2075"/>
      <c r="HG70" s="2075"/>
      <c r="HH70" s="2075"/>
      <c r="HI70" s="2075"/>
      <c r="HJ70" s="2075"/>
      <c r="HK70" s="2075"/>
      <c r="HL70" s="2075"/>
      <c r="HM70" s="2075"/>
      <c r="HN70" s="2075"/>
      <c r="HO70" s="2075"/>
      <c r="HP70" s="2075"/>
    </row>
    <row r="71" spans="1:224" s="231" customFormat="1" ht="15.75" thickBot="1" x14ac:dyDescent="0.3">
      <c r="A71" s="233" t="s">
        <v>557</v>
      </c>
      <c r="B71" s="252"/>
      <c r="C71" s="252"/>
      <c r="D71" s="253"/>
      <c r="E71" s="272"/>
      <c r="F71" s="271"/>
      <c r="G71" s="272"/>
      <c r="H71" s="2074"/>
      <c r="I71" s="2075"/>
      <c r="J71" s="2075"/>
      <c r="K71" s="2075"/>
      <c r="L71" s="2075"/>
      <c r="M71" s="2075"/>
      <c r="N71" s="2075"/>
      <c r="O71" s="2075"/>
      <c r="P71" s="2075"/>
      <c r="Q71" s="2075"/>
      <c r="R71" s="2075"/>
      <c r="S71" s="2075"/>
      <c r="T71" s="2075"/>
      <c r="U71" s="2075"/>
      <c r="V71" s="2075"/>
      <c r="W71" s="2075"/>
      <c r="X71" s="2075"/>
      <c r="Y71" s="2075"/>
      <c r="Z71" s="2075"/>
      <c r="AA71" s="2075"/>
      <c r="AB71" s="2075"/>
      <c r="AC71" s="2075"/>
      <c r="AD71" s="2075"/>
      <c r="AE71" s="2075"/>
      <c r="AF71" s="2075"/>
      <c r="AG71" s="2075"/>
      <c r="AH71" s="2075"/>
      <c r="AI71" s="2075"/>
      <c r="AJ71" s="2075"/>
      <c r="AK71" s="2075"/>
      <c r="AL71" s="2075"/>
      <c r="AM71" s="2075"/>
      <c r="AN71" s="2075"/>
      <c r="AO71" s="2075"/>
      <c r="AP71" s="2075"/>
      <c r="AQ71" s="2075"/>
      <c r="AR71" s="2075"/>
      <c r="AS71" s="2075"/>
      <c r="AT71" s="2075"/>
      <c r="AU71" s="2075"/>
      <c r="AV71" s="2075"/>
      <c r="AW71" s="2075"/>
      <c r="AX71" s="2075"/>
      <c r="AY71" s="2075"/>
      <c r="AZ71" s="2075"/>
      <c r="BA71" s="2075"/>
      <c r="BB71" s="2075"/>
      <c r="BC71" s="2075"/>
      <c r="BD71" s="2075"/>
      <c r="BE71" s="2075"/>
      <c r="BF71" s="2075"/>
      <c r="BG71" s="2075"/>
      <c r="BH71" s="2075"/>
      <c r="BI71" s="2075"/>
      <c r="BJ71" s="2075"/>
      <c r="BK71" s="2075"/>
      <c r="BL71" s="2075"/>
      <c r="BM71" s="2075"/>
      <c r="BN71" s="2075"/>
      <c r="BO71" s="2075"/>
      <c r="BP71" s="2075"/>
      <c r="BQ71" s="2075"/>
      <c r="BR71" s="2075"/>
      <c r="BS71" s="2075"/>
      <c r="BT71" s="2075"/>
      <c r="BU71" s="2075"/>
      <c r="BV71" s="2075"/>
      <c r="BW71" s="2075"/>
      <c r="BX71" s="2075"/>
      <c r="BY71" s="2075"/>
      <c r="BZ71" s="2075"/>
      <c r="CA71" s="2075"/>
      <c r="CB71" s="2075"/>
      <c r="CC71" s="2075"/>
      <c r="CD71" s="2075"/>
      <c r="CE71" s="2075"/>
      <c r="CF71" s="2075"/>
      <c r="CG71" s="2075"/>
      <c r="CH71" s="2075"/>
      <c r="CI71" s="2075"/>
      <c r="CJ71" s="2075"/>
      <c r="CK71" s="2075"/>
      <c r="CL71" s="2075"/>
      <c r="CM71" s="2075"/>
      <c r="CN71" s="2075"/>
      <c r="CO71" s="2075"/>
      <c r="CP71" s="2075"/>
      <c r="CQ71" s="2075"/>
      <c r="CR71" s="2075"/>
      <c r="CS71" s="2075"/>
      <c r="CT71" s="2075"/>
      <c r="CU71" s="2075"/>
      <c r="CV71" s="2075"/>
      <c r="CW71" s="2075"/>
      <c r="CX71" s="2075"/>
      <c r="CY71" s="2075"/>
      <c r="CZ71" s="2075"/>
      <c r="DA71" s="2075"/>
      <c r="DB71" s="2075"/>
      <c r="DC71" s="2075"/>
      <c r="DD71" s="2075"/>
      <c r="DE71" s="2075"/>
      <c r="DF71" s="2075"/>
      <c r="DG71" s="2075"/>
      <c r="DH71" s="2075"/>
      <c r="DI71" s="2075"/>
      <c r="DJ71" s="2075"/>
      <c r="DK71" s="2075"/>
      <c r="DL71" s="2075"/>
      <c r="DM71" s="2075"/>
      <c r="DN71" s="2075"/>
      <c r="DO71" s="2075"/>
      <c r="DP71" s="2075"/>
      <c r="DQ71" s="2075"/>
      <c r="DR71" s="2075"/>
      <c r="DS71" s="2075"/>
      <c r="DT71" s="2075"/>
      <c r="DU71" s="2075"/>
      <c r="DV71" s="2075"/>
      <c r="DW71" s="2075"/>
      <c r="DX71" s="2075"/>
      <c r="DY71" s="2075"/>
      <c r="DZ71" s="2075"/>
      <c r="EA71" s="2075"/>
      <c r="EB71" s="2075"/>
      <c r="EC71" s="2075"/>
      <c r="ED71" s="2075"/>
      <c r="EE71" s="2075"/>
      <c r="EF71" s="2075"/>
      <c r="EG71" s="2075"/>
      <c r="EH71" s="2075"/>
      <c r="EI71" s="2075"/>
      <c r="EJ71" s="2075"/>
      <c r="EK71" s="2075"/>
      <c r="EL71" s="2075"/>
      <c r="EM71" s="2075"/>
      <c r="EN71" s="2075"/>
      <c r="EO71" s="2075"/>
      <c r="EP71" s="2075"/>
      <c r="EQ71" s="2075"/>
      <c r="ER71" s="2075"/>
      <c r="ES71" s="2075"/>
      <c r="ET71" s="2075"/>
      <c r="EU71" s="2075"/>
      <c r="EV71" s="2075"/>
      <c r="EW71" s="2075"/>
      <c r="EX71" s="2075"/>
      <c r="EY71" s="2075"/>
      <c r="EZ71" s="2075"/>
      <c r="FA71" s="2075"/>
      <c r="FB71" s="2075"/>
      <c r="FC71" s="2075"/>
      <c r="FD71" s="2075"/>
      <c r="FE71" s="2075"/>
      <c r="FF71" s="2075"/>
      <c r="FG71" s="2075"/>
      <c r="FH71" s="2075"/>
      <c r="FI71" s="2075"/>
      <c r="FJ71" s="2075"/>
      <c r="FK71" s="2075"/>
      <c r="FL71" s="2075"/>
      <c r="FM71" s="2075"/>
      <c r="FN71" s="2075"/>
      <c r="FO71" s="2075"/>
      <c r="FP71" s="2075"/>
      <c r="FQ71" s="2075"/>
      <c r="FR71" s="2075"/>
      <c r="FS71" s="2075"/>
      <c r="FT71" s="2075"/>
      <c r="FU71" s="2075"/>
      <c r="FV71" s="2075"/>
      <c r="FW71" s="2075"/>
      <c r="FX71" s="2075"/>
      <c r="FY71" s="2075"/>
      <c r="FZ71" s="2075"/>
      <c r="GA71" s="2075"/>
      <c r="GB71" s="2075"/>
      <c r="GC71" s="2075"/>
      <c r="GD71" s="2075"/>
      <c r="GE71" s="2075"/>
      <c r="GF71" s="2075"/>
      <c r="GG71" s="2075"/>
      <c r="GH71" s="2075"/>
      <c r="GI71" s="2075"/>
      <c r="GJ71" s="2075"/>
      <c r="GK71" s="2075"/>
      <c r="GL71" s="2075"/>
      <c r="GM71" s="2075"/>
      <c r="GN71" s="2075"/>
      <c r="GO71" s="2075"/>
      <c r="GP71" s="2075"/>
      <c r="GQ71" s="2075"/>
      <c r="GR71" s="2075"/>
      <c r="GS71" s="2075"/>
      <c r="GT71" s="2075"/>
      <c r="GU71" s="2075"/>
      <c r="GV71" s="2075"/>
      <c r="GW71" s="2075"/>
      <c r="GX71" s="2075"/>
      <c r="GY71" s="2075"/>
      <c r="GZ71" s="2075"/>
      <c r="HA71" s="2075"/>
      <c r="HB71" s="2075"/>
      <c r="HC71" s="2075"/>
      <c r="HD71" s="2075"/>
      <c r="HE71" s="2075"/>
      <c r="HF71" s="2075"/>
      <c r="HG71" s="2075"/>
      <c r="HH71" s="2075"/>
      <c r="HI71" s="2075"/>
      <c r="HJ71" s="2075"/>
      <c r="HK71" s="2075"/>
      <c r="HL71" s="2075"/>
      <c r="HM71" s="2075"/>
      <c r="HN71" s="2075"/>
      <c r="HO71" s="2075"/>
      <c r="HP71" s="2075"/>
    </row>
    <row r="72" spans="1:224" s="231" customFormat="1" ht="15.75" thickBot="1" x14ac:dyDescent="0.3">
      <c r="A72" s="248" t="s">
        <v>558</v>
      </c>
      <c r="B72" s="257"/>
      <c r="C72" s="257"/>
      <c r="D72" s="259"/>
      <c r="E72" s="257">
        <f>'Balances anuales'!B21</f>
        <v>0</v>
      </c>
      <c r="F72" s="257">
        <f>'Balances anuales'!D21</f>
        <v>2000</v>
      </c>
      <c r="G72" s="257">
        <f>'Balances anuales'!F21</f>
        <v>2000</v>
      </c>
      <c r="H72" s="2074" t="s">
        <v>695</v>
      </c>
      <c r="I72" s="2075"/>
      <c r="J72" s="2075"/>
      <c r="K72" s="2075"/>
      <c r="L72" s="2075"/>
      <c r="M72" s="2075"/>
      <c r="N72" s="2075"/>
      <c r="O72" s="2075"/>
      <c r="P72" s="2075"/>
      <c r="Q72" s="2075"/>
      <c r="R72" s="2075"/>
      <c r="S72" s="2075"/>
      <c r="T72" s="2075"/>
      <c r="U72" s="2075"/>
      <c r="V72" s="2075"/>
      <c r="W72" s="2075"/>
      <c r="X72" s="2075"/>
      <c r="Y72" s="2075"/>
      <c r="Z72" s="2075"/>
      <c r="AA72" s="2075"/>
      <c r="AB72" s="2075"/>
      <c r="AC72" s="2075"/>
      <c r="AD72" s="2075"/>
      <c r="AE72" s="2075"/>
      <c r="AF72" s="2075"/>
      <c r="AG72" s="2075"/>
      <c r="AH72" s="2075"/>
      <c r="AI72" s="2075"/>
      <c r="AJ72" s="2075"/>
      <c r="AK72" s="2075"/>
      <c r="AL72" s="2075"/>
      <c r="AM72" s="2075"/>
      <c r="AN72" s="2075"/>
      <c r="AO72" s="2075"/>
      <c r="AP72" s="2075"/>
      <c r="AQ72" s="2075"/>
      <c r="AR72" s="2075"/>
      <c r="AS72" s="2075"/>
      <c r="AT72" s="2075"/>
      <c r="AU72" s="2075"/>
      <c r="AV72" s="2075"/>
      <c r="AW72" s="2075"/>
      <c r="AX72" s="2075"/>
      <c r="AY72" s="2075"/>
      <c r="AZ72" s="2075"/>
      <c r="BA72" s="2075"/>
      <c r="BB72" s="2075"/>
      <c r="BC72" s="2075"/>
      <c r="BD72" s="2075"/>
      <c r="BE72" s="2075"/>
      <c r="BF72" s="2075"/>
      <c r="BG72" s="2075"/>
      <c r="BH72" s="2075"/>
      <c r="BI72" s="2075"/>
      <c r="BJ72" s="2075"/>
      <c r="BK72" s="2075"/>
      <c r="BL72" s="2075"/>
      <c r="BM72" s="2075"/>
      <c r="BN72" s="2075"/>
      <c r="BO72" s="2075"/>
      <c r="BP72" s="2075"/>
      <c r="BQ72" s="2075"/>
      <c r="BR72" s="2075"/>
      <c r="BS72" s="2075"/>
      <c r="BT72" s="2075"/>
      <c r="BU72" s="2075"/>
      <c r="BV72" s="2075"/>
      <c r="BW72" s="2075"/>
      <c r="BX72" s="2075"/>
      <c r="BY72" s="2075"/>
      <c r="BZ72" s="2075"/>
      <c r="CA72" s="2075"/>
      <c r="CB72" s="2075"/>
      <c r="CC72" s="2075"/>
      <c r="CD72" s="2075"/>
      <c r="CE72" s="2075"/>
      <c r="CF72" s="2075"/>
      <c r="CG72" s="2075"/>
      <c r="CH72" s="2075"/>
      <c r="CI72" s="2075"/>
      <c r="CJ72" s="2075"/>
      <c r="CK72" s="2075"/>
      <c r="CL72" s="2075"/>
      <c r="CM72" s="2075"/>
      <c r="CN72" s="2075"/>
      <c r="CO72" s="2075"/>
      <c r="CP72" s="2075"/>
      <c r="CQ72" s="2075"/>
      <c r="CR72" s="2075"/>
      <c r="CS72" s="2075"/>
      <c r="CT72" s="2075"/>
      <c r="CU72" s="2075"/>
      <c r="CV72" s="2075"/>
      <c r="CW72" s="2075"/>
      <c r="CX72" s="2075"/>
      <c r="CY72" s="2075"/>
      <c r="CZ72" s="2075"/>
      <c r="DA72" s="2075"/>
      <c r="DB72" s="2075"/>
      <c r="DC72" s="2075"/>
      <c r="DD72" s="2075"/>
      <c r="DE72" s="2075"/>
      <c r="DF72" s="2075"/>
      <c r="DG72" s="2075"/>
      <c r="DH72" s="2075"/>
      <c r="DI72" s="2075"/>
      <c r="DJ72" s="2075"/>
      <c r="DK72" s="2075"/>
      <c r="DL72" s="2075"/>
      <c r="DM72" s="2075"/>
      <c r="DN72" s="2075"/>
      <c r="DO72" s="2075"/>
      <c r="DP72" s="2075"/>
      <c r="DQ72" s="2075"/>
      <c r="DR72" s="2075"/>
      <c r="DS72" s="2075"/>
      <c r="DT72" s="2075"/>
      <c r="DU72" s="2075"/>
      <c r="DV72" s="2075"/>
      <c r="DW72" s="2075"/>
      <c r="DX72" s="2075"/>
      <c r="DY72" s="2075"/>
      <c r="DZ72" s="2075"/>
      <c r="EA72" s="2075"/>
      <c r="EB72" s="2075"/>
      <c r="EC72" s="2075"/>
      <c r="ED72" s="2075"/>
      <c r="EE72" s="2075"/>
      <c r="EF72" s="2075"/>
      <c r="EG72" s="2075"/>
      <c r="EH72" s="2075"/>
      <c r="EI72" s="2075"/>
      <c r="EJ72" s="2075"/>
      <c r="EK72" s="2075"/>
      <c r="EL72" s="2075"/>
      <c r="EM72" s="2075"/>
      <c r="EN72" s="2075"/>
      <c r="EO72" s="2075"/>
      <c r="EP72" s="2075"/>
      <c r="EQ72" s="2075"/>
      <c r="ER72" s="2075"/>
      <c r="ES72" s="2075"/>
      <c r="ET72" s="2075"/>
      <c r="EU72" s="2075"/>
      <c r="EV72" s="2075"/>
      <c r="EW72" s="2075"/>
      <c r="EX72" s="2075"/>
      <c r="EY72" s="2075"/>
      <c r="EZ72" s="2075"/>
      <c r="FA72" s="2075"/>
      <c r="FB72" s="2075"/>
      <c r="FC72" s="2075"/>
      <c r="FD72" s="2075"/>
      <c r="FE72" s="2075"/>
      <c r="FF72" s="2075"/>
      <c r="FG72" s="2075"/>
      <c r="FH72" s="2075"/>
      <c r="FI72" s="2075"/>
      <c r="FJ72" s="2075"/>
      <c r="FK72" s="2075"/>
      <c r="FL72" s="2075"/>
      <c r="FM72" s="2075"/>
      <c r="FN72" s="2075"/>
      <c r="FO72" s="2075"/>
      <c r="FP72" s="2075"/>
      <c r="FQ72" s="2075"/>
      <c r="FR72" s="2075"/>
      <c r="FS72" s="2075"/>
      <c r="FT72" s="2075"/>
      <c r="FU72" s="2075"/>
      <c r="FV72" s="2075"/>
      <c r="FW72" s="2075"/>
      <c r="FX72" s="2075"/>
      <c r="FY72" s="2075"/>
      <c r="FZ72" s="2075"/>
      <c r="GA72" s="2075"/>
      <c r="GB72" s="2075"/>
      <c r="GC72" s="2075"/>
      <c r="GD72" s="2075"/>
      <c r="GE72" s="2075"/>
      <c r="GF72" s="2075"/>
      <c r="GG72" s="2075"/>
      <c r="GH72" s="2075"/>
      <c r="GI72" s="2075"/>
      <c r="GJ72" s="2075"/>
      <c r="GK72" s="2075"/>
      <c r="GL72" s="2075"/>
      <c r="GM72" s="2075"/>
      <c r="GN72" s="2075"/>
      <c r="GO72" s="2075"/>
      <c r="GP72" s="2075"/>
      <c r="GQ72" s="2075"/>
      <c r="GR72" s="2075"/>
      <c r="GS72" s="2075"/>
      <c r="GT72" s="2075"/>
      <c r="GU72" s="2075"/>
      <c r="GV72" s="2075"/>
      <c r="GW72" s="2075"/>
      <c r="GX72" s="2075"/>
      <c r="GY72" s="2075"/>
      <c r="GZ72" s="2075"/>
      <c r="HA72" s="2075"/>
      <c r="HB72" s="2075"/>
      <c r="HC72" s="2075"/>
      <c r="HD72" s="2075"/>
      <c r="HE72" s="2075"/>
      <c r="HF72" s="2075"/>
      <c r="HG72" s="2075"/>
      <c r="HH72" s="2075"/>
      <c r="HI72" s="2075"/>
      <c r="HJ72" s="2075"/>
      <c r="HK72" s="2075"/>
      <c r="HL72" s="2075"/>
      <c r="HM72" s="2075"/>
      <c r="HN72" s="2075"/>
      <c r="HO72" s="2075"/>
      <c r="HP72" s="2075"/>
    </row>
    <row r="73" spans="1:224" s="231" customFormat="1" ht="15.75" thickBot="1" x14ac:dyDescent="0.3">
      <c r="A73" s="233" t="s">
        <v>559</v>
      </c>
      <c r="B73" s="252"/>
      <c r="C73" s="252"/>
      <c r="D73" s="253"/>
      <c r="E73" s="272"/>
      <c r="F73" s="271"/>
      <c r="G73" s="272"/>
      <c r="H73" s="2074"/>
      <c r="I73" s="2075"/>
      <c r="J73" s="2075"/>
      <c r="K73" s="2075"/>
      <c r="L73" s="2075"/>
      <c r="M73" s="2075"/>
      <c r="N73" s="2075"/>
      <c r="O73" s="2075"/>
      <c r="P73" s="2075"/>
      <c r="Q73" s="2075"/>
      <c r="R73" s="2075"/>
      <c r="S73" s="2075"/>
      <c r="T73" s="2075"/>
      <c r="U73" s="2075"/>
      <c r="V73" s="2075"/>
      <c r="W73" s="2075"/>
      <c r="X73" s="2075"/>
      <c r="Y73" s="2075"/>
      <c r="Z73" s="2075"/>
      <c r="AA73" s="2075"/>
      <c r="AB73" s="2075"/>
      <c r="AC73" s="2075"/>
      <c r="AD73" s="2075"/>
      <c r="AE73" s="2075"/>
      <c r="AF73" s="2075"/>
      <c r="AG73" s="2075"/>
      <c r="AH73" s="2075"/>
      <c r="AI73" s="2075"/>
      <c r="AJ73" s="2075"/>
      <c r="AK73" s="2075"/>
      <c r="AL73" s="2075"/>
      <c r="AM73" s="2075"/>
      <c r="AN73" s="2075"/>
      <c r="AO73" s="2075"/>
      <c r="AP73" s="2075"/>
      <c r="AQ73" s="2075"/>
      <c r="AR73" s="2075"/>
      <c r="AS73" s="2075"/>
      <c r="AT73" s="2075"/>
      <c r="AU73" s="2075"/>
      <c r="AV73" s="2075"/>
      <c r="AW73" s="2075"/>
      <c r="AX73" s="2075"/>
      <c r="AY73" s="2075"/>
      <c r="AZ73" s="2075"/>
      <c r="BA73" s="2075"/>
      <c r="BB73" s="2075"/>
      <c r="BC73" s="2075"/>
      <c r="BD73" s="2075"/>
      <c r="BE73" s="2075"/>
      <c r="BF73" s="2075"/>
      <c r="BG73" s="2075"/>
      <c r="BH73" s="2075"/>
      <c r="BI73" s="2075"/>
      <c r="BJ73" s="2075"/>
      <c r="BK73" s="2075"/>
      <c r="BL73" s="2075"/>
      <c r="BM73" s="2075"/>
      <c r="BN73" s="2075"/>
      <c r="BO73" s="2075"/>
      <c r="BP73" s="2075"/>
      <c r="BQ73" s="2075"/>
      <c r="BR73" s="2075"/>
      <c r="BS73" s="2075"/>
      <c r="BT73" s="2075"/>
      <c r="BU73" s="2075"/>
      <c r="BV73" s="2075"/>
      <c r="BW73" s="2075"/>
      <c r="BX73" s="2075"/>
      <c r="BY73" s="2075"/>
      <c r="BZ73" s="2075"/>
      <c r="CA73" s="2075"/>
      <c r="CB73" s="2075"/>
      <c r="CC73" s="2075"/>
      <c r="CD73" s="2075"/>
      <c r="CE73" s="2075"/>
      <c r="CF73" s="2075"/>
      <c r="CG73" s="2075"/>
      <c r="CH73" s="2075"/>
      <c r="CI73" s="2075"/>
      <c r="CJ73" s="2075"/>
      <c r="CK73" s="2075"/>
      <c r="CL73" s="2075"/>
      <c r="CM73" s="2075"/>
      <c r="CN73" s="2075"/>
      <c r="CO73" s="2075"/>
      <c r="CP73" s="2075"/>
      <c r="CQ73" s="2075"/>
      <c r="CR73" s="2075"/>
      <c r="CS73" s="2075"/>
      <c r="CT73" s="2075"/>
      <c r="CU73" s="2075"/>
      <c r="CV73" s="2075"/>
      <c r="CW73" s="2075"/>
      <c r="CX73" s="2075"/>
      <c r="CY73" s="2075"/>
      <c r="CZ73" s="2075"/>
      <c r="DA73" s="2075"/>
      <c r="DB73" s="2075"/>
      <c r="DC73" s="2075"/>
      <c r="DD73" s="2075"/>
      <c r="DE73" s="2075"/>
      <c r="DF73" s="2075"/>
      <c r="DG73" s="2075"/>
      <c r="DH73" s="2075"/>
      <c r="DI73" s="2075"/>
      <c r="DJ73" s="2075"/>
      <c r="DK73" s="2075"/>
      <c r="DL73" s="2075"/>
      <c r="DM73" s="2075"/>
      <c r="DN73" s="2075"/>
      <c r="DO73" s="2075"/>
      <c r="DP73" s="2075"/>
      <c r="DQ73" s="2075"/>
      <c r="DR73" s="2075"/>
      <c r="DS73" s="2075"/>
      <c r="DT73" s="2075"/>
      <c r="DU73" s="2075"/>
      <c r="DV73" s="2075"/>
      <c r="DW73" s="2075"/>
      <c r="DX73" s="2075"/>
      <c r="DY73" s="2075"/>
      <c r="DZ73" s="2075"/>
      <c r="EA73" s="2075"/>
      <c r="EB73" s="2075"/>
      <c r="EC73" s="2075"/>
      <c r="ED73" s="2075"/>
      <c r="EE73" s="2075"/>
      <c r="EF73" s="2075"/>
      <c r="EG73" s="2075"/>
      <c r="EH73" s="2075"/>
      <c r="EI73" s="2075"/>
      <c r="EJ73" s="2075"/>
      <c r="EK73" s="2075"/>
      <c r="EL73" s="2075"/>
      <c r="EM73" s="2075"/>
      <c r="EN73" s="2075"/>
      <c r="EO73" s="2075"/>
      <c r="EP73" s="2075"/>
      <c r="EQ73" s="2075"/>
      <c r="ER73" s="2075"/>
      <c r="ES73" s="2075"/>
      <c r="ET73" s="2075"/>
      <c r="EU73" s="2075"/>
      <c r="EV73" s="2075"/>
      <c r="EW73" s="2075"/>
      <c r="EX73" s="2075"/>
      <c r="EY73" s="2075"/>
      <c r="EZ73" s="2075"/>
      <c r="FA73" s="2075"/>
      <c r="FB73" s="2075"/>
      <c r="FC73" s="2075"/>
      <c r="FD73" s="2075"/>
      <c r="FE73" s="2075"/>
      <c r="FF73" s="2075"/>
      <c r="FG73" s="2075"/>
      <c r="FH73" s="2075"/>
      <c r="FI73" s="2075"/>
      <c r="FJ73" s="2075"/>
      <c r="FK73" s="2075"/>
      <c r="FL73" s="2075"/>
      <c r="FM73" s="2075"/>
      <c r="FN73" s="2075"/>
      <c r="FO73" s="2075"/>
      <c r="FP73" s="2075"/>
      <c r="FQ73" s="2075"/>
      <c r="FR73" s="2075"/>
      <c r="FS73" s="2075"/>
      <c r="FT73" s="2075"/>
      <c r="FU73" s="2075"/>
      <c r="FV73" s="2075"/>
      <c r="FW73" s="2075"/>
      <c r="FX73" s="2075"/>
      <c r="FY73" s="2075"/>
      <c r="FZ73" s="2075"/>
      <c r="GA73" s="2075"/>
      <c r="GB73" s="2075"/>
      <c r="GC73" s="2075"/>
      <c r="GD73" s="2075"/>
      <c r="GE73" s="2075"/>
      <c r="GF73" s="2075"/>
      <c r="GG73" s="2075"/>
      <c r="GH73" s="2075"/>
      <c r="GI73" s="2075"/>
      <c r="GJ73" s="2075"/>
      <c r="GK73" s="2075"/>
      <c r="GL73" s="2075"/>
      <c r="GM73" s="2075"/>
      <c r="GN73" s="2075"/>
      <c r="GO73" s="2075"/>
      <c r="GP73" s="2075"/>
      <c r="GQ73" s="2075"/>
      <c r="GR73" s="2075"/>
      <c r="GS73" s="2075"/>
      <c r="GT73" s="2075"/>
      <c r="GU73" s="2075"/>
      <c r="GV73" s="2075"/>
      <c r="GW73" s="2075"/>
      <c r="GX73" s="2075"/>
      <c r="GY73" s="2075"/>
      <c r="GZ73" s="2075"/>
      <c r="HA73" s="2075"/>
      <c r="HB73" s="2075"/>
      <c r="HC73" s="2075"/>
      <c r="HD73" s="2075"/>
      <c r="HE73" s="2075"/>
      <c r="HF73" s="2075"/>
      <c r="HG73" s="2075"/>
      <c r="HH73" s="2075"/>
      <c r="HI73" s="2075"/>
      <c r="HJ73" s="2075"/>
      <c r="HK73" s="2075"/>
      <c r="HL73" s="2075"/>
      <c r="HM73" s="2075"/>
      <c r="HN73" s="2075"/>
      <c r="HO73" s="2075"/>
      <c r="HP73" s="2075"/>
    </row>
    <row r="74" spans="1:224" s="231" customFormat="1" ht="15.75" thickBot="1" x14ac:dyDescent="0.3">
      <c r="A74" s="244" t="s">
        <v>560</v>
      </c>
      <c r="B74" s="245">
        <f t="shared" ref="B74:G74" si="8">+B12+B13+B23+B31+B41+B42+B43+B44+B45+B53+B61+B70+B71+B72+B73</f>
        <v>0</v>
      </c>
      <c r="C74" s="245">
        <f t="shared" si="8"/>
        <v>0</v>
      </c>
      <c r="D74" s="246">
        <f>+D12+D13+D23+D31+D41+D42+D43+D44+D45+D53+D61+D70+D71+D72+D73</f>
        <v>0</v>
      </c>
      <c r="E74" s="245">
        <f t="shared" si="8"/>
        <v>0</v>
      </c>
      <c r="F74" s="246">
        <f t="shared" si="8"/>
        <v>2000</v>
      </c>
      <c r="G74" s="245">
        <f t="shared" si="8"/>
        <v>2000</v>
      </c>
      <c r="H74" s="2074"/>
      <c r="I74" s="2075"/>
      <c r="J74" s="2075"/>
      <c r="K74" s="2075"/>
      <c r="L74" s="2075"/>
      <c r="M74" s="2075"/>
      <c r="N74" s="2075"/>
      <c r="O74" s="2075"/>
      <c r="P74" s="2075"/>
      <c r="Q74" s="2075"/>
      <c r="R74" s="2075"/>
      <c r="S74" s="2075"/>
      <c r="T74" s="2075"/>
      <c r="U74" s="2075"/>
      <c r="V74" s="2075"/>
      <c r="W74" s="2075"/>
      <c r="X74" s="2075"/>
      <c r="Y74" s="2075"/>
      <c r="Z74" s="2075"/>
      <c r="AA74" s="2075"/>
      <c r="AB74" s="2075"/>
      <c r="AC74" s="2075"/>
      <c r="AD74" s="2075"/>
      <c r="AE74" s="2075"/>
      <c r="AF74" s="2075"/>
      <c r="AG74" s="2075"/>
      <c r="AH74" s="2075"/>
      <c r="AI74" s="2075"/>
      <c r="AJ74" s="2075"/>
      <c r="AK74" s="2075"/>
      <c r="AL74" s="2075"/>
      <c r="AM74" s="2075"/>
      <c r="AN74" s="2075"/>
      <c r="AO74" s="2075"/>
      <c r="AP74" s="2075"/>
      <c r="AQ74" s="2075"/>
      <c r="AR74" s="2075"/>
      <c r="AS74" s="2075"/>
      <c r="AT74" s="2075"/>
      <c r="AU74" s="2075"/>
      <c r="AV74" s="2075"/>
      <c r="AW74" s="2075"/>
      <c r="AX74" s="2075"/>
      <c r="AY74" s="2075"/>
      <c r="AZ74" s="2075"/>
      <c r="BA74" s="2075"/>
      <c r="BB74" s="2075"/>
      <c r="BC74" s="2075"/>
      <c r="BD74" s="2075"/>
      <c r="BE74" s="2075"/>
      <c r="BF74" s="2075"/>
      <c r="BG74" s="2075"/>
      <c r="BH74" s="2075"/>
      <c r="BI74" s="2075"/>
      <c r="BJ74" s="2075"/>
      <c r="BK74" s="2075"/>
      <c r="BL74" s="2075"/>
      <c r="BM74" s="2075"/>
      <c r="BN74" s="2075"/>
      <c r="BO74" s="2075"/>
      <c r="BP74" s="2075"/>
      <c r="BQ74" s="2075"/>
      <c r="BR74" s="2075"/>
      <c r="BS74" s="2075"/>
      <c r="BT74" s="2075"/>
      <c r="BU74" s="2075"/>
      <c r="BV74" s="2075"/>
      <c r="BW74" s="2075"/>
      <c r="BX74" s="2075"/>
      <c r="BY74" s="2075"/>
      <c r="BZ74" s="2075"/>
      <c r="CA74" s="2075"/>
      <c r="CB74" s="2075"/>
      <c r="CC74" s="2075"/>
      <c r="CD74" s="2075"/>
      <c r="CE74" s="2075"/>
      <c r="CF74" s="2075"/>
      <c r="CG74" s="2075"/>
      <c r="CH74" s="2075"/>
      <c r="CI74" s="2075"/>
      <c r="CJ74" s="2075"/>
      <c r="CK74" s="2075"/>
      <c r="CL74" s="2075"/>
      <c r="CM74" s="2075"/>
      <c r="CN74" s="2075"/>
      <c r="CO74" s="2075"/>
      <c r="CP74" s="2075"/>
      <c r="CQ74" s="2075"/>
      <c r="CR74" s="2075"/>
      <c r="CS74" s="2075"/>
      <c r="CT74" s="2075"/>
      <c r="CU74" s="2075"/>
      <c r="CV74" s="2075"/>
      <c r="CW74" s="2075"/>
      <c r="CX74" s="2075"/>
      <c r="CY74" s="2075"/>
      <c r="CZ74" s="2075"/>
      <c r="DA74" s="2075"/>
      <c r="DB74" s="2075"/>
      <c r="DC74" s="2075"/>
      <c r="DD74" s="2075"/>
      <c r="DE74" s="2075"/>
      <c r="DF74" s="2075"/>
      <c r="DG74" s="2075"/>
      <c r="DH74" s="2075"/>
      <c r="DI74" s="2075"/>
      <c r="DJ74" s="2075"/>
      <c r="DK74" s="2075"/>
      <c r="DL74" s="2075"/>
      <c r="DM74" s="2075"/>
      <c r="DN74" s="2075"/>
      <c r="DO74" s="2075"/>
      <c r="DP74" s="2075"/>
      <c r="DQ74" s="2075"/>
      <c r="DR74" s="2075"/>
      <c r="DS74" s="2075"/>
      <c r="DT74" s="2075"/>
      <c r="DU74" s="2075"/>
      <c r="DV74" s="2075"/>
      <c r="DW74" s="2075"/>
      <c r="DX74" s="2075"/>
      <c r="DY74" s="2075"/>
      <c r="DZ74" s="2075"/>
      <c r="EA74" s="2075"/>
      <c r="EB74" s="2075"/>
      <c r="EC74" s="2075"/>
      <c r="ED74" s="2075"/>
      <c r="EE74" s="2075"/>
      <c r="EF74" s="2075"/>
      <c r="EG74" s="2075"/>
      <c r="EH74" s="2075"/>
      <c r="EI74" s="2075"/>
      <c r="EJ74" s="2075"/>
      <c r="EK74" s="2075"/>
      <c r="EL74" s="2075"/>
      <c r="EM74" s="2075"/>
      <c r="EN74" s="2075"/>
      <c r="EO74" s="2075"/>
      <c r="EP74" s="2075"/>
      <c r="EQ74" s="2075"/>
      <c r="ER74" s="2075"/>
      <c r="ES74" s="2075"/>
      <c r="ET74" s="2075"/>
      <c r="EU74" s="2075"/>
      <c r="EV74" s="2075"/>
      <c r="EW74" s="2075"/>
      <c r="EX74" s="2075"/>
      <c r="EY74" s="2075"/>
      <c r="EZ74" s="2075"/>
      <c r="FA74" s="2075"/>
      <c r="FB74" s="2075"/>
      <c r="FC74" s="2075"/>
      <c r="FD74" s="2075"/>
      <c r="FE74" s="2075"/>
      <c r="FF74" s="2075"/>
      <c r="FG74" s="2075"/>
      <c r="FH74" s="2075"/>
      <c r="FI74" s="2075"/>
      <c r="FJ74" s="2075"/>
      <c r="FK74" s="2075"/>
      <c r="FL74" s="2075"/>
      <c r="FM74" s="2075"/>
      <c r="FN74" s="2075"/>
      <c r="FO74" s="2075"/>
      <c r="FP74" s="2075"/>
      <c r="FQ74" s="2075"/>
      <c r="FR74" s="2075"/>
      <c r="FS74" s="2075"/>
      <c r="FT74" s="2075"/>
      <c r="FU74" s="2075"/>
      <c r="FV74" s="2075"/>
      <c r="FW74" s="2075"/>
      <c r="FX74" s="2075"/>
      <c r="FY74" s="2075"/>
      <c r="FZ74" s="2075"/>
      <c r="GA74" s="2075"/>
      <c r="GB74" s="2075"/>
      <c r="GC74" s="2075"/>
      <c r="GD74" s="2075"/>
      <c r="GE74" s="2075"/>
      <c r="GF74" s="2075"/>
      <c r="GG74" s="2075"/>
      <c r="GH74" s="2075"/>
      <c r="GI74" s="2075"/>
      <c r="GJ74" s="2075"/>
      <c r="GK74" s="2075"/>
      <c r="GL74" s="2075"/>
      <c r="GM74" s="2075"/>
      <c r="GN74" s="2075"/>
      <c r="GO74" s="2075"/>
      <c r="GP74" s="2075"/>
      <c r="GQ74" s="2075"/>
      <c r="GR74" s="2075"/>
      <c r="GS74" s="2075"/>
      <c r="GT74" s="2075"/>
      <c r="GU74" s="2075"/>
      <c r="GV74" s="2075"/>
      <c r="GW74" s="2075"/>
      <c r="GX74" s="2075"/>
      <c r="GY74" s="2075"/>
      <c r="GZ74" s="2075"/>
      <c r="HA74" s="2075"/>
      <c r="HB74" s="2075"/>
      <c r="HC74" s="2075"/>
      <c r="HD74" s="2075"/>
      <c r="HE74" s="2075"/>
      <c r="HF74" s="2075"/>
      <c r="HG74" s="2075"/>
      <c r="HH74" s="2075"/>
      <c r="HI74" s="2075"/>
      <c r="HJ74" s="2075"/>
      <c r="HK74" s="2075"/>
      <c r="HL74" s="2075"/>
      <c r="HM74" s="2075"/>
      <c r="HN74" s="2075"/>
      <c r="HO74" s="2075"/>
      <c r="HP74" s="2075"/>
    </row>
    <row r="75" spans="1:224" s="2071" customFormat="1" x14ac:dyDescent="0.25"/>
    <row r="76" spans="1:224" s="2071" customFormat="1" x14ac:dyDescent="0.25">
      <c r="B76" s="2074"/>
      <c r="C76" s="2074" t="s">
        <v>718</v>
      </c>
      <c r="D76" s="2074"/>
      <c r="E76" s="2079">
        <f>'Balances anuales'!B23</f>
        <v>0</v>
      </c>
      <c r="F76" s="2079">
        <f>'Balances anuales'!D23</f>
        <v>2000</v>
      </c>
      <c r="G76" s="2079">
        <f>'Balances anuales'!F23</f>
        <v>2000</v>
      </c>
    </row>
    <row r="77" spans="1:224" s="2071" customFormat="1" x14ac:dyDescent="0.25">
      <c r="B77" s="2080" t="s">
        <v>696</v>
      </c>
      <c r="C77" s="2074" t="s">
        <v>719</v>
      </c>
      <c r="D77" s="2074"/>
      <c r="E77" s="2081">
        <f>E76-E74</f>
        <v>0</v>
      </c>
      <c r="F77" s="2081">
        <f>F76-F74</f>
        <v>0</v>
      </c>
      <c r="G77" s="2081">
        <f>G76-G74</f>
        <v>0</v>
      </c>
    </row>
    <row r="78" spans="1:224" s="2071" customFormat="1" x14ac:dyDescent="0.25">
      <c r="B78" s="2074"/>
      <c r="C78" s="2074"/>
      <c r="D78" s="2074"/>
      <c r="E78" s="2074"/>
      <c r="F78" s="2074"/>
    </row>
    <row r="79" spans="1:224" s="2071" customFormat="1" x14ac:dyDescent="0.25"/>
    <row r="80" spans="1:224" s="2071" customFormat="1" x14ac:dyDescent="0.25"/>
    <row r="81" s="2071" customFormat="1" x14ac:dyDescent="0.25"/>
    <row r="82" s="2071" customFormat="1" x14ac:dyDescent="0.25"/>
    <row r="83" s="2071" customFormat="1" x14ac:dyDescent="0.25"/>
    <row r="84" s="2071" customFormat="1" x14ac:dyDescent="0.25"/>
    <row r="85" s="2071" customFormat="1" x14ac:dyDescent="0.25"/>
    <row r="86" s="2071" customFormat="1" x14ac:dyDescent="0.25"/>
    <row r="87" s="2071" customFormat="1" x14ac:dyDescent="0.25"/>
    <row r="88" s="2071" customFormat="1" x14ac:dyDescent="0.25"/>
    <row r="89" s="2071" customFormat="1" x14ac:dyDescent="0.25"/>
    <row r="90" s="2071" customFormat="1" x14ac:dyDescent="0.25"/>
    <row r="91" s="2071" customFormat="1" x14ac:dyDescent="0.25"/>
    <row r="92" s="2071" customFormat="1" x14ac:dyDescent="0.25"/>
    <row r="93" s="2071" customFormat="1" x14ac:dyDescent="0.25"/>
    <row r="94" s="2071" customFormat="1" x14ac:dyDescent="0.25"/>
    <row r="95" s="2071" customFormat="1" x14ac:dyDescent="0.25"/>
    <row r="96" s="2071" customFormat="1" x14ac:dyDescent="0.25"/>
    <row r="97" s="2071" customFormat="1" x14ac:dyDescent="0.25"/>
    <row r="98" s="2071" customFormat="1" x14ac:dyDescent="0.25"/>
    <row r="99" s="2071" customFormat="1" x14ac:dyDescent="0.25"/>
    <row r="100" s="2071" customFormat="1" x14ac:dyDescent="0.25"/>
    <row r="101" s="2071" customFormat="1" x14ac:dyDescent="0.25"/>
    <row r="102" s="2071" customFormat="1" x14ac:dyDescent="0.25"/>
    <row r="103" s="2071" customFormat="1" x14ac:dyDescent="0.25"/>
    <row r="104" s="2071" customFormat="1" x14ac:dyDescent="0.25"/>
    <row r="105" s="2071" customFormat="1" x14ac:dyDescent="0.25"/>
    <row r="106" s="2071" customFormat="1" x14ac:dyDescent="0.25"/>
    <row r="107" s="2071" customFormat="1" x14ac:dyDescent="0.25"/>
    <row r="108" s="2071" customFormat="1" x14ac:dyDescent="0.25"/>
    <row r="109" s="2071" customFormat="1" x14ac:dyDescent="0.25"/>
    <row r="110" s="2071" customFormat="1" x14ac:dyDescent="0.25"/>
    <row r="111" s="2071" customFormat="1" x14ac:dyDescent="0.25"/>
    <row r="112" s="2071" customFormat="1" x14ac:dyDescent="0.25"/>
    <row r="113" s="2071" customFormat="1" x14ac:dyDescent="0.25"/>
    <row r="114" s="2071" customFormat="1" x14ac:dyDescent="0.25"/>
    <row r="115" s="2071" customFormat="1" x14ac:dyDescent="0.25"/>
    <row r="116" s="2071" customFormat="1" x14ac:dyDescent="0.25"/>
    <row r="117" s="2071" customFormat="1" x14ac:dyDescent="0.25"/>
    <row r="118" s="2071" customFormat="1" x14ac:dyDescent="0.25"/>
    <row r="119" s="2071" customFormat="1" x14ac:dyDescent="0.25"/>
    <row r="120" s="2071" customFormat="1" x14ac:dyDescent="0.25"/>
    <row r="121" s="2071" customFormat="1" x14ac:dyDescent="0.25"/>
    <row r="122" s="2071" customFormat="1" x14ac:dyDescent="0.25"/>
    <row r="123" s="2071" customFormat="1" x14ac:dyDescent="0.25"/>
    <row r="124" s="2071" customFormat="1" x14ac:dyDescent="0.25"/>
    <row r="125" s="2071" customFormat="1" x14ac:dyDescent="0.25"/>
    <row r="126" s="2071" customFormat="1" x14ac:dyDescent="0.25"/>
    <row r="127" s="2071" customFormat="1" x14ac:dyDescent="0.25"/>
    <row r="128" s="2071" customFormat="1" x14ac:dyDescent="0.25"/>
    <row r="129" s="2071" customFormat="1" x14ac:dyDescent="0.25"/>
    <row r="130" s="2071" customFormat="1" x14ac:dyDescent="0.25"/>
    <row r="131" s="2071" customFormat="1" x14ac:dyDescent="0.25"/>
    <row r="132" s="2071" customFormat="1" x14ac:dyDescent="0.25"/>
    <row r="133" s="2071" customFormat="1" x14ac:dyDescent="0.25"/>
    <row r="134" s="2071" customFormat="1" x14ac:dyDescent="0.25"/>
    <row r="135" s="2071" customFormat="1" x14ac:dyDescent="0.25"/>
    <row r="136" s="2071" customFormat="1" x14ac:dyDescent="0.25"/>
    <row r="137" s="2071" customFormat="1" x14ac:dyDescent="0.25"/>
    <row r="138" s="2071" customFormat="1" x14ac:dyDescent="0.25"/>
    <row r="139" s="2071" customFormat="1" x14ac:dyDescent="0.25"/>
    <row r="140" s="2071" customFormat="1" x14ac:dyDescent="0.25"/>
    <row r="141" s="2071" customFormat="1" x14ac:dyDescent="0.25"/>
    <row r="142" s="2071" customFormat="1" x14ac:dyDescent="0.25"/>
    <row r="143" s="2071" customFormat="1" x14ac:dyDescent="0.25"/>
    <row r="144" s="2071" customFormat="1" x14ac:dyDescent="0.25"/>
    <row r="145" s="2071" customFormat="1" x14ac:dyDescent="0.25"/>
    <row r="146" s="2071" customFormat="1" x14ac:dyDescent="0.25"/>
    <row r="147" s="2071" customFormat="1" x14ac:dyDescent="0.25"/>
    <row r="148" s="2071" customFormat="1" x14ac:dyDescent="0.25"/>
    <row r="149" s="2071" customFormat="1" x14ac:dyDescent="0.25"/>
    <row r="150" s="2071" customFormat="1" x14ac:dyDescent="0.25"/>
    <row r="151" s="2071" customFormat="1" x14ac:dyDescent="0.25"/>
    <row r="152" s="2071" customFormat="1" x14ac:dyDescent="0.25"/>
    <row r="153" s="2071" customFormat="1" x14ac:dyDescent="0.25"/>
    <row r="154" s="2071" customFormat="1" x14ac:dyDescent="0.25"/>
    <row r="155" s="2071" customFormat="1" x14ac:dyDescent="0.25"/>
    <row r="156" s="2071" customFormat="1" x14ac:dyDescent="0.25"/>
    <row r="157" s="2071" customFormat="1" x14ac:dyDescent="0.25"/>
    <row r="158" s="2071" customFormat="1" x14ac:dyDescent="0.25"/>
    <row r="159" s="2071" customFormat="1" x14ac:dyDescent="0.25"/>
    <row r="160" s="2071" customFormat="1" x14ac:dyDescent="0.25"/>
    <row r="161" s="2071" customFormat="1" x14ac:dyDescent="0.25"/>
    <row r="162" s="2071" customFormat="1" x14ac:dyDescent="0.25"/>
    <row r="163" s="2071" customFormat="1" x14ac:dyDescent="0.25"/>
    <row r="164" s="2071" customFormat="1" x14ac:dyDescent="0.25"/>
    <row r="165" s="2071" customFormat="1" x14ac:dyDescent="0.25"/>
    <row r="166" s="2071" customFormat="1" x14ac:dyDescent="0.25"/>
    <row r="167" s="2071" customFormat="1" x14ac:dyDescent="0.25"/>
    <row r="168" s="2071" customFormat="1" x14ac:dyDescent="0.25"/>
    <row r="169" s="2071" customFormat="1" x14ac:dyDescent="0.25"/>
    <row r="170" s="2071" customFormat="1" x14ac:dyDescent="0.25"/>
    <row r="171" s="2071" customFormat="1" x14ac:dyDescent="0.25"/>
    <row r="172" s="2071" customFormat="1" x14ac:dyDescent="0.25"/>
    <row r="173" s="2071" customFormat="1" x14ac:dyDescent="0.25"/>
    <row r="174" s="2071" customFormat="1" x14ac:dyDescent="0.25"/>
    <row r="175" s="2071" customFormat="1" x14ac:dyDescent="0.25"/>
    <row r="176" s="2071" customFormat="1" x14ac:dyDescent="0.25"/>
    <row r="177" s="2071" customFormat="1" x14ac:dyDescent="0.25"/>
    <row r="178" s="2071" customFormat="1" x14ac:dyDescent="0.25"/>
    <row r="179" s="2071" customFormat="1" x14ac:dyDescent="0.25"/>
    <row r="180" s="2071" customFormat="1" x14ac:dyDescent="0.25"/>
    <row r="181" s="2071" customFormat="1" x14ac:dyDescent="0.25"/>
    <row r="182" s="2071" customFormat="1" x14ac:dyDescent="0.25"/>
    <row r="183" s="2071" customFormat="1" x14ac:dyDescent="0.25"/>
    <row r="184" s="2071" customFormat="1" x14ac:dyDescent="0.25"/>
    <row r="185" s="2071" customFormat="1" x14ac:dyDescent="0.25"/>
    <row r="186" s="2071" customFormat="1" x14ac:dyDescent="0.25"/>
    <row r="187" s="2071" customFormat="1" x14ac:dyDescent="0.25"/>
    <row r="188" s="2071" customFormat="1" x14ac:dyDescent="0.25"/>
    <row r="189" s="2071" customFormat="1" x14ac:dyDescent="0.25"/>
    <row r="190" s="2071" customFormat="1" x14ac:dyDescent="0.25"/>
    <row r="191" s="2071" customFormat="1" x14ac:dyDescent="0.25"/>
    <row r="192" s="2071" customFormat="1" x14ac:dyDescent="0.25"/>
    <row r="193" s="2071" customFormat="1" x14ac:dyDescent="0.25"/>
    <row r="194" s="2071" customFormat="1" x14ac:dyDescent="0.25"/>
    <row r="195" s="2071" customFormat="1" x14ac:dyDescent="0.25"/>
    <row r="196" s="2071" customFormat="1" x14ac:dyDescent="0.25"/>
    <row r="197" s="2071" customFormat="1" x14ac:dyDescent="0.25"/>
    <row r="198" s="2071" customFormat="1" x14ac:dyDescent="0.25"/>
    <row r="199" s="2071" customFormat="1" x14ac:dyDescent="0.25"/>
    <row r="200" s="2071" customFormat="1" x14ac:dyDescent="0.25"/>
    <row r="201" s="2071" customFormat="1" x14ac:dyDescent="0.25"/>
    <row r="202" s="2071" customFormat="1" x14ac:dyDescent="0.25"/>
    <row r="203" s="2071" customFormat="1" x14ac:dyDescent="0.25"/>
    <row r="204" s="2071" customFormat="1" x14ac:dyDescent="0.25"/>
    <row r="205" s="2071" customFormat="1" x14ac:dyDescent="0.25"/>
    <row r="206" s="2071" customFormat="1" x14ac:dyDescent="0.25"/>
    <row r="207" s="2071" customFormat="1" x14ac:dyDescent="0.25"/>
    <row r="208" s="2071" customFormat="1" x14ac:dyDescent="0.25"/>
    <row r="209" s="2071" customFormat="1" x14ac:dyDescent="0.25"/>
    <row r="210" s="2071" customFormat="1" x14ac:dyDescent="0.25"/>
    <row r="211" s="2071" customFormat="1" x14ac:dyDescent="0.25"/>
    <row r="212" s="2071" customFormat="1" x14ac:dyDescent="0.25"/>
    <row r="213" s="2071" customFormat="1" x14ac:dyDescent="0.25"/>
    <row r="214" s="2071" customFormat="1" x14ac:dyDescent="0.25"/>
    <row r="215" s="2071" customFormat="1" x14ac:dyDescent="0.25"/>
    <row r="216" s="2071" customFormat="1" x14ac:dyDescent="0.25"/>
    <row r="217" s="2071" customFormat="1" x14ac:dyDescent="0.25"/>
    <row r="218" s="2071" customFormat="1" x14ac:dyDescent="0.25"/>
    <row r="219" s="2071" customFormat="1" x14ac:dyDescent="0.25"/>
    <row r="220" s="2071" customFormat="1" x14ac:dyDescent="0.25"/>
    <row r="221" s="2071" customFormat="1" x14ac:dyDescent="0.25"/>
    <row r="222" s="2071" customFormat="1" x14ac:dyDescent="0.25"/>
    <row r="223" s="2071" customFormat="1" x14ac:dyDescent="0.25"/>
    <row r="224" s="2071" customFormat="1" x14ac:dyDescent="0.25"/>
    <row r="225" s="2071" customFormat="1" x14ac:dyDescent="0.25"/>
    <row r="226" s="2071" customFormat="1" x14ac:dyDescent="0.25"/>
    <row r="227" s="2071" customFormat="1" x14ac:dyDescent="0.25"/>
    <row r="228" s="2071" customFormat="1" x14ac:dyDescent="0.25"/>
    <row r="229" s="2071" customFormat="1" x14ac:dyDescent="0.25"/>
    <row r="230" s="2071" customFormat="1" x14ac:dyDescent="0.25"/>
    <row r="231" s="2071" customFormat="1" x14ac:dyDescent="0.25"/>
    <row r="232" s="2071" customFormat="1" x14ac:dyDescent="0.25"/>
    <row r="233" s="2071" customFormat="1" x14ac:dyDescent="0.25"/>
    <row r="234" s="2071" customFormat="1" x14ac:dyDescent="0.25"/>
    <row r="235" s="2071" customFormat="1" x14ac:dyDescent="0.25"/>
    <row r="236" s="2071" customFormat="1" x14ac:dyDescent="0.25"/>
    <row r="237" s="2071" customFormat="1" x14ac:dyDescent="0.25"/>
    <row r="238" s="2071" customFormat="1" x14ac:dyDescent="0.25"/>
    <row r="239" s="2071" customFormat="1" x14ac:dyDescent="0.25"/>
    <row r="240" s="2071" customFormat="1" x14ac:dyDescent="0.25"/>
    <row r="241" s="2071" customFormat="1" x14ac:dyDescent="0.25"/>
    <row r="242" s="2071" customFormat="1" x14ac:dyDescent="0.25"/>
    <row r="243" s="2071" customFormat="1" x14ac:dyDescent="0.25"/>
    <row r="244" s="2071" customFormat="1" x14ac:dyDescent="0.25"/>
    <row r="245" s="2071" customFormat="1" x14ac:dyDescent="0.25"/>
    <row r="246" s="2071" customFormat="1" x14ac:dyDescent="0.25"/>
    <row r="247" s="2071" customFormat="1" x14ac:dyDescent="0.25"/>
    <row r="248" s="2071" customFormat="1" x14ac:dyDescent="0.25"/>
    <row r="249" s="2071" customFormat="1" x14ac:dyDescent="0.25"/>
    <row r="250" s="2071" customFormat="1" x14ac:dyDescent="0.25"/>
    <row r="251" s="2071" customFormat="1" x14ac:dyDescent="0.25"/>
    <row r="252" s="2071" customFormat="1" x14ac:dyDescent="0.25"/>
    <row r="253" s="2071" customFormat="1" x14ac:dyDescent="0.25"/>
    <row r="254" s="2071" customFormat="1" x14ac:dyDescent="0.25"/>
    <row r="255" s="2071" customFormat="1" x14ac:dyDescent="0.25"/>
    <row r="256" s="2071" customFormat="1" x14ac:dyDescent="0.25"/>
    <row r="257" s="2071" customFormat="1" x14ac:dyDescent="0.25"/>
    <row r="258" s="2071" customFormat="1" x14ac:dyDescent="0.25"/>
    <row r="259" s="2071" customFormat="1" x14ac:dyDescent="0.25"/>
    <row r="260" s="2071" customFormat="1" x14ac:dyDescent="0.25"/>
    <row r="261" s="2071" customFormat="1" x14ac:dyDescent="0.25"/>
    <row r="262" s="2071" customFormat="1" x14ac:dyDescent="0.25"/>
    <row r="263" s="2071" customFormat="1" x14ac:dyDescent="0.25"/>
    <row r="264" s="2071" customFormat="1" x14ac:dyDescent="0.25"/>
    <row r="265" s="2071" customFormat="1" x14ac:dyDescent="0.25"/>
    <row r="266" s="2071" customFormat="1" x14ac:dyDescent="0.25"/>
    <row r="267" s="2071" customFormat="1" x14ac:dyDescent="0.25"/>
    <row r="268" s="2071" customFormat="1" x14ac:dyDescent="0.25"/>
    <row r="269" s="2071" customFormat="1" x14ac:dyDescent="0.25"/>
    <row r="270" s="2071" customFormat="1" x14ac:dyDescent="0.25"/>
    <row r="271" s="2071" customFormat="1" x14ac:dyDescent="0.25"/>
    <row r="272" s="2071" customFormat="1" x14ac:dyDescent="0.25"/>
    <row r="273" s="2071" customFormat="1" x14ac:dyDescent="0.25"/>
    <row r="274" s="2071" customFormat="1" x14ac:dyDescent="0.25"/>
    <row r="275" s="2071" customFormat="1" x14ac:dyDescent="0.25"/>
    <row r="276" s="2071" customFormat="1" x14ac:dyDescent="0.25"/>
    <row r="277" s="2071" customFormat="1" x14ac:dyDescent="0.25"/>
    <row r="278" s="2071" customFormat="1" x14ac:dyDescent="0.25"/>
    <row r="279" s="2071" customFormat="1" x14ac:dyDescent="0.25"/>
    <row r="280" s="2071" customFormat="1" x14ac:dyDescent="0.25"/>
    <row r="281" s="2071" customFormat="1" x14ac:dyDescent="0.25"/>
    <row r="282" s="2071" customFormat="1" x14ac:dyDescent="0.25"/>
    <row r="283" s="2071" customFormat="1" x14ac:dyDescent="0.25"/>
    <row r="284" s="2071" customFormat="1" x14ac:dyDescent="0.25"/>
    <row r="285" s="2071" customFormat="1" x14ac:dyDescent="0.25"/>
    <row r="286" s="2071" customFormat="1" x14ac:dyDescent="0.25"/>
    <row r="287" s="2071" customFormat="1" x14ac:dyDescent="0.25"/>
    <row r="288" s="2071" customFormat="1" x14ac:dyDescent="0.25"/>
    <row r="289" s="2071" customFormat="1" x14ac:dyDescent="0.25"/>
    <row r="290" s="2071" customFormat="1" x14ac:dyDescent="0.25"/>
    <row r="291" s="2071" customFormat="1" x14ac:dyDescent="0.25"/>
    <row r="292" s="2071" customFormat="1" x14ac:dyDescent="0.25"/>
    <row r="293" s="2071" customFormat="1" x14ac:dyDescent="0.25"/>
    <row r="294" s="2071" customFormat="1" x14ac:dyDescent="0.25"/>
    <row r="295" s="2071" customFormat="1" x14ac:dyDescent="0.25"/>
    <row r="296" s="2071" customFormat="1" x14ac:dyDescent="0.25"/>
    <row r="297" s="2071" customFormat="1" x14ac:dyDescent="0.25"/>
    <row r="298" s="2071" customFormat="1" x14ac:dyDescent="0.25"/>
    <row r="299" s="2071" customFormat="1" x14ac:dyDescent="0.25"/>
    <row r="300" s="2071" customFormat="1" x14ac:dyDescent="0.25"/>
    <row r="301" s="2071" customFormat="1" x14ac:dyDescent="0.25"/>
    <row r="302" s="2071" customFormat="1" x14ac:dyDescent="0.25"/>
    <row r="303" s="2071" customFormat="1" x14ac:dyDescent="0.25"/>
    <row r="304" s="2071" customFormat="1" x14ac:dyDescent="0.25"/>
    <row r="305" s="2071" customFormat="1" x14ac:dyDescent="0.25"/>
    <row r="306" s="2071" customFormat="1" x14ac:dyDescent="0.25"/>
    <row r="307" s="2071" customFormat="1" x14ac:dyDescent="0.25"/>
    <row r="308" s="2071" customFormat="1" x14ac:dyDescent="0.25"/>
    <row r="309" s="2071" customFormat="1" x14ac:dyDescent="0.25"/>
    <row r="310" s="2071" customFormat="1" x14ac:dyDescent="0.25"/>
    <row r="311" s="2071" customFormat="1" x14ac:dyDescent="0.25"/>
    <row r="312" s="2071" customFormat="1" x14ac:dyDescent="0.25"/>
    <row r="313" s="2071" customFormat="1" x14ac:dyDescent="0.25"/>
    <row r="314" s="2071" customFormat="1" x14ac:dyDescent="0.25"/>
    <row r="315" s="2071" customFormat="1" x14ac:dyDescent="0.25"/>
    <row r="316" s="2071" customFormat="1" x14ac:dyDescent="0.25"/>
    <row r="317" s="2071" customFormat="1" x14ac:dyDescent="0.25"/>
    <row r="318" s="2071" customFormat="1" x14ac:dyDescent="0.25"/>
    <row r="319" s="2071" customFormat="1" x14ac:dyDescent="0.25"/>
    <row r="320" s="2071" customFormat="1" x14ac:dyDescent="0.25"/>
    <row r="321" s="2071" customFormat="1" x14ac:dyDescent="0.25"/>
    <row r="322" s="2071" customFormat="1" x14ac:dyDescent="0.25"/>
    <row r="323" s="2071" customFormat="1" x14ac:dyDescent="0.25"/>
    <row r="324" s="2071" customFormat="1" x14ac:dyDescent="0.25"/>
    <row r="325" s="2071" customFormat="1" x14ac:dyDescent="0.25"/>
    <row r="326" s="2071" customFormat="1" x14ac:dyDescent="0.25"/>
    <row r="327" s="2071" customFormat="1" x14ac:dyDescent="0.25"/>
    <row r="328" s="2071" customFormat="1" x14ac:dyDescent="0.25"/>
    <row r="329" s="2071" customFormat="1" x14ac:dyDescent="0.25"/>
    <row r="330" s="2071" customFormat="1" x14ac:dyDescent="0.25"/>
    <row r="331" s="2071" customFormat="1" x14ac:dyDescent="0.25"/>
    <row r="332" s="2071" customFormat="1" x14ac:dyDescent="0.25"/>
    <row r="333" s="2071" customFormat="1" x14ac:dyDescent="0.25"/>
    <row r="334" s="2071" customFormat="1" x14ac:dyDescent="0.25"/>
    <row r="335" s="2071" customFormat="1" x14ac:dyDescent="0.25"/>
    <row r="336" s="2071" customFormat="1" x14ac:dyDescent="0.25"/>
    <row r="337" s="2071" customFormat="1" x14ac:dyDescent="0.25"/>
    <row r="338" s="2071" customFormat="1" x14ac:dyDescent="0.25"/>
    <row r="339" s="2071" customFormat="1" x14ac:dyDescent="0.25"/>
    <row r="340" s="2071" customFormat="1" x14ac:dyDescent="0.25"/>
    <row r="341" s="2071" customFormat="1" x14ac:dyDescent="0.25"/>
    <row r="342" s="2071" customFormat="1" x14ac:dyDescent="0.25"/>
    <row r="343" s="2071" customFormat="1" x14ac:dyDescent="0.25"/>
    <row r="344" s="2071" customFormat="1" x14ac:dyDescent="0.25"/>
    <row r="345" s="2071" customFormat="1" x14ac:dyDescent="0.25"/>
    <row r="346" s="2071" customFormat="1" x14ac:dyDescent="0.25"/>
    <row r="347" s="2071" customFormat="1" x14ac:dyDescent="0.25"/>
    <row r="348" s="2071" customFormat="1" x14ac:dyDescent="0.25"/>
    <row r="349" s="2071" customFormat="1" x14ac:dyDescent="0.25"/>
    <row r="350" s="2071" customFormat="1" x14ac:dyDescent="0.25"/>
    <row r="351" s="2071" customFormat="1" x14ac:dyDescent="0.25"/>
    <row r="352" s="2071" customFormat="1" x14ac:dyDescent="0.25"/>
    <row r="353" s="2071" customFormat="1" x14ac:dyDescent="0.25"/>
    <row r="354" s="2071" customFormat="1" x14ac:dyDescent="0.25"/>
    <row r="355" s="2071" customFormat="1" x14ac:dyDescent="0.25"/>
    <row r="356" s="2071" customFormat="1" x14ac:dyDescent="0.25"/>
    <row r="357" s="2071" customFormat="1" x14ac:dyDescent="0.25"/>
    <row r="358" s="2071" customFormat="1" x14ac:dyDescent="0.25"/>
    <row r="359" s="2071" customFormat="1" x14ac:dyDescent="0.25"/>
    <row r="360" s="2071" customFormat="1" x14ac:dyDescent="0.25"/>
    <row r="361" s="2071" customFormat="1" x14ac:dyDescent="0.25"/>
    <row r="362" s="2071" customFormat="1" x14ac:dyDescent="0.25"/>
    <row r="363" s="2071" customFormat="1" x14ac:dyDescent="0.25"/>
    <row r="364" s="2071" customFormat="1" x14ac:dyDescent="0.25"/>
    <row r="365" s="2071" customFormat="1" x14ac:dyDescent="0.25"/>
    <row r="366" s="2071" customFormat="1" x14ac:dyDescent="0.25"/>
    <row r="367" s="2071" customFormat="1" x14ac:dyDescent="0.25"/>
    <row r="368" s="2071" customFormat="1" x14ac:dyDescent="0.25"/>
    <row r="369" s="2071" customFormat="1" x14ac:dyDescent="0.25"/>
    <row r="370" s="2071" customFormat="1" x14ac:dyDescent="0.25"/>
    <row r="371" s="2071" customFormat="1" x14ac:dyDescent="0.25"/>
    <row r="372" s="2071" customFormat="1" x14ac:dyDescent="0.25"/>
    <row r="373" s="2071" customFormat="1" x14ac:dyDescent="0.25"/>
    <row r="374" s="2071" customFormat="1" x14ac:dyDescent="0.25"/>
    <row r="375" s="2071" customFormat="1" x14ac:dyDescent="0.25"/>
    <row r="376" s="2071" customFormat="1" x14ac:dyDescent="0.25"/>
    <row r="377" s="2071" customFormat="1" x14ac:dyDescent="0.25"/>
    <row r="378" s="2071" customFormat="1" x14ac:dyDescent="0.25"/>
    <row r="379" s="2071" customFormat="1" x14ac:dyDescent="0.25"/>
    <row r="380" s="2071" customFormat="1" x14ac:dyDescent="0.25"/>
    <row r="381" s="2071" customFormat="1" x14ac:dyDescent="0.25"/>
    <row r="382" s="2071" customFormat="1" x14ac:dyDescent="0.25"/>
    <row r="383" s="2071" customFormat="1" x14ac:dyDescent="0.25"/>
    <row r="384" s="2071" customFormat="1" x14ac:dyDescent="0.25"/>
    <row r="385" s="2071" customFormat="1" x14ac:dyDescent="0.25"/>
    <row r="386" s="2071" customFormat="1" x14ac:dyDescent="0.25"/>
    <row r="387" s="2071" customFormat="1" x14ac:dyDescent="0.25"/>
    <row r="388" s="2071" customFormat="1" x14ac:dyDescent="0.25"/>
    <row r="389" s="2071" customFormat="1" x14ac:dyDescent="0.25"/>
    <row r="390" s="2071" customFormat="1" x14ac:dyDescent="0.25"/>
    <row r="391" s="2071" customFormat="1" x14ac:dyDescent="0.25"/>
    <row r="392" s="2071" customFormat="1" x14ac:dyDescent="0.25"/>
    <row r="393" s="2071" customFormat="1" x14ac:dyDescent="0.25"/>
    <row r="394" s="2071" customFormat="1" x14ac:dyDescent="0.25"/>
    <row r="395" s="2071" customFormat="1" x14ac:dyDescent="0.25"/>
    <row r="396" s="2071" customFormat="1" x14ac:dyDescent="0.25"/>
    <row r="397" s="2071" customFormat="1" x14ac:dyDescent="0.25"/>
    <row r="398" s="2071" customFormat="1" x14ac:dyDescent="0.25"/>
    <row r="399" s="2071" customFormat="1" x14ac:dyDescent="0.25"/>
    <row r="400" s="2071" customFormat="1" x14ac:dyDescent="0.25"/>
    <row r="401" s="2071" customFormat="1" x14ac:dyDescent="0.25"/>
    <row r="402" s="2071" customFormat="1" x14ac:dyDescent="0.25"/>
    <row r="403" s="2071" customFormat="1" x14ac:dyDescent="0.25"/>
    <row r="404" s="2071" customFormat="1" x14ac:dyDescent="0.25"/>
    <row r="405" s="2071" customFormat="1" x14ac:dyDescent="0.25"/>
    <row r="406" s="2071" customFormat="1" x14ac:dyDescent="0.25"/>
    <row r="407" s="2071" customFormat="1" x14ac:dyDescent="0.25"/>
    <row r="408" s="2071" customFormat="1" x14ac:dyDescent="0.25"/>
    <row r="409" s="2071" customFormat="1" x14ac:dyDescent="0.25"/>
    <row r="410" s="2071" customFormat="1" x14ac:dyDescent="0.25"/>
    <row r="411" s="2071" customFormat="1" x14ac:dyDescent="0.25"/>
    <row r="412" s="2071" customFormat="1" x14ac:dyDescent="0.25"/>
    <row r="413" s="2071" customFormat="1" x14ac:dyDescent="0.25"/>
    <row r="414" s="2071" customFormat="1" x14ac:dyDescent="0.25"/>
    <row r="415" s="2071" customFormat="1" x14ac:dyDescent="0.25"/>
    <row r="416" s="2071" customFormat="1" x14ac:dyDescent="0.25"/>
    <row r="417" s="2071" customFormat="1" x14ac:dyDescent="0.25"/>
    <row r="418" s="2071" customFormat="1" x14ac:dyDescent="0.25"/>
    <row r="419" s="2071" customFormat="1" x14ac:dyDescent="0.25"/>
    <row r="420" s="2071" customFormat="1" x14ac:dyDescent="0.25"/>
    <row r="421" s="2071" customFormat="1" x14ac:dyDescent="0.25"/>
    <row r="422" s="2071" customFormat="1" x14ac:dyDescent="0.25"/>
    <row r="423" s="2071" customFormat="1" x14ac:dyDescent="0.25"/>
    <row r="424" s="2071" customFormat="1" x14ac:dyDescent="0.25"/>
    <row r="425" s="2071" customFormat="1" x14ac:dyDescent="0.25"/>
    <row r="426" s="2071" customFormat="1" x14ac:dyDescent="0.25"/>
    <row r="427" s="2071" customFormat="1" x14ac:dyDescent="0.25"/>
    <row r="428" s="2071" customFormat="1" x14ac:dyDescent="0.25"/>
    <row r="429" s="2071" customFormat="1" x14ac:dyDescent="0.25"/>
    <row r="430" s="2071" customFormat="1" x14ac:dyDescent="0.25"/>
    <row r="431" s="2071" customFormat="1" x14ac:dyDescent="0.25"/>
    <row r="432" s="2071" customFormat="1" x14ac:dyDescent="0.25"/>
    <row r="433" s="2071" customFormat="1" x14ac:dyDescent="0.25"/>
    <row r="434" s="2071" customFormat="1" x14ac:dyDescent="0.25"/>
    <row r="435" s="2071" customFormat="1" x14ac:dyDescent="0.25"/>
    <row r="436" s="2071" customFormat="1" x14ac:dyDescent="0.25"/>
    <row r="437" s="2071" customFormat="1" x14ac:dyDescent="0.25"/>
    <row r="438" s="2071" customFormat="1" x14ac:dyDescent="0.25"/>
    <row r="439" s="2071" customFormat="1" x14ac:dyDescent="0.25"/>
    <row r="440" s="2071" customFormat="1" x14ac:dyDescent="0.25"/>
    <row r="441" s="2071" customFormat="1" x14ac:dyDescent="0.25"/>
    <row r="442" s="2071" customFormat="1" x14ac:dyDescent="0.25"/>
    <row r="443" s="2071" customFormat="1" x14ac:dyDescent="0.25"/>
    <row r="444" s="2071" customFormat="1" x14ac:dyDescent="0.25"/>
    <row r="445" s="2071" customFormat="1" x14ac:dyDescent="0.25"/>
    <row r="446" s="2071" customFormat="1" x14ac:dyDescent="0.25"/>
    <row r="447" s="2071" customFormat="1" x14ac:dyDescent="0.25"/>
    <row r="448" s="2071" customFormat="1" x14ac:dyDescent="0.25"/>
    <row r="449" s="2071" customFormat="1" x14ac:dyDescent="0.25"/>
    <row r="450" s="2071" customFormat="1" x14ac:dyDescent="0.25"/>
    <row r="451" s="2071" customFormat="1" x14ac:dyDescent="0.25"/>
    <row r="452" s="2071" customFormat="1" x14ac:dyDescent="0.25"/>
    <row r="453" s="2071" customFormat="1" x14ac:dyDescent="0.25"/>
    <row r="454" s="2071" customFormat="1" x14ac:dyDescent="0.25"/>
    <row r="455" s="2071" customFormat="1" x14ac:dyDescent="0.25"/>
    <row r="456" s="2071" customFormat="1" x14ac:dyDescent="0.25"/>
    <row r="457" s="2071" customFormat="1" x14ac:dyDescent="0.25"/>
    <row r="458" s="2071" customFormat="1" x14ac:dyDescent="0.25"/>
    <row r="459" s="2071" customFormat="1" x14ac:dyDescent="0.25"/>
    <row r="460" s="2071" customFormat="1" x14ac:dyDescent="0.25"/>
    <row r="461" s="2071" customFormat="1" x14ac:dyDescent="0.25"/>
    <row r="462" s="2071" customFormat="1" x14ac:dyDescent="0.25"/>
    <row r="463" s="2071" customFormat="1" x14ac:dyDescent="0.25"/>
    <row r="464" s="2071" customFormat="1" x14ac:dyDescent="0.25"/>
    <row r="465" s="2071" customFormat="1" x14ac:dyDescent="0.25"/>
    <row r="466" s="2071" customFormat="1" x14ac:dyDescent="0.25"/>
    <row r="467" s="2071" customFormat="1" x14ac:dyDescent="0.25"/>
    <row r="468" s="2071" customFormat="1" x14ac:dyDescent="0.25"/>
    <row r="469" s="2071" customFormat="1" x14ac:dyDescent="0.25"/>
    <row r="470" s="2071" customFormat="1" x14ac:dyDescent="0.25"/>
    <row r="471" s="2071" customFormat="1" x14ac:dyDescent="0.25"/>
    <row r="472" s="2071" customFormat="1" x14ac:dyDescent="0.25"/>
    <row r="473" s="2071" customFormat="1" x14ac:dyDescent="0.25"/>
    <row r="474" s="2071" customFormat="1" x14ac:dyDescent="0.25"/>
    <row r="475" s="2071" customFormat="1" x14ac:dyDescent="0.25"/>
    <row r="476" s="2071" customFormat="1" x14ac:dyDescent="0.25"/>
    <row r="477" s="2071" customFormat="1" x14ac:dyDescent="0.25"/>
    <row r="478" s="2071" customFormat="1" x14ac:dyDescent="0.25"/>
    <row r="479" s="2071" customFormat="1" x14ac:dyDescent="0.25"/>
    <row r="480" s="2071" customFormat="1" x14ac:dyDescent="0.25"/>
    <row r="481" s="2071" customFormat="1" x14ac:dyDescent="0.25"/>
    <row r="482" s="2071" customFormat="1" x14ac:dyDescent="0.25"/>
    <row r="483" s="2071" customFormat="1" x14ac:dyDescent="0.25"/>
    <row r="484" s="2071" customFormat="1" x14ac:dyDescent="0.25"/>
    <row r="485" s="2071" customFormat="1" x14ac:dyDescent="0.25"/>
    <row r="486" s="2071" customFormat="1" x14ac:dyDescent="0.25"/>
    <row r="487" s="2071" customFormat="1" x14ac:dyDescent="0.25"/>
    <row r="488" s="2071" customFormat="1" x14ac:dyDescent="0.25"/>
    <row r="489" s="2071" customFormat="1" x14ac:dyDescent="0.25"/>
    <row r="490" s="2071" customFormat="1" x14ac:dyDescent="0.25"/>
    <row r="491" s="2071" customFormat="1" x14ac:dyDescent="0.25"/>
    <row r="492" s="2071" customFormat="1" x14ac:dyDescent="0.25"/>
    <row r="493" s="2071" customFormat="1" x14ac:dyDescent="0.25"/>
    <row r="494" s="2071" customFormat="1" x14ac:dyDescent="0.25"/>
    <row r="495" s="2071" customFormat="1" x14ac:dyDescent="0.25"/>
    <row r="496" s="2071" customFormat="1" x14ac:dyDescent="0.25"/>
    <row r="497" s="2071" customFormat="1" x14ac:dyDescent="0.25"/>
    <row r="498" s="2071" customFormat="1" x14ac:dyDescent="0.25"/>
    <row r="499" s="2071" customFormat="1" x14ac:dyDescent="0.25"/>
    <row r="500" s="2071" customFormat="1" x14ac:dyDescent="0.25"/>
    <row r="501" s="2071" customFormat="1" x14ac:dyDescent="0.25"/>
    <row r="502" s="2071" customFormat="1" x14ac:dyDescent="0.25"/>
    <row r="503" s="2071" customFormat="1" x14ac:dyDescent="0.25"/>
    <row r="504" s="2071" customFormat="1" x14ac:dyDescent="0.25"/>
    <row r="505" s="2071" customFormat="1" x14ac:dyDescent="0.25"/>
    <row r="506" s="2071" customFormat="1" x14ac:dyDescent="0.25"/>
    <row r="507" s="2071" customFormat="1" x14ac:dyDescent="0.25"/>
    <row r="508" s="2071" customFormat="1" x14ac:dyDescent="0.25"/>
    <row r="509" s="2071" customFormat="1" x14ac:dyDescent="0.25"/>
    <row r="510" s="2071" customFormat="1" x14ac:dyDescent="0.25"/>
    <row r="511" s="2071" customFormat="1" x14ac:dyDescent="0.25"/>
    <row r="512" s="2071" customFormat="1" x14ac:dyDescent="0.25"/>
    <row r="513" s="2071" customFormat="1" x14ac:dyDescent="0.25"/>
    <row r="514" s="2071" customFormat="1" x14ac:dyDescent="0.25"/>
    <row r="515" s="2071" customFormat="1" x14ac:dyDescent="0.25"/>
    <row r="516" s="2071" customFormat="1" x14ac:dyDescent="0.25"/>
    <row r="517" s="2071" customFormat="1" x14ac:dyDescent="0.25"/>
    <row r="518" s="2071" customFormat="1" x14ac:dyDescent="0.25"/>
    <row r="519" s="2071" customFormat="1" x14ac:dyDescent="0.25"/>
    <row r="520" s="2071" customFormat="1" x14ac:dyDescent="0.25"/>
    <row r="521" s="2071" customFormat="1" x14ac:dyDescent="0.25"/>
    <row r="522" s="2071" customFormat="1" x14ac:dyDescent="0.25"/>
    <row r="523" s="2071" customFormat="1" x14ac:dyDescent="0.25"/>
    <row r="524" s="2071" customFormat="1" x14ac:dyDescent="0.25"/>
    <row r="525" s="2071" customFormat="1" x14ac:dyDescent="0.25"/>
    <row r="526" s="2071" customFormat="1" x14ac:dyDescent="0.25"/>
    <row r="527" s="2071" customFormat="1" x14ac:dyDescent="0.25"/>
    <row r="528" s="2071" customFormat="1" x14ac:dyDescent="0.25"/>
    <row r="529" s="2071" customFormat="1" x14ac:dyDescent="0.25"/>
    <row r="530" s="2071" customFormat="1" x14ac:dyDescent="0.25"/>
    <row r="531" s="2071" customFormat="1" x14ac:dyDescent="0.25"/>
    <row r="532" s="2071" customFormat="1" x14ac:dyDescent="0.25"/>
    <row r="533" s="2071" customFormat="1" x14ac:dyDescent="0.25"/>
    <row r="534" s="2071" customFormat="1" x14ac:dyDescent="0.25"/>
    <row r="535" s="2071" customFormat="1" x14ac:dyDescent="0.25"/>
    <row r="536" s="2071" customFormat="1" x14ac:dyDescent="0.25"/>
    <row r="537" s="2071" customFormat="1" x14ac:dyDescent="0.25"/>
    <row r="538" s="2071" customFormat="1" x14ac:dyDescent="0.25"/>
    <row r="539" s="2071" customFormat="1" x14ac:dyDescent="0.25"/>
    <row r="540" s="2071" customFormat="1" x14ac:dyDescent="0.25"/>
    <row r="541" s="2071" customFormat="1" x14ac:dyDescent="0.25"/>
    <row r="542" s="2071" customFormat="1" x14ac:dyDescent="0.25"/>
    <row r="543" s="2071" customFormat="1" x14ac:dyDescent="0.25"/>
    <row r="544" s="2071" customFormat="1" x14ac:dyDescent="0.25"/>
    <row r="545" s="2071" customFormat="1" x14ac:dyDescent="0.25"/>
    <row r="546" s="2071" customFormat="1" x14ac:dyDescent="0.25"/>
    <row r="547" s="2071" customFormat="1" x14ac:dyDescent="0.25"/>
    <row r="548" s="2071" customFormat="1" x14ac:dyDescent="0.25"/>
    <row r="549" s="2071" customFormat="1" x14ac:dyDescent="0.25"/>
    <row r="550" s="2071" customFormat="1" x14ac:dyDescent="0.25"/>
    <row r="551" s="2071" customFormat="1" x14ac:dyDescent="0.25"/>
    <row r="552" s="2071" customFormat="1" x14ac:dyDescent="0.25"/>
    <row r="553" s="2071" customFormat="1" x14ac:dyDescent="0.25"/>
    <row r="554" s="2071" customFormat="1" x14ac:dyDescent="0.25"/>
    <row r="555" s="2071" customFormat="1" x14ac:dyDescent="0.25"/>
    <row r="556" s="2071" customFormat="1" x14ac:dyDescent="0.25"/>
    <row r="557" s="2071" customFormat="1" x14ac:dyDescent="0.25"/>
    <row r="558" s="2071" customFormat="1" x14ac:dyDescent="0.25"/>
    <row r="559" s="2071" customFormat="1" x14ac:dyDescent="0.25"/>
    <row r="560" s="2071" customFormat="1" x14ac:dyDescent="0.25"/>
    <row r="561" s="2071" customFormat="1" x14ac:dyDescent="0.25"/>
    <row r="562" s="2071" customFormat="1" x14ac:dyDescent="0.25"/>
    <row r="563" s="2071" customFormat="1" x14ac:dyDescent="0.25"/>
    <row r="564" s="2071" customFormat="1" x14ac:dyDescent="0.25"/>
    <row r="565" s="2071" customFormat="1" x14ac:dyDescent="0.25"/>
    <row r="566" s="2071" customFormat="1" x14ac:dyDescent="0.25"/>
    <row r="567" s="2071" customFormat="1" x14ac:dyDescent="0.25"/>
    <row r="568" s="2071" customFormat="1" x14ac:dyDescent="0.25"/>
    <row r="569" s="2071" customFormat="1" x14ac:dyDescent="0.25"/>
    <row r="570" s="2071" customFormat="1" x14ac:dyDescent="0.25"/>
    <row r="571" s="2071" customFormat="1" x14ac:dyDescent="0.25"/>
    <row r="572" s="2071" customFormat="1" x14ac:dyDescent="0.25"/>
    <row r="573" s="2071" customFormat="1" x14ac:dyDescent="0.25"/>
    <row r="574" s="2071" customFormat="1" x14ac:dyDescent="0.25"/>
    <row r="575" s="2071" customFormat="1" x14ac:dyDescent="0.25"/>
    <row r="576" s="2071" customFormat="1" x14ac:dyDescent="0.25"/>
    <row r="577" s="2071" customFormat="1" x14ac:dyDescent="0.25"/>
    <row r="578" s="2071" customFormat="1" x14ac:dyDescent="0.25"/>
    <row r="579" s="2071" customFormat="1" x14ac:dyDescent="0.25"/>
    <row r="580" s="2071" customFormat="1" x14ac:dyDescent="0.25"/>
    <row r="581" s="2071" customFormat="1" x14ac:dyDescent="0.25"/>
    <row r="582" s="2071" customFormat="1" x14ac:dyDescent="0.25"/>
    <row r="583" s="2071" customFormat="1" x14ac:dyDescent="0.25"/>
    <row r="584" s="2071" customFormat="1" x14ac:dyDescent="0.25"/>
    <row r="585" s="2071" customFormat="1" x14ac:dyDescent="0.25"/>
    <row r="586" s="2071" customFormat="1" x14ac:dyDescent="0.25"/>
    <row r="587" s="2071" customFormat="1" x14ac:dyDescent="0.25"/>
    <row r="588" s="2071" customFormat="1" x14ac:dyDescent="0.25"/>
    <row r="589" s="2071" customFormat="1" x14ac:dyDescent="0.25"/>
    <row r="590" s="2071" customFormat="1" x14ac:dyDescent="0.25"/>
    <row r="591" s="2071" customFormat="1" x14ac:dyDescent="0.25"/>
    <row r="592" s="2071" customFormat="1" x14ac:dyDescent="0.25"/>
    <row r="593" s="2071" customFormat="1" x14ac:dyDescent="0.25"/>
    <row r="594" s="2071" customFormat="1" x14ac:dyDescent="0.25"/>
    <row r="595" s="2071" customFormat="1" x14ac:dyDescent="0.25"/>
    <row r="596" s="2071" customFormat="1" x14ac:dyDescent="0.25"/>
    <row r="597" s="2071" customFormat="1" x14ac:dyDescent="0.25"/>
    <row r="598" s="2071" customFormat="1" x14ac:dyDescent="0.25"/>
    <row r="599" s="2071" customFormat="1" x14ac:dyDescent="0.25"/>
    <row r="600" s="2071" customFormat="1" x14ac:dyDescent="0.25"/>
    <row r="601" s="2071" customFormat="1" x14ac:dyDescent="0.25"/>
    <row r="602" s="2071" customFormat="1" x14ac:dyDescent="0.25"/>
    <row r="603" s="2071" customFormat="1" x14ac:dyDescent="0.25"/>
    <row r="604" s="2071" customFormat="1" x14ac:dyDescent="0.25"/>
    <row r="605" s="2071" customFormat="1" x14ac:dyDescent="0.25"/>
    <row r="606" s="2071" customFormat="1" x14ac:dyDescent="0.25"/>
    <row r="607" s="2071" customFormat="1" x14ac:dyDescent="0.25"/>
    <row r="608" s="2071" customFormat="1" x14ac:dyDescent="0.25"/>
    <row r="609" s="2071" customFormat="1" x14ac:dyDescent="0.25"/>
    <row r="610" s="2071" customFormat="1" x14ac:dyDescent="0.25"/>
    <row r="611" s="2071" customFormat="1" x14ac:dyDescent="0.25"/>
    <row r="612" s="2071" customFormat="1" x14ac:dyDescent="0.25"/>
    <row r="613" s="2071" customFormat="1" x14ac:dyDescent="0.25"/>
    <row r="614" s="2071" customFormat="1" x14ac:dyDescent="0.25"/>
    <row r="615" s="2071" customFormat="1" x14ac:dyDescent="0.25"/>
    <row r="616" s="2071" customFormat="1" x14ac:dyDescent="0.25"/>
    <row r="617" s="2071" customFormat="1" x14ac:dyDescent="0.25"/>
    <row r="618" s="2071" customFormat="1" x14ac:dyDescent="0.25"/>
    <row r="619" s="2071" customFormat="1" x14ac:dyDescent="0.25"/>
    <row r="620" s="2071" customFormat="1" x14ac:dyDescent="0.25"/>
    <row r="621" s="2071" customFormat="1" x14ac:dyDescent="0.25"/>
    <row r="622" s="2071" customFormat="1" x14ac:dyDescent="0.25"/>
    <row r="623" s="2071" customFormat="1" x14ac:dyDescent="0.25"/>
    <row r="624" s="2071" customFormat="1" x14ac:dyDescent="0.25"/>
    <row r="625" s="2071" customFormat="1" x14ac:dyDescent="0.25"/>
    <row r="626" s="2071" customFormat="1" x14ac:dyDescent="0.25"/>
    <row r="627" s="2071" customFormat="1" x14ac:dyDescent="0.25"/>
    <row r="628" s="2071" customFormat="1" x14ac:dyDescent="0.25"/>
    <row r="629" s="2071" customFormat="1" x14ac:dyDescent="0.25"/>
    <row r="630" s="2071" customFormat="1" x14ac:dyDescent="0.25"/>
    <row r="631" s="2071" customFormat="1" x14ac:dyDescent="0.25"/>
    <row r="632" s="2071" customFormat="1" x14ac:dyDescent="0.25"/>
    <row r="633" s="2071" customFormat="1" x14ac:dyDescent="0.25"/>
    <row r="634" s="2071" customFormat="1" x14ac:dyDescent="0.25"/>
    <row r="635" s="2071" customFormat="1" x14ac:dyDescent="0.25"/>
    <row r="636" s="2071" customFormat="1" x14ac:dyDescent="0.25"/>
    <row r="637" s="2071" customFormat="1" x14ac:dyDescent="0.25"/>
    <row r="638" s="2071" customFormat="1" x14ac:dyDescent="0.25"/>
    <row r="639" s="2071" customFormat="1" x14ac:dyDescent="0.25"/>
    <row r="640" s="2071" customFormat="1" x14ac:dyDescent="0.25"/>
    <row r="641" s="2071" customFormat="1" x14ac:dyDescent="0.25"/>
    <row r="642" s="2071" customFormat="1" x14ac:dyDescent="0.25"/>
    <row r="643" s="2071" customFormat="1" x14ac:dyDescent="0.25"/>
    <row r="644" s="2071" customFormat="1" x14ac:dyDescent="0.25"/>
    <row r="645" s="2071" customFormat="1" x14ac:dyDescent="0.25"/>
    <row r="646" s="2071" customFormat="1" x14ac:dyDescent="0.25"/>
    <row r="647" s="2071" customFormat="1" x14ac:dyDescent="0.25"/>
    <row r="648" s="2071" customFormat="1" x14ac:dyDescent="0.25"/>
    <row r="649" s="2071" customFormat="1" x14ac:dyDescent="0.25"/>
    <row r="650" s="2071" customFormat="1" x14ac:dyDescent="0.25"/>
    <row r="651" s="2071" customFormat="1" x14ac:dyDescent="0.25"/>
    <row r="652" s="2071" customFormat="1" x14ac:dyDescent="0.25"/>
    <row r="653" s="2071" customFormat="1" x14ac:dyDescent="0.25"/>
    <row r="654" s="2071" customFormat="1" x14ac:dyDescent="0.25"/>
    <row r="655" s="2071" customFormat="1" x14ac:dyDescent="0.25"/>
    <row r="656" s="2071" customFormat="1" x14ac:dyDescent="0.25"/>
    <row r="657" s="2071" customFormat="1" x14ac:dyDescent="0.25"/>
    <row r="658" s="2071" customFormat="1" x14ac:dyDescent="0.25"/>
    <row r="659" s="2071" customFormat="1" x14ac:dyDescent="0.25"/>
    <row r="660" s="2071" customFormat="1" x14ac:dyDescent="0.25"/>
    <row r="661" s="2071" customFormat="1" x14ac:dyDescent="0.25"/>
    <row r="662" s="2071" customFormat="1" x14ac:dyDescent="0.25"/>
    <row r="663" s="2071" customFormat="1" x14ac:dyDescent="0.25"/>
    <row r="664" s="2071" customFormat="1" x14ac:dyDescent="0.25"/>
    <row r="665" s="2071" customFormat="1" x14ac:dyDescent="0.25"/>
    <row r="666" s="2071" customFormat="1" x14ac:dyDescent="0.25"/>
    <row r="667" s="2071" customFormat="1" x14ac:dyDescent="0.25"/>
    <row r="668" s="2071" customFormat="1" x14ac:dyDescent="0.25"/>
    <row r="669" s="2071" customFormat="1" x14ac:dyDescent="0.25"/>
    <row r="670" s="2071" customFormat="1" x14ac:dyDescent="0.25"/>
    <row r="671" s="2071" customFormat="1" x14ac:dyDescent="0.25"/>
    <row r="672" s="2071" customFormat="1" x14ac:dyDescent="0.25"/>
    <row r="673" s="2071" customFormat="1" x14ac:dyDescent="0.25"/>
    <row r="674" s="2071" customFormat="1" x14ac:dyDescent="0.25"/>
    <row r="675" s="2071" customFormat="1" x14ac:dyDescent="0.25"/>
    <row r="676" s="2071" customFormat="1" x14ac:dyDescent="0.25"/>
    <row r="677" s="2071" customFormat="1" x14ac:dyDescent="0.25"/>
    <row r="678" s="2071" customFormat="1" x14ac:dyDescent="0.25"/>
    <row r="679" s="2071" customFormat="1" x14ac:dyDescent="0.25"/>
    <row r="680" s="2071" customFormat="1" x14ac:dyDescent="0.25"/>
    <row r="681" s="2071" customFormat="1" x14ac:dyDescent="0.25"/>
    <row r="682" s="2071" customFormat="1" x14ac:dyDescent="0.25"/>
    <row r="683" s="2071" customFormat="1" x14ac:dyDescent="0.25"/>
    <row r="684" s="2071" customFormat="1" x14ac:dyDescent="0.25"/>
    <row r="685" s="2071" customFormat="1" x14ac:dyDescent="0.25"/>
    <row r="686" s="2071" customFormat="1" x14ac:dyDescent="0.25"/>
    <row r="687" s="2071" customFormat="1" x14ac:dyDescent="0.25"/>
    <row r="688" s="2071" customFormat="1" x14ac:dyDescent="0.25"/>
    <row r="689" s="2071" customFormat="1" x14ac:dyDescent="0.25"/>
    <row r="690" s="2071" customFormat="1" x14ac:dyDescent="0.25"/>
    <row r="691" s="2071" customFormat="1" x14ac:dyDescent="0.25"/>
    <row r="692" s="2071" customFormat="1" x14ac:dyDescent="0.25"/>
    <row r="693" s="2071" customFormat="1" x14ac:dyDescent="0.25"/>
    <row r="694" s="2071" customFormat="1" x14ac:dyDescent="0.25"/>
    <row r="695" s="2071" customFormat="1" x14ac:dyDescent="0.25"/>
    <row r="696" s="2071" customFormat="1" x14ac:dyDescent="0.25"/>
    <row r="697" s="2071" customFormat="1" x14ac:dyDescent="0.25"/>
    <row r="698" s="2071" customFormat="1" x14ac:dyDescent="0.25"/>
    <row r="699" s="2071" customFormat="1" x14ac:dyDescent="0.25"/>
    <row r="700" s="2071" customFormat="1" x14ac:dyDescent="0.25"/>
    <row r="701" s="2071" customFormat="1" x14ac:dyDescent="0.25"/>
    <row r="702" s="2071" customFormat="1" x14ac:dyDescent="0.25"/>
    <row r="703" s="2071" customFormat="1" x14ac:dyDescent="0.25"/>
    <row r="704" s="2071" customFormat="1" x14ac:dyDescent="0.25"/>
    <row r="705" s="2071" customFormat="1" x14ac:dyDescent="0.25"/>
    <row r="706" s="2071" customFormat="1" x14ac:dyDescent="0.25"/>
    <row r="707" s="2071" customFormat="1" x14ac:dyDescent="0.25"/>
    <row r="708" s="2071" customFormat="1" x14ac:dyDescent="0.25"/>
    <row r="709" s="2071" customFormat="1" x14ac:dyDescent="0.25"/>
    <row r="710" s="2071" customFormat="1" x14ac:dyDescent="0.25"/>
    <row r="711" s="2071" customFormat="1" x14ac:dyDescent="0.25"/>
    <row r="712" s="2071" customFormat="1" x14ac:dyDescent="0.25"/>
    <row r="713" s="2071" customFormat="1" x14ac:dyDescent="0.25"/>
    <row r="714" s="2071" customFormat="1" x14ac:dyDescent="0.25"/>
    <row r="715" s="2071" customFormat="1" x14ac:dyDescent="0.25"/>
    <row r="716" s="2071" customFormat="1" x14ac:dyDescent="0.25"/>
    <row r="717" s="2071" customFormat="1" x14ac:dyDescent="0.25"/>
    <row r="718" s="2071" customFormat="1" x14ac:dyDescent="0.25"/>
    <row r="719" s="2071" customFormat="1" x14ac:dyDescent="0.25"/>
    <row r="720" s="2071" customFormat="1" x14ac:dyDescent="0.25"/>
    <row r="721" s="2071" customFormat="1" x14ac:dyDescent="0.25"/>
    <row r="722" s="2071" customFormat="1" x14ac:dyDescent="0.25"/>
    <row r="723" s="2071" customFormat="1" x14ac:dyDescent="0.25"/>
    <row r="724" s="2071" customFormat="1" x14ac:dyDescent="0.25"/>
    <row r="725" s="2071" customFormat="1" x14ac:dyDescent="0.25"/>
    <row r="726" s="2071" customFormat="1" x14ac:dyDescent="0.25"/>
    <row r="727" s="2071" customFormat="1" x14ac:dyDescent="0.25"/>
    <row r="728" s="2071" customFormat="1" x14ac:dyDescent="0.25"/>
    <row r="729" s="2071" customFormat="1" x14ac:dyDescent="0.25"/>
    <row r="730" s="2071" customFormat="1" x14ac:dyDescent="0.25"/>
    <row r="731" s="2071" customFormat="1" x14ac:dyDescent="0.25"/>
    <row r="732" s="2071" customFormat="1" x14ac:dyDescent="0.25"/>
    <row r="733" s="2071" customFormat="1" x14ac:dyDescent="0.25"/>
    <row r="734" s="2071" customFormat="1" x14ac:dyDescent="0.25"/>
    <row r="735" s="2071" customFormat="1" x14ac:dyDescent="0.25"/>
    <row r="736" s="2071" customFormat="1" x14ac:dyDescent="0.25"/>
    <row r="737" s="2071" customFormat="1" x14ac:dyDescent="0.25"/>
    <row r="738" s="2071" customFormat="1" x14ac:dyDescent="0.25"/>
    <row r="739" s="2071" customFormat="1" x14ac:dyDescent="0.25"/>
    <row r="740" s="2071" customFormat="1" x14ac:dyDescent="0.25"/>
    <row r="741" s="2071" customFormat="1" x14ac:dyDescent="0.25"/>
    <row r="742" s="2071" customFormat="1" x14ac:dyDescent="0.25"/>
    <row r="743" s="2071" customFormat="1" x14ac:dyDescent="0.25"/>
    <row r="744" s="2071" customFormat="1" x14ac:dyDescent="0.25"/>
    <row r="745" s="2071" customFormat="1" x14ac:dyDescent="0.25"/>
    <row r="746" s="2071" customFormat="1" x14ac:dyDescent="0.25"/>
    <row r="747" s="2071" customFormat="1" x14ac:dyDescent="0.25"/>
    <row r="748" s="2071" customFormat="1" x14ac:dyDescent="0.25"/>
    <row r="749" s="2071" customFormat="1" x14ac:dyDescent="0.25"/>
    <row r="750" s="2071" customFormat="1" x14ac:dyDescent="0.25"/>
    <row r="751" s="2071" customFormat="1" x14ac:dyDescent="0.25"/>
    <row r="752" s="2071" customFormat="1" x14ac:dyDescent="0.25"/>
    <row r="753" s="2071" customFormat="1" x14ac:dyDescent="0.25"/>
    <row r="754" s="2071" customFormat="1" x14ac:dyDescent="0.25"/>
    <row r="755" s="2071" customFormat="1" x14ac:dyDescent="0.25"/>
    <row r="756" s="2071" customFormat="1" x14ac:dyDescent="0.25"/>
    <row r="757" s="2071" customFormat="1" x14ac:dyDescent="0.25"/>
    <row r="758" s="2071" customFormat="1" x14ac:dyDescent="0.25"/>
    <row r="759" s="2071" customFormat="1" x14ac:dyDescent="0.25"/>
    <row r="760" s="2071" customFormat="1" x14ac:dyDescent="0.25"/>
    <row r="761" s="2071" customFormat="1" x14ac:dyDescent="0.25"/>
    <row r="762" s="2071" customFormat="1" x14ac:dyDescent="0.25"/>
    <row r="763" s="2071" customFormat="1" x14ac:dyDescent="0.25"/>
    <row r="764" s="2071" customFormat="1" x14ac:dyDescent="0.25"/>
    <row r="765" s="2071" customFormat="1" x14ac:dyDescent="0.25"/>
    <row r="766" s="2071" customFormat="1" x14ac:dyDescent="0.25"/>
    <row r="767" s="2071" customFormat="1" x14ac:dyDescent="0.25"/>
    <row r="768" s="2071" customFormat="1" x14ac:dyDescent="0.25"/>
    <row r="769" s="2071" customFormat="1" x14ac:dyDescent="0.25"/>
    <row r="770" s="2071" customFormat="1" x14ac:dyDescent="0.25"/>
    <row r="771" s="2071" customFormat="1" x14ac:dyDescent="0.25"/>
    <row r="772" s="2071" customFormat="1" x14ac:dyDescent="0.25"/>
    <row r="773" s="2071" customFormat="1" x14ac:dyDescent="0.25"/>
    <row r="774" s="2071" customFormat="1" x14ac:dyDescent="0.25"/>
    <row r="775" s="2071" customFormat="1" x14ac:dyDescent="0.25"/>
    <row r="776" s="2071" customFormat="1" x14ac:dyDescent="0.25"/>
    <row r="777" s="2071" customFormat="1" x14ac:dyDescent="0.25"/>
    <row r="778" s="2071" customFormat="1" x14ac:dyDescent="0.25"/>
    <row r="779" s="2071" customFormat="1" x14ac:dyDescent="0.25"/>
    <row r="780" s="2071" customFormat="1" x14ac:dyDescent="0.25"/>
    <row r="781" s="2071" customFormat="1" x14ac:dyDescent="0.25"/>
    <row r="782" s="2071" customFormat="1" x14ac:dyDescent="0.25"/>
    <row r="783" s="2071" customFormat="1" x14ac:dyDescent="0.25"/>
    <row r="784" s="2071" customFormat="1" x14ac:dyDescent="0.25"/>
    <row r="785" s="2071" customFormat="1" x14ac:dyDescent="0.25"/>
    <row r="786" s="2071" customFormat="1" x14ac:dyDescent="0.25"/>
    <row r="787" s="2071" customFormat="1" x14ac:dyDescent="0.25"/>
    <row r="788" s="2071" customFormat="1" x14ac:dyDescent="0.25"/>
    <row r="789" s="2071" customFormat="1" x14ac:dyDescent="0.25"/>
    <row r="790" s="2071" customFormat="1" x14ac:dyDescent="0.25"/>
    <row r="791" s="2071" customFormat="1" x14ac:dyDescent="0.25"/>
    <row r="792" s="2071" customFormat="1" x14ac:dyDescent="0.25"/>
    <row r="793" s="2071" customFormat="1" x14ac:dyDescent="0.25"/>
    <row r="794" s="2071" customFormat="1" x14ac:dyDescent="0.25"/>
    <row r="795" s="2071" customFormat="1" x14ac:dyDescent="0.25"/>
    <row r="796" s="2071" customFormat="1" x14ac:dyDescent="0.25"/>
    <row r="797" s="2071" customFormat="1" x14ac:dyDescent="0.25"/>
    <row r="798" s="2071" customFormat="1" x14ac:dyDescent="0.25"/>
    <row r="799" s="2071" customFormat="1" x14ac:dyDescent="0.25"/>
    <row r="800" s="2071" customFormat="1" x14ac:dyDescent="0.25"/>
    <row r="801" s="2071" customFormat="1" x14ac:dyDescent="0.25"/>
    <row r="802" s="2071" customFormat="1" x14ac:dyDescent="0.25"/>
    <row r="803" s="2071" customFormat="1" x14ac:dyDescent="0.25"/>
    <row r="804" s="2071" customFormat="1" x14ac:dyDescent="0.25"/>
    <row r="805" s="2071" customFormat="1" x14ac:dyDescent="0.25"/>
    <row r="806" s="2071" customFormat="1" x14ac:dyDescent="0.25"/>
    <row r="807" s="2071" customFormat="1" x14ac:dyDescent="0.25"/>
    <row r="808" s="2071" customFormat="1" x14ac:dyDescent="0.25"/>
    <row r="809" s="2071" customFormat="1" x14ac:dyDescent="0.25"/>
    <row r="810" s="2071" customFormat="1" x14ac:dyDescent="0.25"/>
    <row r="811" s="2071" customFormat="1" x14ac:dyDescent="0.25"/>
    <row r="812" s="2071" customFormat="1" x14ac:dyDescent="0.25"/>
    <row r="813" s="2071" customFormat="1" x14ac:dyDescent="0.25"/>
    <row r="814" s="2071" customFormat="1" x14ac:dyDescent="0.25"/>
    <row r="815" s="2071" customFormat="1" x14ac:dyDescent="0.25"/>
    <row r="816" s="2071" customFormat="1" x14ac:dyDescent="0.25"/>
    <row r="817" s="2071" customFormat="1" x14ac:dyDescent="0.25"/>
    <row r="818" s="2071" customFormat="1" x14ac:dyDescent="0.25"/>
    <row r="819" s="2071" customFormat="1" x14ac:dyDescent="0.25"/>
    <row r="820" s="2071" customFormat="1" x14ac:dyDescent="0.25"/>
    <row r="821" s="2071" customFormat="1" x14ac:dyDescent="0.25"/>
    <row r="822" s="2071" customFormat="1" x14ac:dyDescent="0.25"/>
    <row r="823" s="2071" customFormat="1" x14ac:dyDescent="0.25"/>
    <row r="824" s="2071" customFormat="1" x14ac:dyDescent="0.25"/>
    <row r="825" s="2071" customFormat="1" x14ac:dyDescent="0.25"/>
    <row r="826" s="2071" customFormat="1" x14ac:dyDescent="0.25"/>
    <row r="827" s="2071" customFormat="1" x14ac:dyDescent="0.25"/>
    <row r="828" s="2071" customFormat="1" x14ac:dyDescent="0.25"/>
    <row r="829" s="2071" customFormat="1" x14ac:dyDescent="0.25"/>
    <row r="830" s="2071" customFormat="1" x14ac:dyDescent="0.25"/>
    <row r="831" s="2071" customFormat="1" x14ac:dyDescent="0.25"/>
    <row r="832" s="2071" customFormat="1" x14ac:dyDescent="0.25"/>
    <row r="833" s="2071" customFormat="1" x14ac:dyDescent="0.25"/>
    <row r="834" s="2071" customFormat="1" x14ac:dyDescent="0.25"/>
    <row r="835" s="2071" customFormat="1" x14ac:dyDescent="0.25"/>
    <row r="836" s="2071" customFormat="1" x14ac:dyDescent="0.25"/>
    <row r="837" s="2071" customFormat="1" x14ac:dyDescent="0.25"/>
    <row r="838" s="2071" customFormat="1" x14ac:dyDescent="0.25"/>
    <row r="839" s="2071" customFormat="1" x14ac:dyDescent="0.25"/>
    <row r="840" s="2071" customFormat="1" x14ac:dyDescent="0.25"/>
    <row r="841" s="2071" customFormat="1" x14ac:dyDescent="0.25"/>
    <row r="842" s="2071" customFormat="1" x14ac:dyDescent="0.25"/>
    <row r="843" s="2071" customFormat="1" x14ac:dyDescent="0.25"/>
    <row r="844" s="2071" customFormat="1" x14ac:dyDescent="0.25"/>
    <row r="845" s="2071" customFormat="1" x14ac:dyDescent="0.25"/>
    <row r="846" s="2071" customFormat="1" x14ac:dyDescent="0.25"/>
    <row r="847" s="2071" customFormat="1" x14ac:dyDescent="0.25"/>
    <row r="848" s="2071" customFormat="1" x14ac:dyDescent="0.25"/>
    <row r="849" s="2071" customFormat="1" x14ac:dyDescent="0.25"/>
    <row r="850" s="2071" customFormat="1" x14ac:dyDescent="0.25"/>
    <row r="851" s="2071" customFormat="1" x14ac:dyDescent="0.25"/>
    <row r="852" s="2071" customFormat="1" x14ac:dyDescent="0.25"/>
    <row r="853" s="2071" customFormat="1" x14ac:dyDescent="0.25"/>
    <row r="854" s="2071" customFormat="1" x14ac:dyDescent="0.25"/>
    <row r="855" s="2071" customFormat="1" x14ac:dyDescent="0.25"/>
    <row r="856" s="2071" customFormat="1" x14ac:dyDescent="0.25"/>
    <row r="857" s="2071" customFormat="1" x14ac:dyDescent="0.25"/>
    <row r="858" s="2071" customFormat="1" x14ac:dyDescent="0.25"/>
    <row r="859" s="2071" customFormat="1" x14ac:dyDescent="0.25"/>
    <row r="860" s="2071" customFormat="1" x14ac:dyDescent="0.25"/>
    <row r="861" s="2071" customFormat="1" x14ac:dyDescent="0.25"/>
    <row r="862" s="2071" customFormat="1" x14ac:dyDescent="0.25"/>
    <row r="863" s="2071" customFormat="1" x14ac:dyDescent="0.25"/>
    <row r="864" s="2071" customFormat="1" x14ac:dyDescent="0.25"/>
    <row r="865" s="2071" customFormat="1" x14ac:dyDescent="0.25"/>
    <row r="866" s="2071" customFormat="1" x14ac:dyDescent="0.25"/>
    <row r="867" s="2071" customFormat="1" x14ac:dyDescent="0.25"/>
    <row r="868" s="2071" customFormat="1" x14ac:dyDescent="0.25"/>
    <row r="869" s="2071" customFormat="1" x14ac:dyDescent="0.25"/>
    <row r="870" s="2071" customFormat="1" x14ac:dyDescent="0.25"/>
    <row r="871" s="2071" customFormat="1" x14ac:dyDescent="0.25"/>
    <row r="872" s="2071" customFormat="1" x14ac:dyDescent="0.25"/>
    <row r="873" s="2071" customFormat="1" x14ac:dyDescent="0.25"/>
    <row r="874" s="2071" customFormat="1" x14ac:dyDescent="0.25"/>
    <row r="875" s="2071" customFormat="1" x14ac:dyDescent="0.25"/>
    <row r="876" s="2071" customFormat="1" x14ac:dyDescent="0.25"/>
    <row r="877" s="2071" customFormat="1" x14ac:dyDescent="0.25"/>
    <row r="878" s="2071" customFormat="1" x14ac:dyDescent="0.25"/>
    <row r="879" s="2071" customFormat="1" x14ac:dyDescent="0.25"/>
    <row r="880" s="2071" customFormat="1" x14ac:dyDescent="0.25"/>
    <row r="881" s="2071" customFormat="1" x14ac:dyDescent="0.25"/>
    <row r="882" s="2071" customFormat="1" x14ac:dyDescent="0.25"/>
    <row r="883" s="2071" customFormat="1" x14ac:dyDescent="0.25"/>
    <row r="884" s="2071" customFormat="1" x14ac:dyDescent="0.25"/>
    <row r="885" s="2071" customFormat="1" x14ac:dyDescent="0.25"/>
    <row r="886" s="2071" customFormat="1" x14ac:dyDescent="0.25"/>
    <row r="887" s="2071" customFormat="1" x14ac:dyDescent="0.25"/>
    <row r="888" s="2071" customFormat="1" x14ac:dyDescent="0.25"/>
    <row r="889" s="2071" customFormat="1" x14ac:dyDescent="0.25"/>
    <row r="890" s="2071" customFormat="1" x14ac:dyDescent="0.25"/>
    <row r="891" s="2071" customFormat="1" x14ac:dyDescent="0.25"/>
    <row r="892" s="2071" customFormat="1" x14ac:dyDescent="0.25"/>
    <row r="893" s="2071" customFormat="1" x14ac:dyDescent="0.25"/>
    <row r="894" s="2071" customFormat="1" x14ac:dyDescent="0.25"/>
    <row r="895" s="2071" customFormat="1" x14ac:dyDescent="0.25"/>
    <row r="896" s="2071" customFormat="1" x14ac:dyDescent="0.25"/>
    <row r="897" s="2071" customFormat="1" x14ac:dyDescent="0.25"/>
    <row r="898" s="2071" customFormat="1" x14ac:dyDescent="0.25"/>
    <row r="899" s="2071" customFormat="1" x14ac:dyDescent="0.25"/>
    <row r="900" s="2071" customFormat="1" x14ac:dyDescent="0.25"/>
    <row r="901" s="2071" customFormat="1" x14ac:dyDescent="0.25"/>
    <row r="902" s="2071" customFormat="1" x14ac:dyDescent="0.25"/>
    <row r="903" s="2071" customFormat="1" x14ac:dyDescent="0.25"/>
    <row r="904" s="2071" customFormat="1" x14ac:dyDescent="0.25"/>
    <row r="905" s="2071" customFormat="1" x14ac:dyDescent="0.25"/>
    <row r="906" s="2071" customFormat="1" x14ac:dyDescent="0.25"/>
    <row r="907" s="2071" customFormat="1" x14ac:dyDescent="0.25"/>
    <row r="908" s="2071" customFormat="1" x14ac:dyDescent="0.25"/>
    <row r="909" s="2071" customFormat="1" x14ac:dyDescent="0.25"/>
    <row r="910" s="2071" customFormat="1" x14ac:dyDescent="0.25"/>
    <row r="911" s="2071" customFormat="1" x14ac:dyDescent="0.25"/>
    <row r="912" s="2071" customFormat="1" x14ac:dyDescent="0.25"/>
    <row r="913" s="2071" customFormat="1" x14ac:dyDescent="0.25"/>
    <row r="914" s="2071" customFormat="1" x14ac:dyDescent="0.25"/>
    <row r="915" s="2071" customFormat="1" x14ac:dyDescent="0.25"/>
    <row r="916" s="2071" customFormat="1" x14ac:dyDescent="0.25"/>
    <row r="917" s="2071" customFormat="1" x14ac:dyDescent="0.25"/>
    <row r="918" s="2071" customFormat="1" x14ac:dyDescent="0.25"/>
    <row r="919" s="2071" customFormat="1" x14ac:dyDescent="0.25"/>
    <row r="920" s="2071" customFormat="1" x14ac:dyDescent="0.25"/>
    <row r="921" s="2071" customFormat="1" x14ac:dyDescent="0.25"/>
    <row r="922" s="2071" customFormat="1" x14ac:dyDescent="0.25"/>
    <row r="923" s="2071" customFormat="1" x14ac:dyDescent="0.25"/>
    <row r="924" s="2071" customFormat="1" x14ac:dyDescent="0.25"/>
    <row r="925" s="2071" customFormat="1" x14ac:dyDescent="0.25"/>
    <row r="926" s="2071" customFormat="1" x14ac:dyDescent="0.25"/>
    <row r="927" s="2071" customFormat="1" x14ac:dyDescent="0.25"/>
    <row r="928" s="2071" customFormat="1" x14ac:dyDescent="0.25"/>
    <row r="929" s="2071" customFormat="1" x14ac:dyDescent="0.25"/>
    <row r="930" s="2071" customFormat="1" x14ac:dyDescent="0.25"/>
    <row r="931" s="2071" customFormat="1" x14ac:dyDescent="0.25"/>
    <row r="932" s="2071" customFormat="1" x14ac:dyDescent="0.25"/>
    <row r="933" s="2071" customFormat="1" x14ac:dyDescent="0.25"/>
    <row r="934" s="2071" customFormat="1" x14ac:dyDescent="0.25"/>
    <row r="935" s="2071" customFormat="1" x14ac:dyDescent="0.25"/>
    <row r="936" s="2071" customFormat="1" x14ac:dyDescent="0.25"/>
    <row r="937" s="2071" customFormat="1" x14ac:dyDescent="0.25"/>
    <row r="938" s="2071" customFormat="1" x14ac:dyDescent="0.25"/>
    <row r="939" s="2071" customFormat="1" x14ac:dyDescent="0.25"/>
    <row r="940" s="2071" customFormat="1" x14ac:dyDescent="0.25"/>
    <row r="941" s="2071" customFormat="1" x14ac:dyDescent="0.25"/>
    <row r="942" s="2071" customFormat="1" x14ac:dyDescent="0.25"/>
    <row r="943" s="2071" customFormat="1" x14ac:dyDescent="0.25"/>
    <row r="944" s="2071" customFormat="1" x14ac:dyDescent="0.25"/>
    <row r="945" s="2071" customFormat="1" x14ac:dyDescent="0.25"/>
    <row r="946" s="2071" customFormat="1" x14ac:dyDescent="0.25"/>
    <row r="947" s="2071" customFormat="1" x14ac:dyDescent="0.25"/>
    <row r="948" s="2071" customFormat="1" x14ac:dyDescent="0.25"/>
    <row r="949" s="2071" customFormat="1" x14ac:dyDescent="0.25"/>
    <row r="950" s="2071" customFormat="1" x14ac:dyDescent="0.25"/>
    <row r="951" s="2071" customFormat="1" x14ac:dyDescent="0.25"/>
    <row r="952" s="2071" customFormat="1" x14ac:dyDescent="0.25"/>
    <row r="953" s="2071" customFormat="1" x14ac:dyDescent="0.25"/>
    <row r="954" s="2071" customFormat="1" x14ac:dyDescent="0.25"/>
    <row r="955" s="2071" customFormat="1" x14ac:dyDescent="0.25"/>
    <row r="956" s="2071" customFormat="1" x14ac:dyDescent="0.25"/>
    <row r="957" s="2071" customFormat="1" x14ac:dyDescent="0.25"/>
    <row r="958" s="2071" customFormat="1" x14ac:dyDescent="0.25"/>
    <row r="959" s="2071" customFormat="1" x14ac:dyDescent="0.25"/>
    <row r="960" s="2071" customFormat="1" x14ac:dyDescent="0.25"/>
    <row r="961" s="2071" customFormat="1" x14ac:dyDescent="0.25"/>
    <row r="962" s="2071" customFormat="1" x14ac:dyDescent="0.25"/>
    <row r="963" s="2071" customFormat="1" x14ac:dyDescent="0.25"/>
    <row r="964" s="2071" customFormat="1" x14ac:dyDescent="0.25"/>
    <row r="965" s="2071" customFormat="1" x14ac:dyDescent="0.25"/>
    <row r="966" s="2071" customFormat="1" x14ac:dyDescent="0.25"/>
    <row r="967" s="2071" customFormat="1" x14ac:dyDescent="0.25"/>
    <row r="968" s="2071" customFormat="1" x14ac:dyDescent="0.25"/>
    <row r="969" s="2071" customFormat="1" x14ac:dyDescent="0.25"/>
    <row r="970" s="2071" customFormat="1" x14ac:dyDescent="0.25"/>
    <row r="971" s="2071" customFormat="1" x14ac:dyDescent="0.25"/>
    <row r="972" s="2071" customFormat="1" x14ac:dyDescent="0.25"/>
    <row r="973" s="2071" customFormat="1" x14ac:dyDescent="0.25"/>
    <row r="974" s="2071" customFormat="1" x14ac:dyDescent="0.25"/>
    <row r="975" s="2071" customFormat="1" x14ac:dyDescent="0.25"/>
    <row r="976" s="2071" customFormat="1" x14ac:dyDescent="0.25"/>
    <row r="977" s="2071" customFormat="1" x14ac:dyDescent="0.25"/>
    <row r="978" s="2071" customFormat="1" x14ac:dyDescent="0.25"/>
    <row r="979" s="2071" customFormat="1" x14ac:dyDescent="0.25"/>
    <row r="980" s="2071" customFormat="1" x14ac:dyDescent="0.25"/>
    <row r="981" s="2071" customFormat="1" x14ac:dyDescent="0.25"/>
    <row r="982" s="2071" customFormat="1" x14ac:dyDescent="0.25"/>
    <row r="983" s="2071" customFormat="1" x14ac:dyDescent="0.25"/>
    <row r="984" s="2071" customFormat="1" x14ac:dyDescent="0.25"/>
    <row r="985" s="2071" customFormat="1" x14ac:dyDescent="0.25"/>
    <row r="986" s="2071" customFormat="1" x14ac:dyDescent="0.25"/>
    <row r="987" s="2071" customFormat="1" x14ac:dyDescent="0.25"/>
    <row r="988" s="2071" customFormat="1" x14ac:dyDescent="0.25"/>
    <row r="989" s="2071" customFormat="1" x14ac:dyDescent="0.25"/>
    <row r="990" s="2071" customFormat="1" x14ac:dyDescent="0.25"/>
    <row r="991" s="2071" customFormat="1" x14ac:dyDescent="0.25"/>
    <row r="992" s="2071" customFormat="1" x14ac:dyDescent="0.25"/>
    <row r="993" s="2071" customFormat="1" x14ac:dyDescent="0.25"/>
    <row r="994" s="2071" customFormat="1" x14ac:dyDescent="0.25"/>
    <row r="995" s="2071" customFormat="1" x14ac:dyDescent="0.25"/>
    <row r="996" s="2071" customFormat="1" x14ac:dyDescent="0.25"/>
    <row r="997" s="2071" customFormat="1" x14ac:dyDescent="0.25"/>
    <row r="998" s="2071" customFormat="1" x14ac:dyDescent="0.25"/>
    <row r="999" s="2071" customFormat="1" x14ac:dyDescent="0.25"/>
    <row r="1000" s="2071" customFormat="1" x14ac:dyDescent="0.25"/>
    <row r="1001" s="2071" customFormat="1" x14ac:dyDescent="0.25"/>
    <row r="1002" s="2071" customFormat="1" x14ac:dyDescent="0.25"/>
    <row r="1003" s="2071" customFormat="1" x14ac:dyDescent="0.25"/>
    <row r="1004" s="2071" customFormat="1" x14ac:dyDescent="0.25"/>
    <row r="1005" s="2071" customFormat="1" x14ac:dyDescent="0.25"/>
    <row r="1006" s="2071" customFormat="1" x14ac:dyDescent="0.25"/>
    <row r="1007" s="2071" customFormat="1" x14ac:dyDescent="0.25"/>
    <row r="1008" s="2071" customFormat="1" x14ac:dyDescent="0.25"/>
    <row r="1009" s="2071" customFormat="1" x14ac:dyDescent="0.25"/>
    <row r="1010" s="2071" customFormat="1" x14ac:dyDescent="0.25"/>
    <row r="1011" s="2071" customFormat="1" x14ac:dyDescent="0.25"/>
    <row r="1012" s="2071" customFormat="1" x14ac:dyDescent="0.25"/>
    <row r="1013" s="2071" customFormat="1" x14ac:dyDescent="0.25"/>
    <row r="1014" s="2071" customFormat="1" x14ac:dyDescent="0.25"/>
    <row r="1015" s="2071" customFormat="1" x14ac:dyDescent="0.25"/>
    <row r="1016" s="2071" customFormat="1" x14ac:dyDescent="0.25"/>
    <row r="1017" s="2071" customFormat="1" x14ac:dyDescent="0.25"/>
    <row r="1018" s="2071" customFormat="1" x14ac:dyDescent="0.25"/>
    <row r="1019" s="2071" customFormat="1" x14ac:dyDescent="0.25"/>
    <row r="1020" s="2071" customFormat="1" x14ac:dyDescent="0.25"/>
    <row r="1021" s="2071" customFormat="1" x14ac:dyDescent="0.25"/>
    <row r="1022" s="2071" customFormat="1" x14ac:dyDescent="0.25"/>
    <row r="1023" s="2071" customFormat="1" x14ac:dyDescent="0.25"/>
    <row r="1024" s="2071" customFormat="1" x14ac:dyDescent="0.25"/>
    <row r="1025" s="2071" customFormat="1" x14ac:dyDescent="0.25"/>
    <row r="1026" s="2071" customFormat="1" x14ac:dyDescent="0.25"/>
    <row r="1027" s="2071" customFormat="1" x14ac:dyDescent="0.25"/>
    <row r="1028" s="2071" customFormat="1" x14ac:dyDescent="0.25"/>
    <row r="1029" s="2071" customFormat="1" x14ac:dyDescent="0.25"/>
    <row r="1030" s="2071" customFormat="1" x14ac:dyDescent="0.25"/>
    <row r="1031" s="2071" customFormat="1" x14ac:dyDescent="0.25"/>
    <row r="1032" s="2071" customFormat="1" x14ac:dyDescent="0.25"/>
    <row r="1033" s="2071" customFormat="1" x14ac:dyDescent="0.25"/>
    <row r="1034" s="2071" customFormat="1" x14ac:dyDescent="0.25"/>
    <row r="1035" s="2071" customFormat="1" x14ac:dyDescent="0.25"/>
    <row r="1036" s="2071" customFormat="1" x14ac:dyDescent="0.25"/>
    <row r="1037" s="2071" customFormat="1" x14ac:dyDescent="0.25"/>
    <row r="1038" s="2071" customFormat="1" x14ac:dyDescent="0.25"/>
    <row r="1039" s="2071" customFormat="1" x14ac:dyDescent="0.25"/>
    <row r="1040" s="2071" customFormat="1" x14ac:dyDescent="0.25"/>
    <row r="1041" s="2071" customFormat="1" x14ac:dyDescent="0.25"/>
    <row r="1042" s="2071" customFormat="1" x14ac:dyDescent="0.25"/>
    <row r="1043" s="2071" customFormat="1" x14ac:dyDescent="0.25"/>
    <row r="1044" s="2071" customFormat="1" x14ac:dyDescent="0.25"/>
    <row r="1045" s="2071" customFormat="1" x14ac:dyDescent="0.25"/>
    <row r="1046" s="2071" customFormat="1" x14ac:dyDescent="0.25"/>
    <row r="1047" s="2071" customFormat="1" x14ac:dyDescent="0.25"/>
    <row r="1048" s="2071" customFormat="1" x14ac:dyDescent="0.25"/>
    <row r="1049" s="2071" customFormat="1" x14ac:dyDescent="0.25"/>
    <row r="1050" s="2071" customFormat="1" x14ac:dyDescent="0.25"/>
    <row r="1051" s="2071" customFormat="1" x14ac:dyDescent="0.25"/>
    <row r="1052" s="2071" customFormat="1" x14ac:dyDescent="0.25"/>
    <row r="1053" s="2071" customFormat="1" x14ac:dyDescent="0.25"/>
    <row r="1054" s="2071" customFormat="1" x14ac:dyDescent="0.25"/>
    <row r="1055" s="2071" customFormat="1" x14ac:dyDescent="0.25"/>
    <row r="1056" s="2071" customFormat="1" x14ac:dyDescent="0.25"/>
    <row r="1057" s="2071" customFormat="1" x14ac:dyDescent="0.25"/>
    <row r="1058" s="2071" customFormat="1" x14ac:dyDescent="0.25"/>
    <row r="1059" s="2071" customFormat="1" x14ac:dyDescent="0.25"/>
    <row r="1060" s="2071" customFormat="1" x14ac:dyDescent="0.25"/>
    <row r="1061" s="2071" customFormat="1" x14ac:dyDescent="0.25"/>
    <row r="1062" s="2071" customFormat="1" x14ac:dyDescent="0.25"/>
    <row r="1063" s="2071" customFormat="1" x14ac:dyDescent="0.25"/>
    <row r="1064" s="2071" customFormat="1" x14ac:dyDescent="0.25"/>
    <row r="1065" s="2071" customFormat="1" x14ac:dyDescent="0.25"/>
    <row r="1066" s="2071" customFormat="1" x14ac:dyDescent="0.25"/>
    <row r="1067" s="2071" customFormat="1" x14ac:dyDescent="0.25"/>
    <row r="1068" s="2071" customFormat="1" x14ac:dyDescent="0.25"/>
    <row r="1069" s="2071" customFormat="1" x14ac:dyDescent="0.25"/>
    <row r="1070" s="2071" customFormat="1" x14ac:dyDescent="0.25"/>
    <row r="1071" s="2071" customFormat="1" x14ac:dyDescent="0.25"/>
    <row r="1072" s="2071" customFormat="1" x14ac:dyDescent="0.25"/>
    <row r="1073" s="2071" customFormat="1" x14ac:dyDescent="0.25"/>
    <row r="1074" s="2071" customFormat="1" x14ac:dyDescent="0.25"/>
    <row r="1075" s="2071" customFormat="1" x14ac:dyDescent="0.25"/>
    <row r="1076" s="2071" customFormat="1" x14ac:dyDescent="0.25"/>
    <row r="1077" s="2071" customFormat="1" x14ac:dyDescent="0.25"/>
    <row r="1078" s="2071" customFormat="1" x14ac:dyDescent="0.25"/>
    <row r="1079" s="2071" customFormat="1" x14ac:dyDescent="0.25"/>
    <row r="1080" s="2071" customFormat="1" x14ac:dyDescent="0.25"/>
    <row r="1081" s="2071" customFormat="1" x14ac:dyDescent="0.25"/>
    <row r="1082" s="2071" customFormat="1" x14ac:dyDescent="0.25"/>
    <row r="1083" s="2071" customFormat="1" x14ac:dyDescent="0.25"/>
  </sheetData>
  <sheetProtection sheet="1" objects="1" scenarios="1" formatCells="0" formatColumns="0"/>
  <mergeCells count="5">
    <mergeCell ref="B10:G10"/>
    <mergeCell ref="E7:E8"/>
    <mergeCell ref="F7:F8"/>
    <mergeCell ref="G7:G8"/>
    <mergeCell ref="B7:D8"/>
  </mergeCells>
  <phoneticPr fontId="2" type="noConversion"/>
  <conditionalFormatting sqref="G76:G77 B76:F78">
    <cfRule type="expression" dxfId="8" priority="1" stopIfTrue="1">
      <formula>"suma($D$72:$G$72)&gt;0,1"</formula>
    </cfRule>
  </conditionalFormatting>
  <pageMargins left="0.75" right="0.75" top="1" bottom="1" header="0" footer="0"/>
  <pageSetup paperSize="9" orientation="landscape" r:id="rId1"/>
  <headerFooter alignWithMargins="0"/>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Hoja74">
    <tabColor rgb="FF2F6DB5"/>
  </sheetPr>
  <dimension ref="A1:LO1060"/>
  <sheetViews>
    <sheetView showGridLines="0" workbookViewId="0"/>
  </sheetViews>
  <sheetFormatPr baseColWidth="10" defaultColWidth="10" defaultRowHeight="15" x14ac:dyDescent="0.25"/>
  <cols>
    <col min="1" max="1" width="54.625" style="232" customWidth="1"/>
    <col min="2" max="5" width="14.875" style="232" customWidth="1"/>
    <col min="6" max="6" width="15.75" style="232" customWidth="1"/>
    <col min="7" max="8" width="14.875" style="232" customWidth="1"/>
    <col min="9" max="327" width="10" style="2071"/>
    <col min="328" max="16384" width="10" style="232"/>
  </cols>
  <sheetData>
    <row r="1" spans="1:11" ht="27.75" x14ac:dyDescent="0.45">
      <c r="A1" s="2072" t="s">
        <v>1111</v>
      </c>
      <c r="B1" s="2068"/>
      <c r="C1" s="2068"/>
      <c r="D1" s="2068"/>
      <c r="E1" s="2068"/>
      <c r="F1" s="2068"/>
      <c r="G1" s="2068"/>
      <c r="H1" s="2068"/>
      <c r="I1" s="2264"/>
    </row>
    <row r="2" spans="1:11" s="2071" customFormat="1" x14ac:dyDescent="0.25">
      <c r="A2" s="2075"/>
    </row>
    <row r="3" spans="1:11" s="2071" customFormat="1" x14ac:dyDescent="0.25">
      <c r="A3" s="2075"/>
    </row>
    <row r="4" spans="1:11" s="2071" customFormat="1" x14ac:dyDescent="0.25">
      <c r="A4" s="2075"/>
    </row>
    <row r="5" spans="1:11" s="2071" customFormat="1" x14ac:dyDescent="0.25">
      <c r="A5" s="2075"/>
    </row>
    <row r="6" spans="1:11" s="2071" customFormat="1" ht="15.75" thickBot="1" x14ac:dyDescent="0.3">
      <c r="A6" s="2075"/>
    </row>
    <row r="7" spans="1:11" ht="12.75" customHeight="1" x14ac:dyDescent="0.25">
      <c r="B7" s="2544" t="s">
        <v>691</v>
      </c>
      <c r="C7" s="2545"/>
      <c r="D7" s="2546"/>
      <c r="E7" s="2542" t="s">
        <v>975</v>
      </c>
      <c r="F7" s="2542" t="s">
        <v>693</v>
      </c>
      <c r="G7" s="2542" t="s">
        <v>694</v>
      </c>
      <c r="H7" s="2542" t="s">
        <v>1135</v>
      </c>
    </row>
    <row r="8" spans="1:11" ht="13.5" customHeight="1" thickBot="1" x14ac:dyDescent="0.3">
      <c r="A8" s="2075" t="s">
        <v>561</v>
      </c>
      <c r="B8" s="2547"/>
      <c r="C8" s="2548"/>
      <c r="D8" s="2549"/>
      <c r="E8" s="2543"/>
      <c r="F8" s="2553"/>
      <c r="G8" s="2543"/>
      <c r="H8" s="2543"/>
    </row>
    <row r="9" spans="1:11" s="2071" customFormat="1" ht="15.75" thickBot="1" x14ac:dyDescent="0.3">
      <c r="A9" s="2075"/>
    </row>
    <row r="10" spans="1:11" ht="15.75" thickBot="1" x14ac:dyDescent="0.3">
      <c r="B10" s="2550" t="s">
        <v>498</v>
      </c>
      <c r="C10" s="2551"/>
      <c r="D10" s="2551"/>
      <c r="E10" s="2551"/>
      <c r="F10" s="2551"/>
      <c r="G10" s="2551"/>
      <c r="H10" s="2552"/>
      <c r="J10" s="269"/>
      <c r="K10" s="2071" t="s">
        <v>689</v>
      </c>
    </row>
    <row r="11" spans="1:11" ht="15.75" thickBot="1" x14ac:dyDescent="0.3">
      <c r="A11" s="293" t="s">
        <v>499</v>
      </c>
      <c r="B11" s="294" t="s">
        <v>500</v>
      </c>
      <c r="C11" s="294" t="s">
        <v>501</v>
      </c>
      <c r="D11" s="2267" t="s">
        <v>502</v>
      </c>
      <c r="E11" s="295" t="s">
        <v>503</v>
      </c>
      <c r="F11" s="294" t="s">
        <v>504</v>
      </c>
      <c r="G11" s="296" t="s">
        <v>505</v>
      </c>
      <c r="H11" s="296" t="s">
        <v>1134</v>
      </c>
      <c r="I11" s="2074"/>
      <c r="J11" s="232"/>
    </row>
    <row r="12" spans="1:11" x14ac:dyDescent="0.25">
      <c r="A12" s="236" t="s">
        <v>562</v>
      </c>
      <c r="B12" s="237"/>
      <c r="C12" s="237"/>
      <c r="D12" s="239"/>
      <c r="E12" s="237">
        <f>'Balances anuales'!B26</f>
        <v>0</v>
      </c>
      <c r="F12" s="237">
        <f>E12</f>
        <v>0</v>
      </c>
      <c r="G12" s="237">
        <f>F12</f>
        <v>0</v>
      </c>
      <c r="H12" s="237">
        <f>G12</f>
        <v>0</v>
      </c>
      <c r="I12" s="2074" t="s">
        <v>695</v>
      </c>
      <c r="J12" s="267"/>
      <c r="K12" s="2071" t="s">
        <v>690</v>
      </c>
    </row>
    <row r="13" spans="1:11" x14ac:dyDescent="0.25">
      <c r="A13" s="240" t="s">
        <v>563</v>
      </c>
      <c r="B13" s="241"/>
      <c r="C13" s="241"/>
      <c r="D13" s="242"/>
      <c r="E13" s="270"/>
      <c r="F13" s="269"/>
      <c r="G13" s="270"/>
      <c r="H13" s="280"/>
      <c r="I13" s="2074"/>
      <c r="J13" s="232"/>
    </row>
    <row r="14" spans="1:11" x14ac:dyDescent="0.25">
      <c r="A14" s="240" t="s">
        <v>564</v>
      </c>
      <c r="B14" s="241"/>
      <c r="C14" s="241"/>
      <c r="D14" s="242"/>
      <c r="E14" s="270"/>
      <c r="F14" s="269"/>
      <c r="G14" s="270"/>
      <c r="H14" s="280"/>
      <c r="I14" s="2074"/>
      <c r="J14" s="282"/>
      <c r="K14" s="2071" t="s">
        <v>692</v>
      </c>
    </row>
    <row r="15" spans="1:11" x14ac:dyDescent="0.25">
      <c r="A15" s="240" t="s">
        <v>565</v>
      </c>
      <c r="B15" s="241"/>
      <c r="C15" s="241"/>
      <c r="D15" s="242"/>
      <c r="E15" s="241"/>
      <c r="F15" s="242"/>
      <c r="G15" s="241"/>
      <c r="H15" s="243"/>
      <c r="I15" s="2074"/>
      <c r="J15" s="232"/>
    </row>
    <row r="16" spans="1:11" x14ac:dyDescent="0.25">
      <c r="A16" s="240" t="s">
        <v>566</v>
      </c>
      <c r="B16" s="241"/>
      <c r="C16" s="241"/>
      <c r="D16" s="242"/>
      <c r="E16" s="270"/>
      <c r="F16" s="269"/>
      <c r="G16" s="270"/>
      <c r="H16" s="280"/>
      <c r="I16" s="2074"/>
      <c r="J16" s="951"/>
      <c r="K16" s="2078" t="s">
        <v>815</v>
      </c>
    </row>
    <row r="17" spans="1:327" x14ac:dyDescent="0.25">
      <c r="A17" s="240" t="s">
        <v>567</v>
      </c>
      <c r="B17" s="241"/>
      <c r="C17" s="241"/>
      <c r="D17" s="242"/>
      <c r="E17" s="270"/>
      <c r="F17" s="269"/>
      <c r="G17" s="270"/>
      <c r="H17" s="280"/>
      <c r="I17" s="2074"/>
    </row>
    <row r="18" spans="1:327" x14ac:dyDescent="0.25">
      <c r="A18" s="240" t="s">
        <v>568</v>
      </c>
      <c r="B18" s="241"/>
      <c r="C18" s="241"/>
      <c r="D18" s="242"/>
      <c r="E18" s="270"/>
      <c r="F18" s="269"/>
      <c r="G18" s="270"/>
      <c r="H18" s="280"/>
      <c r="I18" s="2074"/>
    </row>
    <row r="19" spans="1:327" x14ac:dyDescent="0.25">
      <c r="A19" s="240" t="s">
        <v>569</v>
      </c>
      <c r="B19" s="241"/>
      <c r="C19" s="241"/>
      <c r="D19" s="242"/>
      <c r="E19" s="270"/>
      <c r="F19" s="269"/>
      <c r="G19" s="270"/>
      <c r="H19" s="280"/>
      <c r="I19" s="2074"/>
    </row>
    <row r="20" spans="1:327" x14ac:dyDescent="0.25">
      <c r="A20" s="240" t="s">
        <v>570</v>
      </c>
      <c r="B20" s="241"/>
      <c r="C20" s="241"/>
      <c r="D20" s="242"/>
      <c r="E20" s="270"/>
      <c r="F20" s="269"/>
      <c r="G20" s="270"/>
      <c r="H20" s="280"/>
      <c r="I20" s="2074"/>
    </row>
    <row r="21" spans="1:327" x14ac:dyDescent="0.25">
      <c r="A21" s="240" t="s">
        <v>571</v>
      </c>
      <c r="B21" s="241"/>
      <c r="C21" s="241"/>
      <c r="D21" s="242"/>
      <c r="E21" s="241">
        <f>+'Financiación Inicial'!B10</f>
        <v>0</v>
      </c>
      <c r="F21" s="242">
        <f>'Balances anuales'!D27</f>
        <v>0</v>
      </c>
      <c r="G21" s="241">
        <f>'Balances anuales'!F27</f>
        <v>-16362.959468393694</v>
      </c>
      <c r="H21" s="243">
        <f>'Balances anuales'!H27</f>
        <v>-34526.489964217515</v>
      </c>
      <c r="I21" s="2074" t="s">
        <v>695</v>
      </c>
    </row>
    <row r="22" spans="1:327" x14ac:dyDescent="0.25">
      <c r="A22" s="240" t="s">
        <v>572</v>
      </c>
      <c r="B22" s="241"/>
      <c r="C22" s="241"/>
      <c r="D22" s="242"/>
      <c r="E22" s="274"/>
      <c r="F22" s="273"/>
      <c r="G22" s="274"/>
      <c r="H22" s="283"/>
      <c r="I22" s="2074"/>
    </row>
    <row r="23" spans="1:327" x14ac:dyDescent="0.25">
      <c r="A23" s="240" t="s">
        <v>573</v>
      </c>
      <c r="B23" s="241"/>
      <c r="C23" s="241"/>
      <c r="D23" s="242"/>
      <c r="E23" s="274"/>
      <c r="F23" s="273"/>
      <c r="G23" s="274"/>
      <c r="H23" s="283"/>
      <c r="I23" s="2074" t="s">
        <v>695</v>
      </c>
    </row>
    <row r="24" spans="1:327" x14ac:dyDescent="0.25">
      <c r="A24" s="240" t="s">
        <v>574</v>
      </c>
      <c r="B24" s="241"/>
      <c r="C24" s="241"/>
      <c r="D24" s="242"/>
      <c r="E24" s="241">
        <f>'Balances anuales'!B28</f>
        <v>0</v>
      </c>
      <c r="F24" s="242">
        <f>'Balances anuales'!D28</f>
        <v>0</v>
      </c>
      <c r="G24" s="241">
        <f>'Balances anuales'!F28</f>
        <v>0</v>
      </c>
      <c r="H24" s="243">
        <f>'Balances anuales'!H28</f>
        <v>0</v>
      </c>
      <c r="I24" s="2074" t="s">
        <v>695</v>
      </c>
    </row>
    <row r="25" spans="1:327" x14ac:dyDescent="0.25">
      <c r="A25" s="240" t="s">
        <v>575</v>
      </c>
      <c r="B25" s="241"/>
      <c r="C25" s="241"/>
      <c r="D25" s="243"/>
      <c r="E25" s="241">
        <f>'Financiación Inicial'!B12+'Financiación Inicial'!B11</f>
        <v>0</v>
      </c>
      <c r="F25" s="242">
        <f>'Balances anuales'!D30</f>
        <v>-16362.959468393694</v>
      </c>
      <c r="G25" s="241">
        <f>'Balances anuales'!F30</f>
        <v>-18163.530495823823</v>
      </c>
      <c r="H25" s="243">
        <f>'Balances anuales'!H30</f>
        <v>-21557.95289670378</v>
      </c>
      <c r="I25" s="2074" t="s">
        <v>695</v>
      </c>
    </row>
    <row r="26" spans="1:327" x14ac:dyDescent="0.25">
      <c r="A26" s="240" t="s">
        <v>576</v>
      </c>
      <c r="B26" s="241"/>
      <c r="C26" s="241"/>
      <c r="D26" s="242"/>
      <c r="E26" s="270"/>
      <c r="F26" s="269"/>
      <c r="G26" s="270"/>
      <c r="H26" s="280"/>
      <c r="I26" s="2074"/>
    </row>
    <row r="27" spans="1:327" x14ac:dyDescent="0.25">
      <c r="A27" s="240" t="s">
        <v>577</v>
      </c>
      <c r="B27" s="241"/>
      <c r="C27" s="241"/>
      <c r="D27" s="242"/>
      <c r="E27" s="270"/>
      <c r="F27" s="269"/>
      <c r="G27" s="270"/>
      <c r="H27" s="280"/>
      <c r="I27" s="2074"/>
    </row>
    <row r="28" spans="1:327" s="231" customFormat="1" ht="15.75" thickBot="1" x14ac:dyDescent="0.3">
      <c r="A28" s="244" t="s">
        <v>578</v>
      </c>
      <c r="B28" s="245">
        <f t="shared" ref="B28:H28" si="0">SUM(B12:B27)</f>
        <v>0</v>
      </c>
      <c r="C28" s="245">
        <f>SUM(C12:C27)</f>
        <v>0</v>
      </c>
      <c r="D28" s="246">
        <f>SUM(D12:D27)</f>
        <v>0</v>
      </c>
      <c r="E28" s="245">
        <f t="shared" si="0"/>
        <v>0</v>
      </c>
      <c r="F28" s="246">
        <f t="shared" si="0"/>
        <v>-16362.959468393694</v>
      </c>
      <c r="G28" s="245">
        <f t="shared" si="0"/>
        <v>-34526.489964217515</v>
      </c>
      <c r="H28" s="247">
        <f t="shared" si="0"/>
        <v>-56084.442860921292</v>
      </c>
      <c r="I28" s="2074"/>
      <c r="J28" s="2075"/>
      <c r="K28" s="2075"/>
      <c r="L28" s="2075"/>
      <c r="M28" s="2075"/>
      <c r="N28" s="2075"/>
      <c r="O28" s="2075"/>
      <c r="P28" s="2075"/>
      <c r="Q28" s="2075"/>
      <c r="R28" s="2075"/>
      <c r="S28" s="2075"/>
      <c r="T28" s="2075"/>
      <c r="U28" s="2075"/>
      <c r="V28" s="2075"/>
      <c r="W28" s="2075"/>
      <c r="X28" s="2075"/>
      <c r="Y28" s="2075"/>
      <c r="Z28" s="2075"/>
      <c r="AA28" s="2075"/>
      <c r="AB28" s="2075"/>
      <c r="AC28" s="2075"/>
      <c r="AD28" s="2075"/>
      <c r="AE28" s="2075"/>
      <c r="AF28" s="2075"/>
      <c r="AG28" s="2075"/>
      <c r="AH28" s="2075"/>
      <c r="AI28" s="2075"/>
      <c r="AJ28" s="2075"/>
      <c r="AK28" s="2075"/>
      <c r="AL28" s="2075"/>
      <c r="AM28" s="2075"/>
      <c r="AN28" s="2075"/>
      <c r="AO28" s="2075"/>
      <c r="AP28" s="2075"/>
      <c r="AQ28" s="2075"/>
      <c r="AR28" s="2075"/>
      <c r="AS28" s="2075"/>
      <c r="AT28" s="2075"/>
      <c r="AU28" s="2075"/>
      <c r="AV28" s="2075"/>
      <c r="AW28" s="2075"/>
      <c r="AX28" s="2075"/>
      <c r="AY28" s="2075"/>
      <c r="AZ28" s="2075"/>
      <c r="BA28" s="2075"/>
      <c r="BB28" s="2075"/>
      <c r="BC28" s="2075"/>
      <c r="BD28" s="2075"/>
      <c r="BE28" s="2075"/>
      <c r="BF28" s="2075"/>
      <c r="BG28" s="2075"/>
      <c r="BH28" s="2075"/>
      <c r="BI28" s="2075"/>
      <c r="BJ28" s="2075"/>
      <c r="BK28" s="2075"/>
      <c r="BL28" s="2075"/>
      <c r="BM28" s="2075"/>
      <c r="BN28" s="2075"/>
      <c r="BO28" s="2075"/>
      <c r="BP28" s="2075"/>
      <c r="BQ28" s="2075"/>
      <c r="BR28" s="2075"/>
      <c r="BS28" s="2075"/>
      <c r="BT28" s="2075"/>
      <c r="BU28" s="2075"/>
      <c r="BV28" s="2075"/>
      <c r="BW28" s="2075"/>
      <c r="BX28" s="2075"/>
      <c r="BY28" s="2075"/>
      <c r="BZ28" s="2075"/>
      <c r="CA28" s="2075"/>
      <c r="CB28" s="2075"/>
      <c r="CC28" s="2075"/>
      <c r="CD28" s="2075"/>
      <c r="CE28" s="2075"/>
      <c r="CF28" s="2075"/>
      <c r="CG28" s="2075"/>
      <c r="CH28" s="2075"/>
      <c r="CI28" s="2075"/>
      <c r="CJ28" s="2075"/>
      <c r="CK28" s="2075"/>
      <c r="CL28" s="2075"/>
      <c r="CM28" s="2075"/>
      <c r="CN28" s="2075"/>
      <c r="CO28" s="2075"/>
      <c r="CP28" s="2075"/>
      <c r="CQ28" s="2075"/>
      <c r="CR28" s="2075"/>
      <c r="CS28" s="2075"/>
      <c r="CT28" s="2075"/>
      <c r="CU28" s="2075"/>
      <c r="CV28" s="2075"/>
      <c r="CW28" s="2075"/>
      <c r="CX28" s="2075"/>
      <c r="CY28" s="2075"/>
      <c r="CZ28" s="2075"/>
      <c r="DA28" s="2075"/>
      <c r="DB28" s="2075"/>
      <c r="DC28" s="2075"/>
      <c r="DD28" s="2075"/>
      <c r="DE28" s="2075"/>
      <c r="DF28" s="2075"/>
      <c r="DG28" s="2075"/>
      <c r="DH28" s="2075"/>
      <c r="DI28" s="2075"/>
      <c r="DJ28" s="2075"/>
      <c r="DK28" s="2075"/>
      <c r="DL28" s="2075"/>
      <c r="DM28" s="2075"/>
      <c r="DN28" s="2075"/>
      <c r="DO28" s="2075"/>
      <c r="DP28" s="2075"/>
      <c r="DQ28" s="2075"/>
      <c r="DR28" s="2075"/>
      <c r="DS28" s="2075"/>
      <c r="DT28" s="2075"/>
      <c r="DU28" s="2075"/>
      <c r="DV28" s="2075"/>
      <c r="DW28" s="2075"/>
      <c r="DX28" s="2075"/>
      <c r="DY28" s="2075"/>
      <c r="DZ28" s="2075"/>
      <c r="EA28" s="2075"/>
      <c r="EB28" s="2075"/>
      <c r="EC28" s="2075"/>
      <c r="ED28" s="2075"/>
      <c r="EE28" s="2075"/>
      <c r="EF28" s="2075"/>
      <c r="EG28" s="2075"/>
      <c r="EH28" s="2075"/>
      <c r="EI28" s="2075"/>
      <c r="EJ28" s="2075"/>
      <c r="EK28" s="2075"/>
      <c r="EL28" s="2075"/>
      <c r="EM28" s="2075"/>
      <c r="EN28" s="2075"/>
      <c r="EO28" s="2075"/>
      <c r="EP28" s="2075"/>
      <c r="EQ28" s="2075"/>
      <c r="ER28" s="2075"/>
      <c r="ES28" s="2075"/>
      <c r="ET28" s="2075"/>
      <c r="EU28" s="2075"/>
      <c r="EV28" s="2075"/>
      <c r="EW28" s="2075"/>
      <c r="EX28" s="2075"/>
      <c r="EY28" s="2075"/>
      <c r="EZ28" s="2075"/>
      <c r="FA28" s="2075"/>
      <c r="FB28" s="2075"/>
      <c r="FC28" s="2075"/>
      <c r="FD28" s="2075"/>
      <c r="FE28" s="2075"/>
      <c r="FF28" s="2075"/>
      <c r="FG28" s="2075"/>
      <c r="FH28" s="2075"/>
      <c r="FI28" s="2075"/>
      <c r="FJ28" s="2075"/>
      <c r="FK28" s="2075"/>
      <c r="FL28" s="2075"/>
      <c r="FM28" s="2075"/>
      <c r="FN28" s="2075"/>
      <c r="FO28" s="2075"/>
      <c r="FP28" s="2075"/>
      <c r="FQ28" s="2075"/>
      <c r="FR28" s="2075"/>
      <c r="FS28" s="2075"/>
      <c r="FT28" s="2075"/>
      <c r="FU28" s="2075"/>
      <c r="FV28" s="2075"/>
      <c r="FW28" s="2075"/>
      <c r="FX28" s="2075"/>
      <c r="FY28" s="2075"/>
      <c r="FZ28" s="2075"/>
      <c r="GA28" s="2075"/>
      <c r="GB28" s="2075"/>
      <c r="GC28" s="2075"/>
      <c r="GD28" s="2075"/>
      <c r="GE28" s="2075"/>
      <c r="GF28" s="2075"/>
      <c r="GG28" s="2075"/>
      <c r="GH28" s="2075"/>
      <c r="GI28" s="2075"/>
      <c r="GJ28" s="2075"/>
      <c r="GK28" s="2075"/>
      <c r="GL28" s="2075"/>
      <c r="GM28" s="2075"/>
      <c r="GN28" s="2075"/>
      <c r="GO28" s="2075"/>
      <c r="GP28" s="2075"/>
      <c r="GQ28" s="2075"/>
      <c r="GR28" s="2075"/>
      <c r="GS28" s="2075"/>
      <c r="GT28" s="2075"/>
      <c r="GU28" s="2075"/>
      <c r="GV28" s="2075"/>
      <c r="GW28" s="2075"/>
      <c r="GX28" s="2075"/>
      <c r="GY28" s="2075"/>
      <c r="GZ28" s="2075"/>
      <c r="HA28" s="2075"/>
      <c r="HB28" s="2075"/>
      <c r="HC28" s="2075"/>
      <c r="HD28" s="2075"/>
      <c r="HE28" s="2075"/>
      <c r="HF28" s="2075"/>
      <c r="HG28" s="2075"/>
      <c r="HH28" s="2075"/>
      <c r="HI28" s="2075"/>
      <c r="HJ28" s="2075"/>
      <c r="HK28" s="2075"/>
      <c r="HL28" s="2075"/>
      <c r="HM28" s="2075"/>
      <c r="HN28" s="2075"/>
      <c r="HO28" s="2075"/>
      <c r="HP28" s="2075"/>
      <c r="HQ28" s="2075"/>
      <c r="HR28" s="2075"/>
      <c r="HS28" s="2075"/>
      <c r="HT28" s="2075"/>
      <c r="HU28" s="2075"/>
      <c r="HV28" s="2075"/>
      <c r="HW28" s="2075"/>
      <c r="HX28" s="2075"/>
      <c r="HY28" s="2075"/>
      <c r="HZ28" s="2075"/>
      <c r="IA28" s="2075"/>
      <c r="IB28" s="2075"/>
      <c r="IC28" s="2075"/>
      <c r="ID28" s="2075"/>
      <c r="IE28" s="2075"/>
      <c r="IF28" s="2075"/>
      <c r="IG28" s="2075"/>
      <c r="IH28" s="2075"/>
      <c r="II28" s="2075"/>
      <c r="IJ28" s="2075"/>
      <c r="IK28" s="2075"/>
      <c r="IL28" s="2075"/>
      <c r="IM28" s="2075"/>
      <c r="IN28" s="2075"/>
      <c r="IO28" s="2075"/>
      <c r="IP28" s="2075"/>
      <c r="IQ28" s="2075"/>
      <c r="IR28" s="2075"/>
      <c r="IS28" s="2075"/>
      <c r="IT28" s="2075"/>
      <c r="IU28" s="2075"/>
      <c r="IV28" s="2075"/>
      <c r="IW28" s="2075"/>
      <c r="IX28" s="2075"/>
      <c r="IY28" s="2075"/>
      <c r="IZ28" s="2075"/>
      <c r="JA28" s="2075"/>
      <c r="JB28" s="2075"/>
      <c r="JC28" s="2075"/>
      <c r="JD28" s="2075"/>
      <c r="JE28" s="2075"/>
      <c r="JF28" s="2075"/>
      <c r="JG28" s="2075"/>
      <c r="JH28" s="2075"/>
      <c r="JI28" s="2075"/>
      <c r="JJ28" s="2075"/>
      <c r="JK28" s="2075"/>
      <c r="JL28" s="2075"/>
      <c r="JM28" s="2075"/>
      <c r="JN28" s="2075"/>
      <c r="JO28" s="2075"/>
      <c r="JP28" s="2075"/>
      <c r="JQ28" s="2075"/>
      <c r="JR28" s="2075"/>
      <c r="JS28" s="2075"/>
      <c r="JT28" s="2075"/>
      <c r="JU28" s="2075"/>
      <c r="JV28" s="2075"/>
      <c r="JW28" s="2075"/>
      <c r="JX28" s="2075"/>
      <c r="JY28" s="2075"/>
      <c r="JZ28" s="2075"/>
      <c r="KA28" s="2075"/>
      <c r="KB28" s="2075"/>
      <c r="KC28" s="2075"/>
      <c r="KD28" s="2075"/>
      <c r="KE28" s="2075"/>
      <c r="KF28" s="2075"/>
      <c r="KG28" s="2075"/>
      <c r="KH28" s="2075"/>
      <c r="KI28" s="2075"/>
      <c r="KJ28" s="2075"/>
      <c r="KK28" s="2075"/>
      <c r="KL28" s="2075"/>
      <c r="KM28" s="2075"/>
      <c r="KN28" s="2075"/>
      <c r="KO28" s="2075"/>
      <c r="KP28" s="2075"/>
      <c r="KQ28" s="2075"/>
      <c r="KR28" s="2075"/>
      <c r="KS28" s="2075"/>
      <c r="KT28" s="2075"/>
      <c r="KU28" s="2075"/>
      <c r="KV28" s="2075"/>
      <c r="KW28" s="2075"/>
      <c r="KX28" s="2075"/>
      <c r="KY28" s="2075"/>
      <c r="KZ28" s="2075"/>
      <c r="LA28" s="2075"/>
      <c r="LB28" s="2075"/>
      <c r="LC28" s="2075"/>
      <c r="LD28" s="2075"/>
      <c r="LE28" s="2075"/>
      <c r="LF28" s="2075"/>
      <c r="LG28" s="2075"/>
      <c r="LH28" s="2075"/>
      <c r="LI28" s="2075"/>
      <c r="LJ28" s="2075"/>
      <c r="LK28" s="2075"/>
      <c r="LL28" s="2075"/>
      <c r="LM28" s="2075"/>
      <c r="LN28" s="2075"/>
      <c r="LO28" s="2075"/>
    </row>
    <row r="29" spans="1:327" x14ac:dyDescent="0.25">
      <c r="A29" s="240" t="s">
        <v>579</v>
      </c>
      <c r="B29" s="241"/>
      <c r="C29" s="241"/>
      <c r="D29" s="242"/>
      <c r="E29" s="241">
        <f>'Balances anuales'!B29</f>
        <v>0</v>
      </c>
      <c r="F29" s="242">
        <f>'Balances anuales'!D29</f>
        <v>0</v>
      </c>
      <c r="G29" s="241">
        <f>'Balances anuales'!F29</f>
        <v>0</v>
      </c>
      <c r="H29" s="243">
        <f>'Balances anuales'!H29</f>
        <v>0</v>
      </c>
      <c r="I29" s="2074" t="s">
        <v>695</v>
      </c>
    </row>
    <row r="30" spans="1:327" x14ac:dyDescent="0.25">
      <c r="A30" s="240" t="s">
        <v>580</v>
      </c>
      <c r="B30" s="241"/>
      <c r="C30" s="241"/>
      <c r="D30" s="243"/>
      <c r="E30" s="270"/>
      <c r="F30" s="270"/>
      <c r="G30" s="270"/>
      <c r="H30" s="270"/>
      <c r="I30" s="2074"/>
    </row>
    <row r="31" spans="1:327" x14ac:dyDescent="0.25">
      <c r="A31" s="240" t="s">
        <v>581</v>
      </c>
      <c r="B31" s="241"/>
      <c r="C31" s="241"/>
      <c r="D31" s="242"/>
      <c r="E31" s="270"/>
      <c r="F31" s="269"/>
      <c r="G31" s="270"/>
      <c r="H31" s="280"/>
      <c r="I31" s="2074"/>
    </row>
    <row r="32" spans="1:327" x14ac:dyDescent="0.25">
      <c r="A32" s="240" t="s">
        <v>582</v>
      </c>
      <c r="B32" s="241"/>
      <c r="C32" s="241"/>
      <c r="D32" s="242"/>
      <c r="E32" s="270"/>
      <c r="F32" s="269"/>
      <c r="G32" s="270"/>
      <c r="H32" s="280"/>
      <c r="I32" s="2074"/>
    </row>
    <row r="33" spans="1:327" s="231" customFormat="1" ht="15.75" thickBot="1" x14ac:dyDescent="0.3">
      <c r="A33" s="248" t="s">
        <v>583</v>
      </c>
      <c r="B33" s="249">
        <f t="shared" ref="B33:H33" si="1">SUM(B29:B32)</f>
        <v>0</v>
      </c>
      <c r="C33" s="249">
        <f>SUM(C29:C32)</f>
        <v>0</v>
      </c>
      <c r="D33" s="250">
        <f>SUM(D29:D32)</f>
        <v>0</v>
      </c>
      <c r="E33" s="249">
        <f t="shared" si="1"/>
        <v>0</v>
      </c>
      <c r="F33" s="250">
        <f t="shared" si="1"/>
        <v>0</v>
      </c>
      <c r="G33" s="249">
        <f t="shared" si="1"/>
        <v>0</v>
      </c>
      <c r="H33" s="251">
        <f t="shared" si="1"/>
        <v>0</v>
      </c>
      <c r="I33" s="2074"/>
      <c r="J33" s="2075"/>
      <c r="K33" s="2075"/>
      <c r="L33" s="2075"/>
      <c r="M33" s="2075"/>
      <c r="N33" s="2075"/>
      <c r="O33" s="2075"/>
      <c r="P33" s="2075"/>
      <c r="Q33" s="2075"/>
      <c r="R33" s="2075"/>
      <c r="S33" s="2075"/>
      <c r="T33" s="2075"/>
      <c r="U33" s="2075"/>
      <c r="V33" s="2075"/>
      <c r="W33" s="2075"/>
      <c r="X33" s="2075"/>
      <c r="Y33" s="2075"/>
      <c r="Z33" s="2075"/>
      <c r="AA33" s="2075"/>
      <c r="AB33" s="2075"/>
      <c r="AC33" s="2075"/>
      <c r="AD33" s="2075"/>
      <c r="AE33" s="2075"/>
      <c r="AF33" s="2075"/>
      <c r="AG33" s="2075"/>
      <c r="AH33" s="2075"/>
      <c r="AI33" s="2075"/>
      <c r="AJ33" s="2075"/>
      <c r="AK33" s="2075"/>
      <c r="AL33" s="2075"/>
      <c r="AM33" s="2075"/>
      <c r="AN33" s="2075"/>
      <c r="AO33" s="2075"/>
      <c r="AP33" s="2075"/>
      <c r="AQ33" s="2075"/>
      <c r="AR33" s="2075"/>
      <c r="AS33" s="2075"/>
      <c r="AT33" s="2075"/>
      <c r="AU33" s="2075"/>
      <c r="AV33" s="2075"/>
      <c r="AW33" s="2075"/>
      <c r="AX33" s="2075"/>
      <c r="AY33" s="2075"/>
      <c r="AZ33" s="2075"/>
      <c r="BA33" s="2075"/>
      <c r="BB33" s="2075"/>
      <c r="BC33" s="2075"/>
      <c r="BD33" s="2075"/>
      <c r="BE33" s="2075"/>
      <c r="BF33" s="2075"/>
      <c r="BG33" s="2075"/>
      <c r="BH33" s="2075"/>
      <c r="BI33" s="2075"/>
      <c r="BJ33" s="2075"/>
      <c r="BK33" s="2075"/>
      <c r="BL33" s="2075"/>
      <c r="BM33" s="2075"/>
      <c r="BN33" s="2075"/>
      <c r="BO33" s="2075"/>
      <c r="BP33" s="2075"/>
      <c r="BQ33" s="2075"/>
      <c r="BR33" s="2075"/>
      <c r="BS33" s="2075"/>
      <c r="BT33" s="2075"/>
      <c r="BU33" s="2075"/>
      <c r="BV33" s="2075"/>
      <c r="BW33" s="2075"/>
      <c r="BX33" s="2075"/>
      <c r="BY33" s="2075"/>
      <c r="BZ33" s="2075"/>
      <c r="CA33" s="2075"/>
      <c r="CB33" s="2075"/>
      <c r="CC33" s="2075"/>
      <c r="CD33" s="2075"/>
      <c r="CE33" s="2075"/>
      <c r="CF33" s="2075"/>
      <c r="CG33" s="2075"/>
      <c r="CH33" s="2075"/>
      <c r="CI33" s="2075"/>
      <c r="CJ33" s="2075"/>
      <c r="CK33" s="2075"/>
      <c r="CL33" s="2075"/>
      <c r="CM33" s="2075"/>
      <c r="CN33" s="2075"/>
      <c r="CO33" s="2075"/>
      <c r="CP33" s="2075"/>
      <c r="CQ33" s="2075"/>
      <c r="CR33" s="2075"/>
      <c r="CS33" s="2075"/>
      <c r="CT33" s="2075"/>
      <c r="CU33" s="2075"/>
      <c r="CV33" s="2075"/>
      <c r="CW33" s="2075"/>
      <c r="CX33" s="2075"/>
      <c r="CY33" s="2075"/>
      <c r="CZ33" s="2075"/>
      <c r="DA33" s="2075"/>
      <c r="DB33" s="2075"/>
      <c r="DC33" s="2075"/>
      <c r="DD33" s="2075"/>
      <c r="DE33" s="2075"/>
      <c r="DF33" s="2075"/>
      <c r="DG33" s="2075"/>
      <c r="DH33" s="2075"/>
      <c r="DI33" s="2075"/>
      <c r="DJ33" s="2075"/>
      <c r="DK33" s="2075"/>
      <c r="DL33" s="2075"/>
      <c r="DM33" s="2075"/>
      <c r="DN33" s="2075"/>
      <c r="DO33" s="2075"/>
      <c r="DP33" s="2075"/>
      <c r="DQ33" s="2075"/>
      <c r="DR33" s="2075"/>
      <c r="DS33" s="2075"/>
      <c r="DT33" s="2075"/>
      <c r="DU33" s="2075"/>
      <c r="DV33" s="2075"/>
      <c r="DW33" s="2075"/>
      <c r="DX33" s="2075"/>
      <c r="DY33" s="2075"/>
      <c r="DZ33" s="2075"/>
      <c r="EA33" s="2075"/>
      <c r="EB33" s="2075"/>
      <c r="EC33" s="2075"/>
      <c r="ED33" s="2075"/>
      <c r="EE33" s="2075"/>
      <c r="EF33" s="2075"/>
      <c r="EG33" s="2075"/>
      <c r="EH33" s="2075"/>
      <c r="EI33" s="2075"/>
      <c r="EJ33" s="2075"/>
      <c r="EK33" s="2075"/>
      <c r="EL33" s="2075"/>
      <c r="EM33" s="2075"/>
      <c r="EN33" s="2075"/>
      <c r="EO33" s="2075"/>
      <c r="EP33" s="2075"/>
      <c r="EQ33" s="2075"/>
      <c r="ER33" s="2075"/>
      <c r="ES33" s="2075"/>
      <c r="ET33" s="2075"/>
      <c r="EU33" s="2075"/>
      <c r="EV33" s="2075"/>
      <c r="EW33" s="2075"/>
      <c r="EX33" s="2075"/>
      <c r="EY33" s="2075"/>
      <c r="EZ33" s="2075"/>
      <c r="FA33" s="2075"/>
      <c r="FB33" s="2075"/>
      <c r="FC33" s="2075"/>
      <c r="FD33" s="2075"/>
      <c r="FE33" s="2075"/>
      <c r="FF33" s="2075"/>
      <c r="FG33" s="2075"/>
      <c r="FH33" s="2075"/>
      <c r="FI33" s="2075"/>
      <c r="FJ33" s="2075"/>
      <c r="FK33" s="2075"/>
      <c r="FL33" s="2075"/>
      <c r="FM33" s="2075"/>
      <c r="FN33" s="2075"/>
      <c r="FO33" s="2075"/>
      <c r="FP33" s="2075"/>
      <c r="FQ33" s="2075"/>
      <c r="FR33" s="2075"/>
      <c r="FS33" s="2075"/>
      <c r="FT33" s="2075"/>
      <c r="FU33" s="2075"/>
      <c r="FV33" s="2075"/>
      <c r="FW33" s="2075"/>
      <c r="FX33" s="2075"/>
      <c r="FY33" s="2075"/>
      <c r="FZ33" s="2075"/>
      <c r="GA33" s="2075"/>
      <c r="GB33" s="2075"/>
      <c r="GC33" s="2075"/>
      <c r="GD33" s="2075"/>
      <c r="GE33" s="2075"/>
      <c r="GF33" s="2075"/>
      <c r="GG33" s="2075"/>
      <c r="GH33" s="2075"/>
      <c r="GI33" s="2075"/>
      <c r="GJ33" s="2075"/>
      <c r="GK33" s="2075"/>
      <c r="GL33" s="2075"/>
      <c r="GM33" s="2075"/>
      <c r="GN33" s="2075"/>
      <c r="GO33" s="2075"/>
      <c r="GP33" s="2075"/>
      <c r="GQ33" s="2075"/>
      <c r="GR33" s="2075"/>
      <c r="GS33" s="2075"/>
      <c r="GT33" s="2075"/>
      <c r="GU33" s="2075"/>
      <c r="GV33" s="2075"/>
      <c r="GW33" s="2075"/>
      <c r="GX33" s="2075"/>
      <c r="GY33" s="2075"/>
      <c r="GZ33" s="2075"/>
      <c r="HA33" s="2075"/>
      <c r="HB33" s="2075"/>
      <c r="HC33" s="2075"/>
      <c r="HD33" s="2075"/>
      <c r="HE33" s="2075"/>
      <c r="HF33" s="2075"/>
      <c r="HG33" s="2075"/>
      <c r="HH33" s="2075"/>
      <c r="HI33" s="2075"/>
      <c r="HJ33" s="2075"/>
      <c r="HK33" s="2075"/>
      <c r="HL33" s="2075"/>
      <c r="HM33" s="2075"/>
      <c r="HN33" s="2075"/>
      <c r="HO33" s="2075"/>
      <c r="HP33" s="2075"/>
      <c r="HQ33" s="2075"/>
      <c r="HR33" s="2075"/>
      <c r="HS33" s="2075"/>
      <c r="HT33" s="2075"/>
      <c r="HU33" s="2075"/>
      <c r="HV33" s="2075"/>
      <c r="HW33" s="2075"/>
      <c r="HX33" s="2075"/>
      <c r="HY33" s="2075"/>
      <c r="HZ33" s="2075"/>
      <c r="IA33" s="2075"/>
      <c r="IB33" s="2075"/>
      <c r="IC33" s="2075"/>
      <c r="ID33" s="2075"/>
      <c r="IE33" s="2075"/>
      <c r="IF33" s="2075"/>
      <c r="IG33" s="2075"/>
      <c r="IH33" s="2075"/>
      <c r="II33" s="2075"/>
      <c r="IJ33" s="2075"/>
      <c r="IK33" s="2075"/>
      <c r="IL33" s="2075"/>
      <c r="IM33" s="2075"/>
      <c r="IN33" s="2075"/>
      <c r="IO33" s="2075"/>
      <c r="IP33" s="2075"/>
      <c r="IQ33" s="2075"/>
      <c r="IR33" s="2075"/>
      <c r="IS33" s="2075"/>
      <c r="IT33" s="2075"/>
      <c r="IU33" s="2075"/>
      <c r="IV33" s="2075"/>
      <c r="IW33" s="2075"/>
      <c r="IX33" s="2075"/>
      <c r="IY33" s="2075"/>
      <c r="IZ33" s="2075"/>
      <c r="JA33" s="2075"/>
      <c r="JB33" s="2075"/>
      <c r="JC33" s="2075"/>
      <c r="JD33" s="2075"/>
      <c r="JE33" s="2075"/>
      <c r="JF33" s="2075"/>
      <c r="JG33" s="2075"/>
      <c r="JH33" s="2075"/>
      <c r="JI33" s="2075"/>
      <c r="JJ33" s="2075"/>
      <c r="JK33" s="2075"/>
      <c r="JL33" s="2075"/>
      <c r="JM33" s="2075"/>
      <c r="JN33" s="2075"/>
      <c r="JO33" s="2075"/>
      <c r="JP33" s="2075"/>
      <c r="JQ33" s="2075"/>
      <c r="JR33" s="2075"/>
      <c r="JS33" s="2075"/>
      <c r="JT33" s="2075"/>
      <c r="JU33" s="2075"/>
      <c r="JV33" s="2075"/>
      <c r="JW33" s="2075"/>
      <c r="JX33" s="2075"/>
      <c r="JY33" s="2075"/>
      <c r="JZ33" s="2075"/>
      <c r="KA33" s="2075"/>
      <c r="KB33" s="2075"/>
      <c r="KC33" s="2075"/>
      <c r="KD33" s="2075"/>
      <c r="KE33" s="2075"/>
      <c r="KF33" s="2075"/>
      <c r="KG33" s="2075"/>
      <c r="KH33" s="2075"/>
      <c r="KI33" s="2075"/>
      <c r="KJ33" s="2075"/>
      <c r="KK33" s="2075"/>
      <c r="KL33" s="2075"/>
      <c r="KM33" s="2075"/>
      <c r="KN33" s="2075"/>
      <c r="KO33" s="2075"/>
      <c r="KP33" s="2075"/>
      <c r="KQ33" s="2075"/>
      <c r="KR33" s="2075"/>
      <c r="KS33" s="2075"/>
      <c r="KT33" s="2075"/>
      <c r="KU33" s="2075"/>
      <c r="KV33" s="2075"/>
      <c r="KW33" s="2075"/>
      <c r="KX33" s="2075"/>
      <c r="KY33" s="2075"/>
      <c r="KZ33" s="2075"/>
      <c r="LA33" s="2075"/>
      <c r="LB33" s="2075"/>
      <c r="LC33" s="2075"/>
      <c r="LD33" s="2075"/>
      <c r="LE33" s="2075"/>
      <c r="LF33" s="2075"/>
      <c r="LG33" s="2075"/>
      <c r="LH33" s="2075"/>
      <c r="LI33" s="2075"/>
      <c r="LJ33" s="2075"/>
      <c r="LK33" s="2075"/>
      <c r="LL33" s="2075"/>
      <c r="LM33" s="2075"/>
      <c r="LN33" s="2075"/>
      <c r="LO33" s="2075"/>
    </row>
    <row r="34" spans="1:327" x14ac:dyDescent="0.25">
      <c r="A34" s="236" t="s">
        <v>584</v>
      </c>
      <c r="B34" s="237"/>
      <c r="C34" s="237"/>
      <c r="D34" s="238"/>
      <c r="E34" s="278"/>
      <c r="F34" s="268"/>
      <c r="G34" s="278"/>
      <c r="H34" s="279"/>
      <c r="I34" s="2074"/>
    </row>
    <row r="35" spans="1:327" x14ac:dyDescent="0.25">
      <c r="A35" s="240" t="s">
        <v>585</v>
      </c>
      <c r="B35" s="241"/>
      <c r="C35" s="241"/>
      <c r="D35" s="242"/>
      <c r="E35" s="241"/>
      <c r="F35" s="242"/>
      <c r="G35" s="241"/>
      <c r="H35" s="243"/>
      <c r="I35" s="2074"/>
    </row>
    <row r="36" spans="1:327" x14ac:dyDescent="0.25">
      <c r="A36" s="240" t="s">
        <v>586</v>
      </c>
      <c r="B36" s="241"/>
      <c r="C36" s="241"/>
      <c r="D36" s="242"/>
      <c r="E36" s="270"/>
      <c r="F36" s="269"/>
      <c r="G36" s="270"/>
      <c r="H36" s="280"/>
      <c r="I36" s="2074"/>
    </row>
    <row r="37" spans="1:327" x14ac:dyDescent="0.25">
      <c r="A37" s="240" t="s">
        <v>587</v>
      </c>
      <c r="B37" s="241"/>
      <c r="C37" s="241"/>
      <c r="D37" s="242"/>
      <c r="E37" s="270"/>
      <c r="F37" s="269"/>
      <c r="G37" s="270"/>
      <c r="H37" s="280"/>
      <c r="I37" s="2074"/>
    </row>
    <row r="38" spans="1:327" s="231" customFormat="1" ht="15.75" thickBot="1" x14ac:dyDescent="0.3">
      <c r="A38" s="244" t="s">
        <v>588</v>
      </c>
      <c r="B38" s="245">
        <f t="shared" ref="B38:H38" si="2">SUM(B34:B37)</f>
        <v>0</v>
      </c>
      <c r="C38" s="245">
        <f>SUM(C34:C37)</f>
        <v>0</v>
      </c>
      <c r="D38" s="246">
        <f>SUM(D34:D37)</f>
        <v>0</v>
      </c>
      <c r="E38" s="245">
        <f t="shared" si="2"/>
        <v>0</v>
      </c>
      <c r="F38" s="246">
        <f t="shared" si="2"/>
        <v>0</v>
      </c>
      <c r="G38" s="245">
        <f t="shared" si="2"/>
        <v>0</v>
      </c>
      <c r="H38" s="247">
        <f t="shared" si="2"/>
        <v>0</v>
      </c>
      <c r="I38" s="2074"/>
      <c r="J38" s="2075"/>
      <c r="K38" s="2075"/>
      <c r="L38" s="2075"/>
      <c r="M38" s="2075"/>
      <c r="N38" s="2075"/>
      <c r="O38" s="2075"/>
      <c r="P38" s="2075"/>
      <c r="Q38" s="2075"/>
      <c r="R38" s="2075"/>
      <c r="S38" s="2075"/>
      <c r="T38" s="2075"/>
      <c r="U38" s="2075"/>
      <c r="V38" s="2075"/>
      <c r="W38" s="2075"/>
      <c r="X38" s="2075"/>
      <c r="Y38" s="2075"/>
      <c r="Z38" s="2075"/>
      <c r="AA38" s="2075"/>
      <c r="AB38" s="2075"/>
      <c r="AC38" s="2075"/>
      <c r="AD38" s="2075"/>
      <c r="AE38" s="2075"/>
      <c r="AF38" s="2075"/>
      <c r="AG38" s="2075"/>
      <c r="AH38" s="2075"/>
      <c r="AI38" s="2075"/>
      <c r="AJ38" s="2075"/>
      <c r="AK38" s="2075"/>
      <c r="AL38" s="2075"/>
      <c r="AM38" s="2075"/>
      <c r="AN38" s="2075"/>
      <c r="AO38" s="2075"/>
      <c r="AP38" s="2075"/>
      <c r="AQ38" s="2075"/>
      <c r="AR38" s="2075"/>
      <c r="AS38" s="2075"/>
      <c r="AT38" s="2075"/>
      <c r="AU38" s="2075"/>
      <c r="AV38" s="2075"/>
      <c r="AW38" s="2075"/>
      <c r="AX38" s="2075"/>
      <c r="AY38" s="2075"/>
      <c r="AZ38" s="2075"/>
      <c r="BA38" s="2075"/>
      <c r="BB38" s="2075"/>
      <c r="BC38" s="2075"/>
      <c r="BD38" s="2075"/>
      <c r="BE38" s="2075"/>
      <c r="BF38" s="2075"/>
      <c r="BG38" s="2075"/>
      <c r="BH38" s="2075"/>
      <c r="BI38" s="2075"/>
      <c r="BJ38" s="2075"/>
      <c r="BK38" s="2075"/>
      <c r="BL38" s="2075"/>
      <c r="BM38" s="2075"/>
      <c r="BN38" s="2075"/>
      <c r="BO38" s="2075"/>
      <c r="BP38" s="2075"/>
      <c r="BQ38" s="2075"/>
      <c r="BR38" s="2075"/>
      <c r="BS38" s="2075"/>
      <c r="BT38" s="2075"/>
      <c r="BU38" s="2075"/>
      <c r="BV38" s="2075"/>
      <c r="BW38" s="2075"/>
      <c r="BX38" s="2075"/>
      <c r="BY38" s="2075"/>
      <c r="BZ38" s="2075"/>
      <c r="CA38" s="2075"/>
      <c r="CB38" s="2075"/>
      <c r="CC38" s="2075"/>
      <c r="CD38" s="2075"/>
      <c r="CE38" s="2075"/>
      <c r="CF38" s="2075"/>
      <c r="CG38" s="2075"/>
      <c r="CH38" s="2075"/>
      <c r="CI38" s="2075"/>
      <c r="CJ38" s="2075"/>
      <c r="CK38" s="2075"/>
      <c r="CL38" s="2075"/>
      <c r="CM38" s="2075"/>
      <c r="CN38" s="2075"/>
      <c r="CO38" s="2075"/>
      <c r="CP38" s="2075"/>
      <c r="CQ38" s="2075"/>
      <c r="CR38" s="2075"/>
      <c r="CS38" s="2075"/>
      <c r="CT38" s="2075"/>
      <c r="CU38" s="2075"/>
      <c r="CV38" s="2075"/>
      <c r="CW38" s="2075"/>
      <c r="CX38" s="2075"/>
      <c r="CY38" s="2075"/>
      <c r="CZ38" s="2075"/>
      <c r="DA38" s="2075"/>
      <c r="DB38" s="2075"/>
      <c r="DC38" s="2075"/>
      <c r="DD38" s="2075"/>
      <c r="DE38" s="2075"/>
      <c r="DF38" s="2075"/>
      <c r="DG38" s="2075"/>
      <c r="DH38" s="2075"/>
      <c r="DI38" s="2075"/>
      <c r="DJ38" s="2075"/>
      <c r="DK38" s="2075"/>
      <c r="DL38" s="2075"/>
      <c r="DM38" s="2075"/>
      <c r="DN38" s="2075"/>
      <c r="DO38" s="2075"/>
      <c r="DP38" s="2075"/>
      <c r="DQ38" s="2075"/>
      <c r="DR38" s="2075"/>
      <c r="DS38" s="2075"/>
      <c r="DT38" s="2075"/>
      <c r="DU38" s="2075"/>
      <c r="DV38" s="2075"/>
      <c r="DW38" s="2075"/>
      <c r="DX38" s="2075"/>
      <c r="DY38" s="2075"/>
      <c r="DZ38" s="2075"/>
      <c r="EA38" s="2075"/>
      <c r="EB38" s="2075"/>
      <c r="EC38" s="2075"/>
      <c r="ED38" s="2075"/>
      <c r="EE38" s="2075"/>
      <c r="EF38" s="2075"/>
      <c r="EG38" s="2075"/>
      <c r="EH38" s="2075"/>
      <c r="EI38" s="2075"/>
      <c r="EJ38" s="2075"/>
      <c r="EK38" s="2075"/>
      <c r="EL38" s="2075"/>
      <c r="EM38" s="2075"/>
      <c r="EN38" s="2075"/>
      <c r="EO38" s="2075"/>
      <c r="EP38" s="2075"/>
      <c r="EQ38" s="2075"/>
      <c r="ER38" s="2075"/>
      <c r="ES38" s="2075"/>
      <c r="ET38" s="2075"/>
      <c r="EU38" s="2075"/>
      <c r="EV38" s="2075"/>
      <c r="EW38" s="2075"/>
      <c r="EX38" s="2075"/>
      <c r="EY38" s="2075"/>
      <c r="EZ38" s="2075"/>
      <c r="FA38" s="2075"/>
      <c r="FB38" s="2075"/>
      <c r="FC38" s="2075"/>
      <c r="FD38" s="2075"/>
      <c r="FE38" s="2075"/>
      <c r="FF38" s="2075"/>
      <c r="FG38" s="2075"/>
      <c r="FH38" s="2075"/>
      <c r="FI38" s="2075"/>
      <c r="FJ38" s="2075"/>
      <c r="FK38" s="2075"/>
      <c r="FL38" s="2075"/>
      <c r="FM38" s="2075"/>
      <c r="FN38" s="2075"/>
      <c r="FO38" s="2075"/>
      <c r="FP38" s="2075"/>
      <c r="FQ38" s="2075"/>
      <c r="FR38" s="2075"/>
      <c r="FS38" s="2075"/>
      <c r="FT38" s="2075"/>
      <c r="FU38" s="2075"/>
      <c r="FV38" s="2075"/>
      <c r="FW38" s="2075"/>
      <c r="FX38" s="2075"/>
      <c r="FY38" s="2075"/>
      <c r="FZ38" s="2075"/>
      <c r="GA38" s="2075"/>
      <c r="GB38" s="2075"/>
      <c r="GC38" s="2075"/>
      <c r="GD38" s="2075"/>
      <c r="GE38" s="2075"/>
      <c r="GF38" s="2075"/>
      <c r="GG38" s="2075"/>
      <c r="GH38" s="2075"/>
      <c r="GI38" s="2075"/>
      <c r="GJ38" s="2075"/>
      <c r="GK38" s="2075"/>
      <c r="GL38" s="2075"/>
      <c r="GM38" s="2075"/>
      <c r="GN38" s="2075"/>
      <c r="GO38" s="2075"/>
      <c r="GP38" s="2075"/>
      <c r="GQ38" s="2075"/>
      <c r="GR38" s="2075"/>
      <c r="GS38" s="2075"/>
      <c r="GT38" s="2075"/>
      <c r="GU38" s="2075"/>
      <c r="GV38" s="2075"/>
      <c r="GW38" s="2075"/>
      <c r="GX38" s="2075"/>
      <c r="GY38" s="2075"/>
      <c r="GZ38" s="2075"/>
      <c r="HA38" s="2075"/>
      <c r="HB38" s="2075"/>
      <c r="HC38" s="2075"/>
      <c r="HD38" s="2075"/>
      <c r="HE38" s="2075"/>
      <c r="HF38" s="2075"/>
      <c r="HG38" s="2075"/>
      <c r="HH38" s="2075"/>
      <c r="HI38" s="2075"/>
      <c r="HJ38" s="2075"/>
      <c r="HK38" s="2075"/>
      <c r="HL38" s="2075"/>
      <c r="HM38" s="2075"/>
      <c r="HN38" s="2075"/>
      <c r="HO38" s="2075"/>
      <c r="HP38" s="2075"/>
      <c r="HQ38" s="2075"/>
      <c r="HR38" s="2075"/>
      <c r="HS38" s="2075"/>
      <c r="HT38" s="2075"/>
      <c r="HU38" s="2075"/>
      <c r="HV38" s="2075"/>
      <c r="HW38" s="2075"/>
      <c r="HX38" s="2075"/>
      <c r="HY38" s="2075"/>
      <c r="HZ38" s="2075"/>
      <c r="IA38" s="2075"/>
      <c r="IB38" s="2075"/>
      <c r="IC38" s="2075"/>
      <c r="ID38" s="2075"/>
      <c r="IE38" s="2075"/>
      <c r="IF38" s="2075"/>
      <c r="IG38" s="2075"/>
      <c r="IH38" s="2075"/>
      <c r="II38" s="2075"/>
      <c r="IJ38" s="2075"/>
      <c r="IK38" s="2075"/>
      <c r="IL38" s="2075"/>
      <c r="IM38" s="2075"/>
      <c r="IN38" s="2075"/>
      <c r="IO38" s="2075"/>
      <c r="IP38" s="2075"/>
      <c r="IQ38" s="2075"/>
      <c r="IR38" s="2075"/>
      <c r="IS38" s="2075"/>
      <c r="IT38" s="2075"/>
      <c r="IU38" s="2075"/>
      <c r="IV38" s="2075"/>
      <c r="IW38" s="2075"/>
      <c r="IX38" s="2075"/>
      <c r="IY38" s="2075"/>
      <c r="IZ38" s="2075"/>
      <c r="JA38" s="2075"/>
      <c r="JB38" s="2075"/>
      <c r="JC38" s="2075"/>
      <c r="JD38" s="2075"/>
      <c r="JE38" s="2075"/>
      <c r="JF38" s="2075"/>
      <c r="JG38" s="2075"/>
      <c r="JH38" s="2075"/>
      <c r="JI38" s="2075"/>
      <c r="JJ38" s="2075"/>
      <c r="JK38" s="2075"/>
      <c r="JL38" s="2075"/>
      <c r="JM38" s="2075"/>
      <c r="JN38" s="2075"/>
      <c r="JO38" s="2075"/>
      <c r="JP38" s="2075"/>
      <c r="JQ38" s="2075"/>
      <c r="JR38" s="2075"/>
      <c r="JS38" s="2075"/>
      <c r="JT38" s="2075"/>
      <c r="JU38" s="2075"/>
      <c r="JV38" s="2075"/>
      <c r="JW38" s="2075"/>
      <c r="JX38" s="2075"/>
      <c r="JY38" s="2075"/>
      <c r="JZ38" s="2075"/>
      <c r="KA38" s="2075"/>
      <c r="KB38" s="2075"/>
      <c r="KC38" s="2075"/>
      <c r="KD38" s="2075"/>
      <c r="KE38" s="2075"/>
      <c r="KF38" s="2075"/>
      <c r="KG38" s="2075"/>
      <c r="KH38" s="2075"/>
      <c r="KI38" s="2075"/>
      <c r="KJ38" s="2075"/>
      <c r="KK38" s="2075"/>
      <c r="KL38" s="2075"/>
      <c r="KM38" s="2075"/>
      <c r="KN38" s="2075"/>
      <c r="KO38" s="2075"/>
      <c r="KP38" s="2075"/>
      <c r="KQ38" s="2075"/>
      <c r="KR38" s="2075"/>
      <c r="KS38" s="2075"/>
      <c r="KT38" s="2075"/>
      <c r="KU38" s="2075"/>
      <c r="KV38" s="2075"/>
      <c r="KW38" s="2075"/>
      <c r="KX38" s="2075"/>
      <c r="KY38" s="2075"/>
      <c r="KZ38" s="2075"/>
      <c r="LA38" s="2075"/>
      <c r="LB38" s="2075"/>
      <c r="LC38" s="2075"/>
      <c r="LD38" s="2075"/>
      <c r="LE38" s="2075"/>
      <c r="LF38" s="2075"/>
      <c r="LG38" s="2075"/>
      <c r="LH38" s="2075"/>
      <c r="LI38" s="2075"/>
      <c r="LJ38" s="2075"/>
      <c r="LK38" s="2075"/>
      <c r="LL38" s="2075"/>
      <c r="LM38" s="2075"/>
      <c r="LN38" s="2075"/>
      <c r="LO38" s="2075"/>
    </row>
    <row r="39" spans="1:327" x14ac:dyDescent="0.25">
      <c r="A39" s="240" t="s">
        <v>589</v>
      </c>
      <c r="B39" s="241"/>
      <c r="C39" s="241"/>
      <c r="D39" s="242"/>
      <c r="E39" s="270"/>
      <c r="F39" s="269"/>
      <c r="G39" s="270"/>
      <c r="H39" s="280"/>
      <c r="I39" s="2074"/>
    </row>
    <row r="40" spans="1:327" x14ac:dyDescent="0.25">
      <c r="A40" s="240" t="s">
        <v>590</v>
      </c>
      <c r="B40" s="241"/>
      <c r="C40" s="241"/>
      <c r="D40" s="242"/>
      <c r="E40" s="270"/>
      <c r="F40" s="269"/>
      <c r="G40" s="270"/>
      <c r="H40" s="280"/>
      <c r="I40" s="2074"/>
    </row>
    <row r="41" spans="1:327" x14ac:dyDescent="0.25">
      <c r="A41" s="240" t="s">
        <v>591</v>
      </c>
      <c r="B41" s="241"/>
      <c r="C41" s="241"/>
      <c r="D41" s="242"/>
      <c r="E41" s="270"/>
      <c r="F41" s="269"/>
      <c r="G41" s="270"/>
      <c r="H41" s="280"/>
      <c r="I41" s="2074"/>
    </row>
    <row r="42" spans="1:327" x14ac:dyDescent="0.25">
      <c r="A42" s="240" t="s">
        <v>592</v>
      </c>
      <c r="B42" s="241"/>
      <c r="C42" s="241"/>
      <c r="D42" s="242"/>
      <c r="E42" s="241">
        <f>'Balances anuales'!B33</f>
        <v>0</v>
      </c>
      <c r="F42" s="242">
        <f>'Balances anuales'!D33</f>
        <v>0</v>
      </c>
      <c r="G42" s="241">
        <f>'Balances anuales'!F33</f>
        <v>0</v>
      </c>
      <c r="H42" s="243">
        <f>'Balances anuales'!H33</f>
        <v>0</v>
      </c>
      <c r="I42" s="2074"/>
    </row>
    <row r="43" spans="1:327" x14ac:dyDescent="0.25">
      <c r="A43" s="240" t="s">
        <v>593</v>
      </c>
      <c r="B43" s="241"/>
      <c r="C43" s="241"/>
      <c r="D43" s="243"/>
      <c r="E43" s="270"/>
      <c r="F43" s="270"/>
      <c r="G43" s="270"/>
      <c r="H43" s="270"/>
      <c r="I43" s="2074"/>
    </row>
    <row r="44" spans="1:327" x14ac:dyDescent="0.25">
      <c r="A44" s="240" t="s">
        <v>594</v>
      </c>
      <c r="B44" s="241"/>
      <c r="C44" s="241"/>
      <c r="D44" s="242"/>
      <c r="E44" s="270"/>
      <c r="F44" s="269"/>
      <c r="G44" s="270"/>
      <c r="H44" s="280"/>
      <c r="I44" s="2074"/>
    </row>
    <row r="45" spans="1:327" x14ac:dyDescent="0.25">
      <c r="A45" s="240" t="s">
        <v>595</v>
      </c>
      <c r="B45" s="241"/>
      <c r="C45" s="241"/>
      <c r="D45" s="242"/>
      <c r="E45" s="270"/>
      <c r="F45" s="269"/>
      <c r="G45" s="270"/>
      <c r="H45" s="280"/>
      <c r="I45" s="2074"/>
    </row>
    <row r="46" spans="1:327" x14ac:dyDescent="0.25">
      <c r="A46" s="240" t="s">
        <v>596</v>
      </c>
      <c r="B46" s="241"/>
      <c r="C46" s="241"/>
      <c r="D46" s="242"/>
      <c r="E46" s="270"/>
      <c r="F46" s="269"/>
      <c r="G46" s="270"/>
      <c r="H46" s="280"/>
      <c r="I46" s="2074"/>
    </row>
    <row r="47" spans="1:327" x14ac:dyDescent="0.25">
      <c r="A47" s="240" t="s">
        <v>597</v>
      </c>
      <c r="B47" s="241"/>
      <c r="C47" s="241"/>
      <c r="D47" s="242"/>
      <c r="E47" s="241">
        <f>'Balances anuales'!B34</f>
        <v>0</v>
      </c>
      <c r="F47" s="242">
        <f>'Balances anuales'!D34</f>
        <v>0</v>
      </c>
      <c r="G47" s="241">
        <f>'Balances anuales'!F34</f>
        <v>0</v>
      </c>
      <c r="H47" s="243">
        <f>'Balances anuales'!H34</f>
        <v>0</v>
      </c>
      <c r="I47" s="2074" t="s">
        <v>695</v>
      </c>
    </row>
    <row r="48" spans="1:327" x14ac:dyDescent="0.25">
      <c r="A48" s="240" t="s">
        <v>598</v>
      </c>
      <c r="B48" s="241"/>
      <c r="C48" s="241"/>
      <c r="D48" s="242"/>
      <c r="E48" s="270"/>
      <c r="F48" s="269"/>
      <c r="G48" s="270"/>
      <c r="H48" s="280"/>
      <c r="I48" s="2074"/>
    </row>
    <row r="49" spans="1:327" x14ac:dyDescent="0.25">
      <c r="A49" s="240" t="s">
        <v>530</v>
      </c>
      <c r="B49" s="241"/>
      <c r="C49" s="241"/>
      <c r="D49" s="242"/>
      <c r="E49" s="274"/>
      <c r="F49" s="273"/>
      <c r="G49" s="274"/>
      <c r="H49" s="283"/>
      <c r="I49" s="2074"/>
    </row>
    <row r="50" spans="1:327" x14ac:dyDescent="0.25">
      <c r="A50" s="240" t="s">
        <v>599</v>
      </c>
      <c r="B50" s="241"/>
      <c r="C50" s="241"/>
      <c r="D50" s="242"/>
      <c r="E50" s="270"/>
      <c r="F50" s="269"/>
      <c r="G50" s="270"/>
      <c r="H50" s="280"/>
      <c r="I50" s="2074"/>
    </row>
    <row r="51" spans="1:327" x14ac:dyDescent="0.25">
      <c r="A51" s="240" t="s">
        <v>600</v>
      </c>
      <c r="B51" s="241"/>
      <c r="C51" s="241"/>
      <c r="D51" s="242"/>
      <c r="E51" s="270"/>
      <c r="F51" s="269"/>
      <c r="G51" s="270"/>
      <c r="H51" s="280"/>
      <c r="I51" s="2074"/>
    </row>
    <row r="52" spans="1:327" x14ac:dyDescent="0.25">
      <c r="A52" s="240" t="s">
        <v>601</v>
      </c>
      <c r="B52" s="241"/>
      <c r="C52" s="241"/>
      <c r="D52" s="242"/>
      <c r="E52" s="270"/>
      <c r="F52" s="269"/>
      <c r="G52" s="270"/>
      <c r="H52" s="280"/>
      <c r="I52" s="2074"/>
    </row>
    <row r="53" spans="1:327" x14ac:dyDescent="0.25">
      <c r="A53" s="240" t="s">
        <v>602</v>
      </c>
      <c r="B53" s="241"/>
      <c r="C53" s="241"/>
      <c r="D53" s="242"/>
      <c r="E53" s="274"/>
      <c r="F53" s="273"/>
      <c r="G53" s="274"/>
      <c r="H53" s="283"/>
      <c r="I53" s="2074"/>
    </row>
    <row r="54" spans="1:327" s="231" customFormat="1" ht="15.75" thickBot="1" x14ac:dyDescent="0.3">
      <c r="A54" s="248" t="s">
        <v>603</v>
      </c>
      <c r="B54" s="249">
        <f t="shared" ref="B54:H54" si="3">SUM(B39:B53)</f>
        <v>0</v>
      </c>
      <c r="C54" s="249">
        <f>SUM(C39:C53)</f>
        <v>0</v>
      </c>
      <c r="D54" s="250">
        <f>SUM(D39:D53)</f>
        <v>0</v>
      </c>
      <c r="E54" s="249">
        <f t="shared" si="3"/>
        <v>0</v>
      </c>
      <c r="F54" s="250">
        <f t="shared" si="3"/>
        <v>0</v>
      </c>
      <c r="G54" s="249">
        <f t="shared" si="3"/>
        <v>0</v>
      </c>
      <c r="H54" s="251">
        <f t="shared" si="3"/>
        <v>0</v>
      </c>
      <c r="I54" s="2074"/>
      <c r="J54" s="2075"/>
      <c r="K54" s="2075"/>
      <c r="L54" s="2075"/>
      <c r="M54" s="2075"/>
      <c r="N54" s="2075"/>
      <c r="O54" s="2075"/>
      <c r="P54" s="2075"/>
      <c r="Q54" s="2075"/>
      <c r="R54" s="2075"/>
      <c r="S54" s="2075"/>
      <c r="T54" s="2075"/>
      <c r="U54" s="2075"/>
      <c r="V54" s="2075"/>
      <c r="W54" s="2075"/>
      <c r="X54" s="2075"/>
      <c r="Y54" s="2075"/>
      <c r="Z54" s="2075"/>
      <c r="AA54" s="2075"/>
      <c r="AB54" s="2075"/>
      <c r="AC54" s="2075"/>
      <c r="AD54" s="2075"/>
      <c r="AE54" s="2075"/>
      <c r="AF54" s="2075"/>
      <c r="AG54" s="2075"/>
      <c r="AH54" s="2075"/>
      <c r="AI54" s="2075"/>
      <c r="AJ54" s="2075"/>
      <c r="AK54" s="2075"/>
      <c r="AL54" s="2075"/>
      <c r="AM54" s="2075"/>
      <c r="AN54" s="2075"/>
      <c r="AO54" s="2075"/>
      <c r="AP54" s="2075"/>
      <c r="AQ54" s="2075"/>
      <c r="AR54" s="2075"/>
      <c r="AS54" s="2075"/>
      <c r="AT54" s="2075"/>
      <c r="AU54" s="2075"/>
      <c r="AV54" s="2075"/>
      <c r="AW54" s="2075"/>
      <c r="AX54" s="2075"/>
      <c r="AY54" s="2075"/>
      <c r="AZ54" s="2075"/>
      <c r="BA54" s="2075"/>
      <c r="BB54" s="2075"/>
      <c r="BC54" s="2075"/>
      <c r="BD54" s="2075"/>
      <c r="BE54" s="2075"/>
      <c r="BF54" s="2075"/>
      <c r="BG54" s="2075"/>
      <c r="BH54" s="2075"/>
      <c r="BI54" s="2075"/>
      <c r="BJ54" s="2075"/>
      <c r="BK54" s="2075"/>
      <c r="BL54" s="2075"/>
      <c r="BM54" s="2075"/>
      <c r="BN54" s="2075"/>
      <c r="BO54" s="2075"/>
      <c r="BP54" s="2075"/>
      <c r="BQ54" s="2075"/>
      <c r="BR54" s="2075"/>
      <c r="BS54" s="2075"/>
      <c r="BT54" s="2075"/>
      <c r="BU54" s="2075"/>
      <c r="BV54" s="2075"/>
      <c r="BW54" s="2075"/>
      <c r="BX54" s="2075"/>
      <c r="BY54" s="2075"/>
      <c r="BZ54" s="2075"/>
      <c r="CA54" s="2075"/>
      <c r="CB54" s="2075"/>
      <c r="CC54" s="2075"/>
      <c r="CD54" s="2075"/>
      <c r="CE54" s="2075"/>
      <c r="CF54" s="2075"/>
      <c r="CG54" s="2075"/>
      <c r="CH54" s="2075"/>
      <c r="CI54" s="2075"/>
      <c r="CJ54" s="2075"/>
      <c r="CK54" s="2075"/>
      <c r="CL54" s="2075"/>
      <c r="CM54" s="2075"/>
      <c r="CN54" s="2075"/>
      <c r="CO54" s="2075"/>
      <c r="CP54" s="2075"/>
      <c r="CQ54" s="2075"/>
      <c r="CR54" s="2075"/>
      <c r="CS54" s="2075"/>
      <c r="CT54" s="2075"/>
      <c r="CU54" s="2075"/>
      <c r="CV54" s="2075"/>
      <c r="CW54" s="2075"/>
      <c r="CX54" s="2075"/>
      <c r="CY54" s="2075"/>
      <c r="CZ54" s="2075"/>
      <c r="DA54" s="2075"/>
      <c r="DB54" s="2075"/>
      <c r="DC54" s="2075"/>
      <c r="DD54" s="2075"/>
      <c r="DE54" s="2075"/>
      <c r="DF54" s="2075"/>
      <c r="DG54" s="2075"/>
      <c r="DH54" s="2075"/>
      <c r="DI54" s="2075"/>
      <c r="DJ54" s="2075"/>
      <c r="DK54" s="2075"/>
      <c r="DL54" s="2075"/>
      <c r="DM54" s="2075"/>
      <c r="DN54" s="2075"/>
      <c r="DO54" s="2075"/>
      <c r="DP54" s="2075"/>
      <c r="DQ54" s="2075"/>
      <c r="DR54" s="2075"/>
      <c r="DS54" s="2075"/>
      <c r="DT54" s="2075"/>
      <c r="DU54" s="2075"/>
      <c r="DV54" s="2075"/>
      <c r="DW54" s="2075"/>
      <c r="DX54" s="2075"/>
      <c r="DY54" s="2075"/>
      <c r="DZ54" s="2075"/>
      <c r="EA54" s="2075"/>
      <c r="EB54" s="2075"/>
      <c r="EC54" s="2075"/>
      <c r="ED54" s="2075"/>
      <c r="EE54" s="2075"/>
      <c r="EF54" s="2075"/>
      <c r="EG54" s="2075"/>
      <c r="EH54" s="2075"/>
      <c r="EI54" s="2075"/>
      <c r="EJ54" s="2075"/>
      <c r="EK54" s="2075"/>
      <c r="EL54" s="2075"/>
      <c r="EM54" s="2075"/>
      <c r="EN54" s="2075"/>
      <c r="EO54" s="2075"/>
      <c r="EP54" s="2075"/>
      <c r="EQ54" s="2075"/>
      <c r="ER54" s="2075"/>
      <c r="ES54" s="2075"/>
      <c r="ET54" s="2075"/>
      <c r="EU54" s="2075"/>
      <c r="EV54" s="2075"/>
      <c r="EW54" s="2075"/>
      <c r="EX54" s="2075"/>
      <c r="EY54" s="2075"/>
      <c r="EZ54" s="2075"/>
      <c r="FA54" s="2075"/>
      <c r="FB54" s="2075"/>
      <c r="FC54" s="2075"/>
      <c r="FD54" s="2075"/>
      <c r="FE54" s="2075"/>
      <c r="FF54" s="2075"/>
      <c r="FG54" s="2075"/>
      <c r="FH54" s="2075"/>
      <c r="FI54" s="2075"/>
      <c r="FJ54" s="2075"/>
      <c r="FK54" s="2075"/>
      <c r="FL54" s="2075"/>
      <c r="FM54" s="2075"/>
      <c r="FN54" s="2075"/>
      <c r="FO54" s="2075"/>
      <c r="FP54" s="2075"/>
      <c r="FQ54" s="2075"/>
      <c r="FR54" s="2075"/>
      <c r="FS54" s="2075"/>
      <c r="FT54" s="2075"/>
      <c r="FU54" s="2075"/>
      <c r="FV54" s="2075"/>
      <c r="FW54" s="2075"/>
      <c r="FX54" s="2075"/>
      <c r="FY54" s="2075"/>
      <c r="FZ54" s="2075"/>
      <c r="GA54" s="2075"/>
      <c r="GB54" s="2075"/>
      <c r="GC54" s="2075"/>
      <c r="GD54" s="2075"/>
      <c r="GE54" s="2075"/>
      <c r="GF54" s="2075"/>
      <c r="GG54" s="2075"/>
      <c r="GH54" s="2075"/>
      <c r="GI54" s="2075"/>
      <c r="GJ54" s="2075"/>
      <c r="GK54" s="2075"/>
      <c r="GL54" s="2075"/>
      <c r="GM54" s="2075"/>
      <c r="GN54" s="2075"/>
      <c r="GO54" s="2075"/>
      <c r="GP54" s="2075"/>
      <c r="GQ54" s="2075"/>
      <c r="GR54" s="2075"/>
      <c r="GS54" s="2075"/>
      <c r="GT54" s="2075"/>
      <c r="GU54" s="2075"/>
      <c r="GV54" s="2075"/>
      <c r="GW54" s="2075"/>
      <c r="GX54" s="2075"/>
      <c r="GY54" s="2075"/>
      <c r="GZ54" s="2075"/>
      <c r="HA54" s="2075"/>
      <c r="HB54" s="2075"/>
      <c r="HC54" s="2075"/>
      <c r="HD54" s="2075"/>
      <c r="HE54" s="2075"/>
      <c r="HF54" s="2075"/>
      <c r="HG54" s="2075"/>
      <c r="HH54" s="2075"/>
      <c r="HI54" s="2075"/>
      <c r="HJ54" s="2075"/>
      <c r="HK54" s="2075"/>
      <c r="HL54" s="2075"/>
      <c r="HM54" s="2075"/>
      <c r="HN54" s="2075"/>
      <c r="HO54" s="2075"/>
      <c r="HP54" s="2075"/>
      <c r="HQ54" s="2075"/>
      <c r="HR54" s="2075"/>
      <c r="HS54" s="2075"/>
      <c r="HT54" s="2075"/>
      <c r="HU54" s="2075"/>
      <c r="HV54" s="2075"/>
      <c r="HW54" s="2075"/>
      <c r="HX54" s="2075"/>
      <c r="HY54" s="2075"/>
      <c r="HZ54" s="2075"/>
      <c r="IA54" s="2075"/>
      <c r="IB54" s="2075"/>
      <c r="IC54" s="2075"/>
      <c r="ID54" s="2075"/>
      <c r="IE54" s="2075"/>
      <c r="IF54" s="2075"/>
      <c r="IG54" s="2075"/>
      <c r="IH54" s="2075"/>
      <c r="II54" s="2075"/>
      <c r="IJ54" s="2075"/>
      <c r="IK54" s="2075"/>
      <c r="IL54" s="2075"/>
      <c r="IM54" s="2075"/>
      <c r="IN54" s="2075"/>
      <c r="IO54" s="2075"/>
      <c r="IP54" s="2075"/>
      <c r="IQ54" s="2075"/>
      <c r="IR54" s="2075"/>
      <c r="IS54" s="2075"/>
      <c r="IT54" s="2075"/>
      <c r="IU54" s="2075"/>
      <c r="IV54" s="2075"/>
      <c r="IW54" s="2075"/>
      <c r="IX54" s="2075"/>
      <c r="IY54" s="2075"/>
      <c r="IZ54" s="2075"/>
      <c r="JA54" s="2075"/>
      <c r="JB54" s="2075"/>
      <c r="JC54" s="2075"/>
      <c r="JD54" s="2075"/>
      <c r="JE54" s="2075"/>
      <c r="JF54" s="2075"/>
      <c r="JG54" s="2075"/>
      <c r="JH54" s="2075"/>
      <c r="JI54" s="2075"/>
      <c r="JJ54" s="2075"/>
      <c r="JK54" s="2075"/>
      <c r="JL54" s="2075"/>
      <c r="JM54" s="2075"/>
      <c r="JN54" s="2075"/>
      <c r="JO54" s="2075"/>
      <c r="JP54" s="2075"/>
      <c r="JQ54" s="2075"/>
      <c r="JR54" s="2075"/>
      <c r="JS54" s="2075"/>
      <c r="JT54" s="2075"/>
      <c r="JU54" s="2075"/>
      <c r="JV54" s="2075"/>
      <c r="JW54" s="2075"/>
      <c r="JX54" s="2075"/>
      <c r="JY54" s="2075"/>
      <c r="JZ54" s="2075"/>
      <c r="KA54" s="2075"/>
      <c r="KB54" s="2075"/>
      <c r="KC54" s="2075"/>
      <c r="KD54" s="2075"/>
      <c r="KE54" s="2075"/>
      <c r="KF54" s="2075"/>
      <c r="KG54" s="2075"/>
      <c r="KH54" s="2075"/>
      <c r="KI54" s="2075"/>
      <c r="KJ54" s="2075"/>
      <c r="KK54" s="2075"/>
      <c r="KL54" s="2075"/>
      <c r="KM54" s="2075"/>
      <c r="KN54" s="2075"/>
      <c r="KO54" s="2075"/>
      <c r="KP54" s="2075"/>
      <c r="KQ54" s="2075"/>
      <c r="KR54" s="2075"/>
      <c r="KS54" s="2075"/>
      <c r="KT54" s="2075"/>
      <c r="KU54" s="2075"/>
      <c r="KV54" s="2075"/>
      <c r="KW54" s="2075"/>
      <c r="KX54" s="2075"/>
      <c r="KY54" s="2075"/>
      <c r="KZ54" s="2075"/>
      <c r="LA54" s="2075"/>
      <c r="LB54" s="2075"/>
      <c r="LC54" s="2075"/>
      <c r="LD54" s="2075"/>
      <c r="LE54" s="2075"/>
      <c r="LF54" s="2075"/>
      <c r="LG54" s="2075"/>
      <c r="LH54" s="2075"/>
      <c r="LI54" s="2075"/>
      <c r="LJ54" s="2075"/>
      <c r="LK54" s="2075"/>
      <c r="LL54" s="2075"/>
      <c r="LM54" s="2075"/>
      <c r="LN54" s="2075"/>
      <c r="LO54" s="2075"/>
    </row>
    <row r="55" spans="1:327" x14ac:dyDescent="0.25">
      <c r="A55" s="236" t="s">
        <v>589</v>
      </c>
      <c r="B55" s="237"/>
      <c r="C55" s="237"/>
      <c r="D55" s="238"/>
      <c r="E55" s="278"/>
      <c r="F55" s="268"/>
      <c r="G55" s="278"/>
      <c r="H55" s="279"/>
      <c r="I55" s="2074"/>
    </row>
    <row r="56" spans="1:327" x14ac:dyDescent="0.25">
      <c r="A56" s="240" t="s">
        <v>590</v>
      </c>
      <c r="B56" s="241"/>
      <c r="C56" s="241"/>
      <c r="D56" s="242"/>
      <c r="E56" s="270"/>
      <c r="F56" s="269"/>
      <c r="G56" s="270"/>
      <c r="H56" s="280"/>
      <c r="I56" s="2074"/>
    </row>
    <row r="57" spans="1:327" x14ac:dyDescent="0.25">
      <c r="A57" s="240" t="s">
        <v>591</v>
      </c>
      <c r="B57" s="241"/>
      <c r="C57" s="241"/>
      <c r="D57" s="242"/>
      <c r="E57" s="270"/>
      <c r="F57" s="269"/>
      <c r="G57" s="270"/>
      <c r="H57" s="280"/>
      <c r="I57" s="2074"/>
    </row>
    <row r="58" spans="1:327" x14ac:dyDescent="0.25">
      <c r="A58" s="240" t="s">
        <v>604</v>
      </c>
      <c r="B58" s="241"/>
      <c r="C58" s="241"/>
      <c r="D58" s="242"/>
      <c r="E58" s="270"/>
      <c r="F58" s="269"/>
      <c r="G58" s="270"/>
      <c r="H58" s="280"/>
      <c r="I58" s="2074"/>
    </row>
    <row r="59" spans="1:327" x14ac:dyDescent="0.25">
      <c r="A59" s="240" t="s">
        <v>605</v>
      </c>
      <c r="B59" s="241"/>
      <c r="C59" s="241"/>
      <c r="D59" s="242"/>
      <c r="E59" s="241">
        <f>'Balances anuales'!B37+'Balances anuales'!B38</f>
        <v>0</v>
      </c>
      <c r="F59" s="242">
        <f>'Balances anuales'!D37+'Balances anuales'!D38</f>
        <v>18362.959468393696</v>
      </c>
      <c r="G59" s="241">
        <f>'Balances anuales'!F37+'Balances anuales'!F38</f>
        <v>36526.489964217515</v>
      </c>
      <c r="H59" s="243">
        <f>'Balances anuales'!H37+'Balances anuales'!H38</f>
        <v>58084.442860921285</v>
      </c>
      <c r="I59" s="2074" t="s">
        <v>695</v>
      </c>
    </row>
    <row r="60" spans="1:327" x14ac:dyDescent="0.25">
      <c r="A60" s="240" t="s">
        <v>606</v>
      </c>
      <c r="B60" s="241"/>
      <c r="C60" s="241"/>
      <c r="D60" s="242"/>
      <c r="E60" s="270"/>
      <c r="F60" s="269"/>
      <c r="G60" s="270"/>
      <c r="H60" s="280"/>
      <c r="I60" s="2074"/>
    </row>
    <row r="61" spans="1:327" x14ac:dyDescent="0.25">
      <c r="A61" s="240" t="s">
        <v>607</v>
      </c>
      <c r="B61" s="241"/>
      <c r="C61" s="241"/>
      <c r="D61" s="242"/>
      <c r="E61" s="270"/>
      <c r="F61" s="269"/>
      <c r="G61" s="270"/>
      <c r="H61" s="280"/>
      <c r="I61" s="2074"/>
    </row>
    <row r="62" spans="1:327" x14ac:dyDescent="0.25">
      <c r="A62" s="240" t="s">
        <v>594</v>
      </c>
      <c r="B62" s="241"/>
      <c r="C62" s="241"/>
      <c r="D62" s="242"/>
      <c r="E62" s="270"/>
      <c r="F62" s="269"/>
      <c r="G62" s="270"/>
      <c r="H62" s="280"/>
      <c r="I62" s="2074"/>
    </row>
    <row r="63" spans="1:327" x14ac:dyDescent="0.25">
      <c r="A63" s="240" t="s">
        <v>595</v>
      </c>
      <c r="B63" s="241"/>
      <c r="C63" s="241"/>
      <c r="D63" s="242"/>
      <c r="E63" s="270"/>
      <c r="F63" s="269"/>
      <c r="G63" s="270"/>
      <c r="H63" s="280"/>
      <c r="I63" s="2074"/>
    </row>
    <row r="64" spans="1:327" x14ac:dyDescent="0.25">
      <c r="A64" s="240" t="s">
        <v>608</v>
      </c>
      <c r="B64" s="241"/>
      <c r="C64" s="241"/>
      <c r="D64" s="242"/>
      <c r="E64" s="270"/>
      <c r="F64" s="269"/>
      <c r="G64" s="270"/>
      <c r="H64" s="280"/>
      <c r="I64" s="2074"/>
    </row>
    <row r="65" spans="1:327" x14ac:dyDescent="0.25">
      <c r="A65" s="240" t="s">
        <v>609</v>
      </c>
      <c r="B65" s="241"/>
      <c r="C65" s="241"/>
      <c r="D65" s="242"/>
      <c r="E65" s="241">
        <f>'Balances anuales'!B39</f>
        <v>0</v>
      </c>
      <c r="F65" s="242">
        <f>'Balances anuales'!D39</f>
        <v>0</v>
      </c>
      <c r="G65" s="241">
        <f>'Balances anuales'!F39</f>
        <v>0</v>
      </c>
      <c r="H65" s="243">
        <f>'Balances anuales'!H39</f>
        <v>0</v>
      </c>
      <c r="I65" s="2074" t="s">
        <v>695</v>
      </c>
    </row>
    <row r="66" spans="1:327" x14ac:dyDescent="0.25">
      <c r="A66" s="240" t="s">
        <v>596</v>
      </c>
      <c r="B66" s="241"/>
      <c r="C66" s="241"/>
      <c r="D66" s="242"/>
      <c r="E66" s="270"/>
      <c r="F66" s="269"/>
      <c r="G66" s="270"/>
      <c r="H66" s="280"/>
      <c r="I66" s="2074"/>
    </row>
    <row r="67" spans="1:327" x14ac:dyDescent="0.25">
      <c r="A67" s="240" t="s">
        <v>552</v>
      </c>
      <c r="B67" s="241"/>
      <c r="C67" s="241"/>
      <c r="D67" s="242"/>
      <c r="E67" s="241">
        <f>SUM('Balances anuales'!B40:B41)</f>
        <v>0</v>
      </c>
      <c r="F67" s="242">
        <f>SUM('Balances anuales'!D40:D41)</f>
        <v>0</v>
      </c>
      <c r="G67" s="241">
        <f>SUM('Balances anuales'!F40:F41)</f>
        <v>0</v>
      </c>
      <c r="H67" s="243">
        <f>SUM('Balances anuales'!H40:H41)</f>
        <v>0</v>
      </c>
      <c r="I67" s="2074" t="s">
        <v>695</v>
      </c>
    </row>
    <row r="68" spans="1:327" x14ac:dyDescent="0.25">
      <c r="A68" s="240" t="s">
        <v>610</v>
      </c>
      <c r="B68" s="241"/>
      <c r="C68" s="241"/>
      <c r="D68" s="243"/>
      <c r="E68" s="270"/>
      <c r="F68" s="270"/>
      <c r="G68" s="270"/>
      <c r="H68" s="270"/>
      <c r="I68" s="2074"/>
    </row>
    <row r="69" spans="1:327" x14ac:dyDescent="0.25">
      <c r="A69" s="240" t="s">
        <v>611</v>
      </c>
      <c r="B69" s="241"/>
      <c r="C69" s="241"/>
      <c r="D69" s="242"/>
      <c r="E69" s="241">
        <f>'Balances anuales'!B42</f>
        <v>0</v>
      </c>
      <c r="F69" s="242">
        <f>'Balances anuales'!D42</f>
        <v>0</v>
      </c>
      <c r="G69" s="241">
        <f>'Balances anuales'!F42</f>
        <v>0</v>
      </c>
      <c r="H69" s="243">
        <f>'Balances anuales'!H42</f>
        <v>0</v>
      </c>
      <c r="I69" s="2074" t="s">
        <v>695</v>
      </c>
    </row>
    <row r="70" spans="1:327" x14ac:dyDescent="0.25">
      <c r="A70" s="240" t="s">
        <v>612</v>
      </c>
      <c r="B70" s="241"/>
      <c r="C70" s="241"/>
      <c r="D70" s="242"/>
      <c r="E70" s="270"/>
      <c r="F70" s="269"/>
      <c r="G70" s="270"/>
      <c r="H70" s="280"/>
      <c r="I70" s="2074"/>
    </row>
    <row r="71" spans="1:327" x14ac:dyDescent="0.25">
      <c r="A71" s="240" t="s">
        <v>613</v>
      </c>
      <c r="B71" s="241"/>
      <c r="C71" s="241"/>
      <c r="D71" s="242"/>
      <c r="E71" s="270"/>
      <c r="F71" s="269"/>
      <c r="G71" s="270"/>
      <c r="H71" s="280"/>
      <c r="I71" s="2074"/>
    </row>
    <row r="72" spans="1:327" x14ac:dyDescent="0.25">
      <c r="A72" s="240" t="s">
        <v>614</v>
      </c>
      <c r="B72" s="241"/>
      <c r="C72" s="241"/>
      <c r="D72" s="242"/>
      <c r="E72" s="270"/>
      <c r="F72" s="269"/>
      <c r="G72" s="270"/>
      <c r="H72" s="280"/>
      <c r="I72" s="2074"/>
    </row>
    <row r="73" spans="1:327" x14ac:dyDescent="0.25">
      <c r="A73" s="240" t="s">
        <v>559</v>
      </c>
      <c r="B73" s="241"/>
      <c r="C73" s="241"/>
      <c r="D73" s="242"/>
      <c r="E73" s="270"/>
      <c r="F73" s="269"/>
      <c r="G73" s="270"/>
      <c r="H73" s="280"/>
      <c r="I73" s="2074"/>
    </row>
    <row r="74" spans="1:327" s="231" customFormat="1" ht="15.75" thickBot="1" x14ac:dyDescent="0.3">
      <c r="A74" s="244" t="s">
        <v>615</v>
      </c>
      <c r="B74" s="245">
        <f t="shared" ref="B74:H74" si="4">SUM(B55:B73)</f>
        <v>0</v>
      </c>
      <c r="C74" s="245">
        <f>SUM(C55:C73)</f>
        <v>0</v>
      </c>
      <c r="D74" s="246">
        <f>SUM(D55:D73)</f>
        <v>0</v>
      </c>
      <c r="E74" s="245">
        <f t="shared" si="4"/>
        <v>0</v>
      </c>
      <c r="F74" s="246">
        <f t="shared" si="4"/>
        <v>18362.959468393696</v>
      </c>
      <c r="G74" s="245">
        <f t="shared" si="4"/>
        <v>36526.489964217515</v>
      </c>
      <c r="H74" s="247">
        <f t="shared" si="4"/>
        <v>58084.442860921285</v>
      </c>
      <c r="I74" s="2074"/>
      <c r="J74" s="2075"/>
      <c r="K74" s="2075"/>
      <c r="L74" s="2075"/>
      <c r="M74" s="2075"/>
      <c r="N74" s="2075"/>
      <c r="O74" s="2075"/>
      <c r="P74" s="2075"/>
      <c r="Q74" s="2075"/>
      <c r="R74" s="2075"/>
      <c r="S74" s="2075"/>
      <c r="T74" s="2075"/>
      <c r="U74" s="2075"/>
      <c r="V74" s="2075"/>
      <c r="W74" s="2075"/>
      <c r="X74" s="2075"/>
      <c r="Y74" s="2075"/>
      <c r="Z74" s="2075"/>
      <c r="AA74" s="2075"/>
      <c r="AB74" s="2075"/>
      <c r="AC74" s="2075"/>
      <c r="AD74" s="2075"/>
      <c r="AE74" s="2075"/>
      <c r="AF74" s="2075"/>
      <c r="AG74" s="2075"/>
      <c r="AH74" s="2075"/>
      <c r="AI74" s="2075"/>
      <c r="AJ74" s="2075"/>
      <c r="AK74" s="2075"/>
      <c r="AL74" s="2075"/>
      <c r="AM74" s="2075"/>
      <c r="AN74" s="2075"/>
      <c r="AO74" s="2075"/>
      <c r="AP74" s="2075"/>
      <c r="AQ74" s="2075"/>
      <c r="AR74" s="2075"/>
      <c r="AS74" s="2075"/>
      <c r="AT74" s="2075"/>
      <c r="AU74" s="2075"/>
      <c r="AV74" s="2075"/>
      <c r="AW74" s="2075"/>
      <c r="AX74" s="2075"/>
      <c r="AY74" s="2075"/>
      <c r="AZ74" s="2075"/>
      <c r="BA74" s="2075"/>
      <c r="BB74" s="2075"/>
      <c r="BC74" s="2075"/>
      <c r="BD74" s="2075"/>
      <c r="BE74" s="2075"/>
      <c r="BF74" s="2075"/>
      <c r="BG74" s="2075"/>
      <c r="BH74" s="2075"/>
      <c r="BI74" s="2075"/>
      <c r="BJ74" s="2075"/>
      <c r="BK74" s="2075"/>
      <c r="BL74" s="2075"/>
      <c r="BM74" s="2075"/>
      <c r="BN74" s="2075"/>
      <c r="BO74" s="2075"/>
      <c r="BP74" s="2075"/>
      <c r="BQ74" s="2075"/>
      <c r="BR74" s="2075"/>
      <c r="BS74" s="2075"/>
      <c r="BT74" s="2075"/>
      <c r="BU74" s="2075"/>
      <c r="BV74" s="2075"/>
      <c r="BW74" s="2075"/>
      <c r="BX74" s="2075"/>
      <c r="BY74" s="2075"/>
      <c r="BZ74" s="2075"/>
      <c r="CA74" s="2075"/>
      <c r="CB74" s="2075"/>
      <c r="CC74" s="2075"/>
      <c r="CD74" s="2075"/>
      <c r="CE74" s="2075"/>
      <c r="CF74" s="2075"/>
      <c r="CG74" s="2075"/>
      <c r="CH74" s="2075"/>
      <c r="CI74" s="2075"/>
      <c r="CJ74" s="2075"/>
      <c r="CK74" s="2075"/>
      <c r="CL74" s="2075"/>
      <c r="CM74" s="2075"/>
      <c r="CN74" s="2075"/>
      <c r="CO74" s="2075"/>
      <c r="CP74" s="2075"/>
      <c r="CQ74" s="2075"/>
      <c r="CR74" s="2075"/>
      <c r="CS74" s="2075"/>
      <c r="CT74" s="2075"/>
      <c r="CU74" s="2075"/>
      <c r="CV74" s="2075"/>
      <c r="CW74" s="2075"/>
      <c r="CX74" s="2075"/>
      <c r="CY74" s="2075"/>
      <c r="CZ74" s="2075"/>
      <c r="DA74" s="2075"/>
      <c r="DB74" s="2075"/>
      <c r="DC74" s="2075"/>
      <c r="DD74" s="2075"/>
      <c r="DE74" s="2075"/>
      <c r="DF74" s="2075"/>
      <c r="DG74" s="2075"/>
      <c r="DH74" s="2075"/>
      <c r="DI74" s="2075"/>
      <c r="DJ74" s="2075"/>
      <c r="DK74" s="2075"/>
      <c r="DL74" s="2075"/>
      <c r="DM74" s="2075"/>
      <c r="DN74" s="2075"/>
      <c r="DO74" s="2075"/>
      <c r="DP74" s="2075"/>
      <c r="DQ74" s="2075"/>
      <c r="DR74" s="2075"/>
      <c r="DS74" s="2075"/>
      <c r="DT74" s="2075"/>
      <c r="DU74" s="2075"/>
      <c r="DV74" s="2075"/>
      <c r="DW74" s="2075"/>
      <c r="DX74" s="2075"/>
      <c r="DY74" s="2075"/>
      <c r="DZ74" s="2075"/>
      <c r="EA74" s="2075"/>
      <c r="EB74" s="2075"/>
      <c r="EC74" s="2075"/>
      <c r="ED74" s="2075"/>
      <c r="EE74" s="2075"/>
      <c r="EF74" s="2075"/>
      <c r="EG74" s="2075"/>
      <c r="EH74" s="2075"/>
      <c r="EI74" s="2075"/>
      <c r="EJ74" s="2075"/>
      <c r="EK74" s="2075"/>
      <c r="EL74" s="2075"/>
      <c r="EM74" s="2075"/>
      <c r="EN74" s="2075"/>
      <c r="EO74" s="2075"/>
      <c r="EP74" s="2075"/>
      <c r="EQ74" s="2075"/>
      <c r="ER74" s="2075"/>
      <c r="ES74" s="2075"/>
      <c r="ET74" s="2075"/>
      <c r="EU74" s="2075"/>
      <c r="EV74" s="2075"/>
      <c r="EW74" s="2075"/>
      <c r="EX74" s="2075"/>
      <c r="EY74" s="2075"/>
      <c r="EZ74" s="2075"/>
      <c r="FA74" s="2075"/>
      <c r="FB74" s="2075"/>
      <c r="FC74" s="2075"/>
      <c r="FD74" s="2075"/>
      <c r="FE74" s="2075"/>
      <c r="FF74" s="2075"/>
      <c r="FG74" s="2075"/>
      <c r="FH74" s="2075"/>
      <c r="FI74" s="2075"/>
      <c r="FJ74" s="2075"/>
      <c r="FK74" s="2075"/>
      <c r="FL74" s="2075"/>
      <c r="FM74" s="2075"/>
      <c r="FN74" s="2075"/>
      <c r="FO74" s="2075"/>
      <c r="FP74" s="2075"/>
      <c r="FQ74" s="2075"/>
      <c r="FR74" s="2075"/>
      <c r="FS74" s="2075"/>
      <c r="FT74" s="2075"/>
      <c r="FU74" s="2075"/>
      <c r="FV74" s="2075"/>
      <c r="FW74" s="2075"/>
      <c r="FX74" s="2075"/>
      <c r="FY74" s="2075"/>
      <c r="FZ74" s="2075"/>
      <c r="GA74" s="2075"/>
      <c r="GB74" s="2075"/>
      <c r="GC74" s="2075"/>
      <c r="GD74" s="2075"/>
      <c r="GE74" s="2075"/>
      <c r="GF74" s="2075"/>
      <c r="GG74" s="2075"/>
      <c r="GH74" s="2075"/>
      <c r="GI74" s="2075"/>
      <c r="GJ74" s="2075"/>
      <c r="GK74" s="2075"/>
      <c r="GL74" s="2075"/>
      <c r="GM74" s="2075"/>
      <c r="GN74" s="2075"/>
      <c r="GO74" s="2075"/>
      <c r="GP74" s="2075"/>
      <c r="GQ74" s="2075"/>
      <c r="GR74" s="2075"/>
      <c r="GS74" s="2075"/>
      <c r="GT74" s="2075"/>
      <c r="GU74" s="2075"/>
      <c r="GV74" s="2075"/>
      <c r="GW74" s="2075"/>
      <c r="GX74" s="2075"/>
      <c r="GY74" s="2075"/>
      <c r="GZ74" s="2075"/>
      <c r="HA74" s="2075"/>
      <c r="HB74" s="2075"/>
      <c r="HC74" s="2075"/>
      <c r="HD74" s="2075"/>
      <c r="HE74" s="2075"/>
      <c r="HF74" s="2075"/>
      <c r="HG74" s="2075"/>
      <c r="HH74" s="2075"/>
      <c r="HI74" s="2075"/>
      <c r="HJ74" s="2075"/>
      <c r="HK74" s="2075"/>
      <c r="HL74" s="2075"/>
      <c r="HM74" s="2075"/>
      <c r="HN74" s="2075"/>
      <c r="HO74" s="2075"/>
      <c r="HP74" s="2075"/>
      <c r="HQ74" s="2075"/>
      <c r="HR74" s="2075"/>
      <c r="HS74" s="2075"/>
      <c r="HT74" s="2075"/>
      <c r="HU74" s="2075"/>
      <c r="HV74" s="2075"/>
      <c r="HW74" s="2075"/>
      <c r="HX74" s="2075"/>
      <c r="HY74" s="2075"/>
      <c r="HZ74" s="2075"/>
      <c r="IA74" s="2075"/>
      <c r="IB74" s="2075"/>
      <c r="IC74" s="2075"/>
      <c r="ID74" s="2075"/>
      <c r="IE74" s="2075"/>
      <c r="IF74" s="2075"/>
      <c r="IG74" s="2075"/>
      <c r="IH74" s="2075"/>
      <c r="II74" s="2075"/>
      <c r="IJ74" s="2075"/>
      <c r="IK74" s="2075"/>
      <c r="IL74" s="2075"/>
      <c r="IM74" s="2075"/>
      <c r="IN74" s="2075"/>
      <c r="IO74" s="2075"/>
      <c r="IP74" s="2075"/>
      <c r="IQ74" s="2075"/>
      <c r="IR74" s="2075"/>
      <c r="IS74" s="2075"/>
      <c r="IT74" s="2075"/>
      <c r="IU74" s="2075"/>
      <c r="IV74" s="2075"/>
      <c r="IW74" s="2075"/>
      <c r="IX74" s="2075"/>
      <c r="IY74" s="2075"/>
      <c r="IZ74" s="2075"/>
      <c r="JA74" s="2075"/>
      <c r="JB74" s="2075"/>
      <c r="JC74" s="2075"/>
      <c r="JD74" s="2075"/>
      <c r="JE74" s="2075"/>
      <c r="JF74" s="2075"/>
      <c r="JG74" s="2075"/>
      <c r="JH74" s="2075"/>
      <c r="JI74" s="2075"/>
      <c r="JJ74" s="2075"/>
      <c r="JK74" s="2075"/>
      <c r="JL74" s="2075"/>
      <c r="JM74" s="2075"/>
      <c r="JN74" s="2075"/>
      <c r="JO74" s="2075"/>
      <c r="JP74" s="2075"/>
      <c r="JQ74" s="2075"/>
      <c r="JR74" s="2075"/>
      <c r="JS74" s="2075"/>
      <c r="JT74" s="2075"/>
      <c r="JU74" s="2075"/>
      <c r="JV74" s="2075"/>
      <c r="JW74" s="2075"/>
      <c r="JX74" s="2075"/>
      <c r="JY74" s="2075"/>
      <c r="JZ74" s="2075"/>
      <c r="KA74" s="2075"/>
      <c r="KB74" s="2075"/>
      <c r="KC74" s="2075"/>
      <c r="KD74" s="2075"/>
      <c r="KE74" s="2075"/>
      <c r="KF74" s="2075"/>
      <c r="KG74" s="2075"/>
      <c r="KH74" s="2075"/>
      <c r="KI74" s="2075"/>
      <c r="KJ74" s="2075"/>
      <c r="KK74" s="2075"/>
      <c r="KL74" s="2075"/>
      <c r="KM74" s="2075"/>
      <c r="KN74" s="2075"/>
      <c r="KO74" s="2075"/>
      <c r="KP74" s="2075"/>
      <c r="KQ74" s="2075"/>
      <c r="KR74" s="2075"/>
      <c r="KS74" s="2075"/>
      <c r="KT74" s="2075"/>
      <c r="KU74" s="2075"/>
      <c r="KV74" s="2075"/>
      <c r="KW74" s="2075"/>
      <c r="KX74" s="2075"/>
      <c r="KY74" s="2075"/>
      <c r="KZ74" s="2075"/>
      <c r="LA74" s="2075"/>
      <c r="LB74" s="2075"/>
      <c r="LC74" s="2075"/>
      <c r="LD74" s="2075"/>
      <c r="LE74" s="2075"/>
      <c r="LF74" s="2075"/>
      <c r="LG74" s="2075"/>
      <c r="LH74" s="2075"/>
      <c r="LI74" s="2075"/>
      <c r="LJ74" s="2075"/>
      <c r="LK74" s="2075"/>
      <c r="LL74" s="2075"/>
      <c r="LM74" s="2075"/>
      <c r="LN74" s="2075"/>
      <c r="LO74" s="2075"/>
    </row>
    <row r="75" spans="1:327" s="231" customFormat="1" ht="15.75" thickBot="1" x14ac:dyDescent="0.3">
      <c r="A75" s="248" t="s">
        <v>616</v>
      </c>
      <c r="B75" s="257"/>
      <c r="C75" s="257"/>
      <c r="D75" s="258"/>
      <c r="E75" s="284"/>
      <c r="F75" s="285"/>
      <c r="G75" s="284"/>
      <c r="H75" s="286"/>
      <c r="I75" s="2074"/>
      <c r="J75" s="2075"/>
      <c r="K75" s="2075"/>
      <c r="L75" s="2075"/>
      <c r="M75" s="2075"/>
      <c r="N75" s="2075"/>
      <c r="O75" s="2075"/>
      <c r="P75" s="2075"/>
      <c r="Q75" s="2075"/>
      <c r="R75" s="2075"/>
      <c r="S75" s="2075"/>
      <c r="T75" s="2075"/>
      <c r="U75" s="2075"/>
      <c r="V75" s="2075"/>
      <c r="W75" s="2075"/>
      <c r="X75" s="2075"/>
      <c r="Y75" s="2075"/>
      <c r="Z75" s="2075"/>
      <c r="AA75" s="2075"/>
      <c r="AB75" s="2075"/>
      <c r="AC75" s="2075"/>
      <c r="AD75" s="2075"/>
      <c r="AE75" s="2075"/>
      <c r="AF75" s="2075"/>
      <c r="AG75" s="2075"/>
      <c r="AH75" s="2075"/>
      <c r="AI75" s="2075"/>
      <c r="AJ75" s="2075"/>
      <c r="AK75" s="2075"/>
      <c r="AL75" s="2075"/>
      <c r="AM75" s="2075"/>
      <c r="AN75" s="2075"/>
      <c r="AO75" s="2075"/>
      <c r="AP75" s="2075"/>
      <c r="AQ75" s="2075"/>
      <c r="AR75" s="2075"/>
      <c r="AS75" s="2075"/>
      <c r="AT75" s="2075"/>
      <c r="AU75" s="2075"/>
      <c r="AV75" s="2075"/>
      <c r="AW75" s="2075"/>
      <c r="AX75" s="2075"/>
      <c r="AY75" s="2075"/>
      <c r="AZ75" s="2075"/>
      <c r="BA75" s="2075"/>
      <c r="BB75" s="2075"/>
      <c r="BC75" s="2075"/>
      <c r="BD75" s="2075"/>
      <c r="BE75" s="2075"/>
      <c r="BF75" s="2075"/>
      <c r="BG75" s="2075"/>
      <c r="BH75" s="2075"/>
      <c r="BI75" s="2075"/>
      <c r="BJ75" s="2075"/>
      <c r="BK75" s="2075"/>
      <c r="BL75" s="2075"/>
      <c r="BM75" s="2075"/>
      <c r="BN75" s="2075"/>
      <c r="BO75" s="2075"/>
      <c r="BP75" s="2075"/>
      <c r="BQ75" s="2075"/>
      <c r="BR75" s="2075"/>
      <c r="BS75" s="2075"/>
      <c r="BT75" s="2075"/>
      <c r="BU75" s="2075"/>
      <c r="BV75" s="2075"/>
      <c r="BW75" s="2075"/>
      <c r="BX75" s="2075"/>
      <c r="BY75" s="2075"/>
      <c r="BZ75" s="2075"/>
      <c r="CA75" s="2075"/>
      <c r="CB75" s="2075"/>
      <c r="CC75" s="2075"/>
      <c r="CD75" s="2075"/>
      <c r="CE75" s="2075"/>
      <c r="CF75" s="2075"/>
      <c r="CG75" s="2075"/>
      <c r="CH75" s="2075"/>
      <c r="CI75" s="2075"/>
      <c r="CJ75" s="2075"/>
      <c r="CK75" s="2075"/>
      <c r="CL75" s="2075"/>
      <c r="CM75" s="2075"/>
      <c r="CN75" s="2075"/>
      <c r="CO75" s="2075"/>
      <c r="CP75" s="2075"/>
      <c r="CQ75" s="2075"/>
      <c r="CR75" s="2075"/>
      <c r="CS75" s="2075"/>
      <c r="CT75" s="2075"/>
      <c r="CU75" s="2075"/>
      <c r="CV75" s="2075"/>
      <c r="CW75" s="2075"/>
      <c r="CX75" s="2075"/>
      <c r="CY75" s="2075"/>
      <c r="CZ75" s="2075"/>
      <c r="DA75" s="2075"/>
      <c r="DB75" s="2075"/>
      <c r="DC75" s="2075"/>
      <c r="DD75" s="2075"/>
      <c r="DE75" s="2075"/>
      <c r="DF75" s="2075"/>
      <c r="DG75" s="2075"/>
      <c r="DH75" s="2075"/>
      <c r="DI75" s="2075"/>
      <c r="DJ75" s="2075"/>
      <c r="DK75" s="2075"/>
      <c r="DL75" s="2075"/>
      <c r="DM75" s="2075"/>
      <c r="DN75" s="2075"/>
      <c r="DO75" s="2075"/>
      <c r="DP75" s="2075"/>
      <c r="DQ75" s="2075"/>
      <c r="DR75" s="2075"/>
      <c r="DS75" s="2075"/>
      <c r="DT75" s="2075"/>
      <c r="DU75" s="2075"/>
      <c r="DV75" s="2075"/>
      <c r="DW75" s="2075"/>
      <c r="DX75" s="2075"/>
      <c r="DY75" s="2075"/>
      <c r="DZ75" s="2075"/>
      <c r="EA75" s="2075"/>
      <c r="EB75" s="2075"/>
      <c r="EC75" s="2075"/>
      <c r="ED75" s="2075"/>
      <c r="EE75" s="2075"/>
      <c r="EF75" s="2075"/>
      <c r="EG75" s="2075"/>
      <c r="EH75" s="2075"/>
      <c r="EI75" s="2075"/>
      <c r="EJ75" s="2075"/>
      <c r="EK75" s="2075"/>
      <c r="EL75" s="2075"/>
      <c r="EM75" s="2075"/>
      <c r="EN75" s="2075"/>
      <c r="EO75" s="2075"/>
      <c r="EP75" s="2075"/>
      <c r="EQ75" s="2075"/>
      <c r="ER75" s="2075"/>
      <c r="ES75" s="2075"/>
      <c r="ET75" s="2075"/>
      <c r="EU75" s="2075"/>
      <c r="EV75" s="2075"/>
      <c r="EW75" s="2075"/>
      <c r="EX75" s="2075"/>
      <c r="EY75" s="2075"/>
      <c r="EZ75" s="2075"/>
      <c r="FA75" s="2075"/>
      <c r="FB75" s="2075"/>
      <c r="FC75" s="2075"/>
      <c r="FD75" s="2075"/>
      <c r="FE75" s="2075"/>
      <c r="FF75" s="2075"/>
      <c r="FG75" s="2075"/>
      <c r="FH75" s="2075"/>
      <c r="FI75" s="2075"/>
      <c r="FJ75" s="2075"/>
      <c r="FK75" s="2075"/>
      <c r="FL75" s="2075"/>
      <c r="FM75" s="2075"/>
      <c r="FN75" s="2075"/>
      <c r="FO75" s="2075"/>
      <c r="FP75" s="2075"/>
      <c r="FQ75" s="2075"/>
      <c r="FR75" s="2075"/>
      <c r="FS75" s="2075"/>
      <c r="FT75" s="2075"/>
      <c r="FU75" s="2075"/>
      <c r="FV75" s="2075"/>
      <c r="FW75" s="2075"/>
      <c r="FX75" s="2075"/>
      <c r="FY75" s="2075"/>
      <c r="FZ75" s="2075"/>
      <c r="GA75" s="2075"/>
      <c r="GB75" s="2075"/>
      <c r="GC75" s="2075"/>
      <c r="GD75" s="2075"/>
      <c r="GE75" s="2075"/>
      <c r="GF75" s="2075"/>
      <c r="GG75" s="2075"/>
      <c r="GH75" s="2075"/>
      <c r="GI75" s="2075"/>
      <c r="GJ75" s="2075"/>
      <c r="GK75" s="2075"/>
      <c r="GL75" s="2075"/>
      <c r="GM75" s="2075"/>
      <c r="GN75" s="2075"/>
      <c r="GO75" s="2075"/>
      <c r="GP75" s="2075"/>
      <c r="GQ75" s="2075"/>
      <c r="GR75" s="2075"/>
      <c r="GS75" s="2075"/>
      <c r="GT75" s="2075"/>
      <c r="GU75" s="2075"/>
      <c r="GV75" s="2075"/>
      <c r="GW75" s="2075"/>
      <c r="GX75" s="2075"/>
      <c r="GY75" s="2075"/>
      <c r="GZ75" s="2075"/>
      <c r="HA75" s="2075"/>
      <c r="HB75" s="2075"/>
      <c r="HC75" s="2075"/>
      <c r="HD75" s="2075"/>
      <c r="HE75" s="2075"/>
      <c r="HF75" s="2075"/>
      <c r="HG75" s="2075"/>
      <c r="HH75" s="2075"/>
      <c r="HI75" s="2075"/>
      <c r="HJ75" s="2075"/>
      <c r="HK75" s="2075"/>
      <c r="HL75" s="2075"/>
      <c r="HM75" s="2075"/>
      <c r="HN75" s="2075"/>
      <c r="HO75" s="2075"/>
      <c r="HP75" s="2075"/>
      <c r="HQ75" s="2075"/>
      <c r="HR75" s="2075"/>
      <c r="HS75" s="2075"/>
      <c r="HT75" s="2075"/>
      <c r="HU75" s="2075"/>
      <c r="HV75" s="2075"/>
      <c r="HW75" s="2075"/>
      <c r="HX75" s="2075"/>
      <c r="HY75" s="2075"/>
      <c r="HZ75" s="2075"/>
      <c r="IA75" s="2075"/>
      <c r="IB75" s="2075"/>
      <c r="IC75" s="2075"/>
      <c r="ID75" s="2075"/>
      <c r="IE75" s="2075"/>
      <c r="IF75" s="2075"/>
      <c r="IG75" s="2075"/>
      <c r="IH75" s="2075"/>
      <c r="II75" s="2075"/>
      <c r="IJ75" s="2075"/>
      <c r="IK75" s="2075"/>
      <c r="IL75" s="2075"/>
      <c r="IM75" s="2075"/>
      <c r="IN75" s="2075"/>
      <c r="IO75" s="2075"/>
      <c r="IP75" s="2075"/>
      <c r="IQ75" s="2075"/>
      <c r="IR75" s="2075"/>
      <c r="IS75" s="2075"/>
      <c r="IT75" s="2075"/>
      <c r="IU75" s="2075"/>
      <c r="IV75" s="2075"/>
      <c r="IW75" s="2075"/>
      <c r="IX75" s="2075"/>
      <c r="IY75" s="2075"/>
      <c r="IZ75" s="2075"/>
      <c r="JA75" s="2075"/>
      <c r="JB75" s="2075"/>
      <c r="JC75" s="2075"/>
      <c r="JD75" s="2075"/>
      <c r="JE75" s="2075"/>
      <c r="JF75" s="2075"/>
      <c r="JG75" s="2075"/>
      <c r="JH75" s="2075"/>
      <c r="JI75" s="2075"/>
      <c r="JJ75" s="2075"/>
      <c r="JK75" s="2075"/>
      <c r="JL75" s="2075"/>
      <c r="JM75" s="2075"/>
      <c r="JN75" s="2075"/>
      <c r="JO75" s="2075"/>
      <c r="JP75" s="2075"/>
      <c r="JQ75" s="2075"/>
      <c r="JR75" s="2075"/>
      <c r="JS75" s="2075"/>
      <c r="JT75" s="2075"/>
      <c r="JU75" s="2075"/>
      <c r="JV75" s="2075"/>
      <c r="JW75" s="2075"/>
      <c r="JX75" s="2075"/>
      <c r="JY75" s="2075"/>
      <c r="JZ75" s="2075"/>
      <c r="KA75" s="2075"/>
      <c r="KB75" s="2075"/>
      <c r="KC75" s="2075"/>
      <c r="KD75" s="2075"/>
      <c r="KE75" s="2075"/>
      <c r="KF75" s="2075"/>
      <c r="KG75" s="2075"/>
      <c r="KH75" s="2075"/>
      <c r="KI75" s="2075"/>
      <c r="KJ75" s="2075"/>
      <c r="KK75" s="2075"/>
      <c r="KL75" s="2075"/>
      <c r="KM75" s="2075"/>
      <c r="KN75" s="2075"/>
      <c r="KO75" s="2075"/>
      <c r="KP75" s="2075"/>
      <c r="KQ75" s="2075"/>
      <c r="KR75" s="2075"/>
      <c r="KS75" s="2075"/>
      <c r="KT75" s="2075"/>
      <c r="KU75" s="2075"/>
      <c r="KV75" s="2075"/>
      <c r="KW75" s="2075"/>
      <c r="KX75" s="2075"/>
      <c r="KY75" s="2075"/>
      <c r="KZ75" s="2075"/>
      <c r="LA75" s="2075"/>
      <c r="LB75" s="2075"/>
      <c r="LC75" s="2075"/>
      <c r="LD75" s="2075"/>
      <c r="LE75" s="2075"/>
      <c r="LF75" s="2075"/>
      <c r="LG75" s="2075"/>
      <c r="LH75" s="2075"/>
      <c r="LI75" s="2075"/>
      <c r="LJ75" s="2075"/>
      <c r="LK75" s="2075"/>
      <c r="LL75" s="2075"/>
      <c r="LM75" s="2075"/>
      <c r="LN75" s="2075"/>
      <c r="LO75" s="2075"/>
    </row>
    <row r="76" spans="1:327" s="231" customFormat="1" ht="15.75" thickBot="1" x14ac:dyDescent="0.3">
      <c r="A76" s="233" t="s">
        <v>617</v>
      </c>
      <c r="B76" s="260">
        <f t="shared" ref="B76:H76" si="5">+B28+B33+B38+B54+B74+B75</f>
        <v>0</v>
      </c>
      <c r="C76" s="260">
        <f t="shared" si="5"/>
        <v>0</v>
      </c>
      <c r="D76" s="261">
        <f>+D28+D33+D38+D54+D74+D75</f>
        <v>0</v>
      </c>
      <c r="E76" s="260">
        <f t="shared" si="5"/>
        <v>0</v>
      </c>
      <c r="F76" s="261">
        <f t="shared" si="5"/>
        <v>2000.0000000000018</v>
      </c>
      <c r="G76" s="260">
        <f t="shared" si="5"/>
        <v>2000</v>
      </c>
      <c r="H76" s="262">
        <f t="shared" si="5"/>
        <v>1999.9999999999927</v>
      </c>
      <c r="I76" s="2074"/>
      <c r="J76" s="2075"/>
      <c r="K76" s="2075"/>
      <c r="L76" s="2075"/>
      <c r="M76" s="2075"/>
      <c r="N76" s="2075"/>
      <c r="O76" s="2075"/>
      <c r="P76" s="2075"/>
      <c r="Q76" s="2075"/>
      <c r="R76" s="2075"/>
      <c r="S76" s="2075"/>
      <c r="T76" s="2075"/>
      <c r="U76" s="2075"/>
      <c r="V76" s="2075"/>
      <c r="W76" s="2075"/>
      <c r="X76" s="2075"/>
      <c r="Y76" s="2075"/>
      <c r="Z76" s="2075"/>
      <c r="AA76" s="2075"/>
      <c r="AB76" s="2075"/>
      <c r="AC76" s="2075"/>
      <c r="AD76" s="2075"/>
      <c r="AE76" s="2075"/>
      <c r="AF76" s="2075"/>
      <c r="AG76" s="2075"/>
      <c r="AH76" s="2075"/>
      <c r="AI76" s="2075"/>
      <c r="AJ76" s="2075"/>
      <c r="AK76" s="2075"/>
      <c r="AL76" s="2075"/>
      <c r="AM76" s="2075"/>
      <c r="AN76" s="2075"/>
      <c r="AO76" s="2075"/>
      <c r="AP76" s="2075"/>
      <c r="AQ76" s="2075"/>
      <c r="AR76" s="2075"/>
      <c r="AS76" s="2075"/>
      <c r="AT76" s="2075"/>
      <c r="AU76" s="2075"/>
      <c r="AV76" s="2075"/>
      <c r="AW76" s="2075"/>
      <c r="AX76" s="2075"/>
      <c r="AY76" s="2075"/>
      <c r="AZ76" s="2075"/>
      <c r="BA76" s="2075"/>
      <c r="BB76" s="2075"/>
      <c r="BC76" s="2075"/>
      <c r="BD76" s="2075"/>
      <c r="BE76" s="2075"/>
      <c r="BF76" s="2075"/>
      <c r="BG76" s="2075"/>
      <c r="BH76" s="2075"/>
      <c r="BI76" s="2075"/>
      <c r="BJ76" s="2075"/>
      <c r="BK76" s="2075"/>
      <c r="BL76" s="2075"/>
      <c r="BM76" s="2075"/>
      <c r="BN76" s="2075"/>
      <c r="BO76" s="2075"/>
      <c r="BP76" s="2075"/>
      <c r="BQ76" s="2075"/>
      <c r="BR76" s="2075"/>
      <c r="BS76" s="2075"/>
      <c r="BT76" s="2075"/>
      <c r="BU76" s="2075"/>
      <c r="BV76" s="2075"/>
      <c r="BW76" s="2075"/>
      <c r="BX76" s="2075"/>
      <c r="BY76" s="2075"/>
      <c r="BZ76" s="2075"/>
      <c r="CA76" s="2075"/>
      <c r="CB76" s="2075"/>
      <c r="CC76" s="2075"/>
      <c r="CD76" s="2075"/>
      <c r="CE76" s="2075"/>
      <c r="CF76" s="2075"/>
      <c r="CG76" s="2075"/>
      <c r="CH76" s="2075"/>
      <c r="CI76" s="2075"/>
      <c r="CJ76" s="2075"/>
      <c r="CK76" s="2075"/>
      <c r="CL76" s="2075"/>
      <c r="CM76" s="2075"/>
      <c r="CN76" s="2075"/>
      <c r="CO76" s="2075"/>
      <c r="CP76" s="2075"/>
      <c r="CQ76" s="2075"/>
      <c r="CR76" s="2075"/>
      <c r="CS76" s="2075"/>
      <c r="CT76" s="2075"/>
      <c r="CU76" s="2075"/>
      <c r="CV76" s="2075"/>
      <c r="CW76" s="2075"/>
      <c r="CX76" s="2075"/>
      <c r="CY76" s="2075"/>
      <c r="CZ76" s="2075"/>
      <c r="DA76" s="2075"/>
      <c r="DB76" s="2075"/>
      <c r="DC76" s="2075"/>
      <c r="DD76" s="2075"/>
      <c r="DE76" s="2075"/>
      <c r="DF76" s="2075"/>
      <c r="DG76" s="2075"/>
      <c r="DH76" s="2075"/>
      <c r="DI76" s="2075"/>
      <c r="DJ76" s="2075"/>
      <c r="DK76" s="2075"/>
      <c r="DL76" s="2075"/>
      <c r="DM76" s="2075"/>
      <c r="DN76" s="2075"/>
      <c r="DO76" s="2075"/>
      <c r="DP76" s="2075"/>
      <c r="DQ76" s="2075"/>
      <c r="DR76" s="2075"/>
      <c r="DS76" s="2075"/>
      <c r="DT76" s="2075"/>
      <c r="DU76" s="2075"/>
      <c r="DV76" s="2075"/>
      <c r="DW76" s="2075"/>
      <c r="DX76" s="2075"/>
      <c r="DY76" s="2075"/>
      <c r="DZ76" s="2075"/>
      <c r="EA76" s="2075"/>
      <c r="EB76" s="2075"/>
      <c r="EC76" s="2075"/>
      <c r="ED76" s="2075"/>
      <c r="EE76" s="2075"/>
      <c r="EF76" s="2075"/>
      <c r="EG76" s="2075"/>
      <c r="EH76" s="2075"/>
      <c r="EI76" s="2075"/>
      <c r="EJ76" s="2075"/>
      <c r="EK76" s="2075"/>
      <c r="EL76" s="2075"/>
      <c r="EM76" s="2075"/>
      <c r="EN76" s="2075"/>
      <c r="EO76" s="2075"/>
      <c r="EP76" s="2075"/>
      <c r="EQ76" s="2075"/>
      <c r="ER76" s="2075"/>
      <c r="ES76" s="2075"/>
      <c r="ET76" s="2075"/>
      <c r="EU76" s="2075"/>
      <c r="EV76" s="2075"/>
      <c r="EW76" s="2075"/>
      <c r="EX76" s="2075"/>
      <c r="EY76" s="2075"/>
      <c r="EZ76" s="2075"/>
      <c r="FA76" s="2075"/>
      <c r="FB76" s="2075"/>
      <c r="FC76" s="2075"/>
      <c r="FD76" s="2075"/>
      <c r="FE76" s="2075"/>
      <c r="FF76" s="2075"/>
      <c r="FG76" s="2075"/>
      <c r="FH76" s="2075"/>
      <c r="FI76" s="2075"/>
      <c r="FJ76" s="2075"/>
      <c r="FK76" s="2075"/>
      <c r="FL76" s="2075"/>
      <c r="FM76" s="2075"/>
      <c r="FN76" s="2075"/>
      <c r="FO76" s="2075"/>
      <c r="FP76" s="2075"/>
      <c r="FQ76" s="2075"/>
      <c r="FR76" s="2075"/>
      <c r="FS76" s="2075"/>
      <c r="FT76" s="2075"/>
      <c r="FU76" s="2075"/>
      <c r="FV76" s="2075"/>
      <c r="FW76" s="2075"/>
      <c r="FX76" s="2075"/>
      <c r="FY76" s="2075"/>
      <c r="FZ76" s="2075"/>
      <c r="GA76" s="2075"/>
      <c r="GB76" s="2075"/>
      <c r="GC76" s="2075"/>
      <c r="GD76" s="2075"/>
      <c r="GE76" s="2075"/>
      <c r="GF76" s="2075"/>
      <c r="GG76" s="2075"/>
      <c r="GH76" s="2075"/>
      <c r="GI76" s="2075"/>
      <c r="GJ76" s="2075"/>
      <c r="GK76" s="2075"/>
      <c r="GL76" s="2075"/>
      <c r="GM76" s="2075"/>
      <c r="GN76" s="2075"/>
      <c r="GO76" s="2075"/>
      <c r="GP76" s="2075"/>
      <c r="GQ76" s="2075"/>
      <c r="GR76" s="2075"/>
      <c r="GS76" s="2075"/>
      <c r="GT76" s="2075"/>
      <c r="GU76" s="2075"/>
      <c r="GV76" s="2075"/>
      <c r="GW76" s="2075"/>
      <c r="GX76" s="2075"/>
      <c r="GY76" s="2075"/>
      <c r="GZ76" s="2075"/>
      <c r="HA76" s="2075"/>
      <c r="HB76" s="2075"/>
      <c r="HC76" s="2075"/>
      <c r="HD76" s="2075"/>
      <c r="HE76" s="2075"/>
      <c r="HF76" s="2075"/>
      <c r="HG76" s="2075"/>
      <c r="HH76" s="2075"/>
      <c r="HI76" s="2075"/>
      <c r="HJ76" s="2075"/>
      <c r="HK76" s="2075"/>
      <c r="HL76" s="2075"/>
      <c r="HM76" s="2075"/>
      <c r="HN76" s="2075"/>
      <c r="HO76" s="2075"/>
      <c r="HP76" s="2075"/>
      <c r="HQ76" s="2075"/>
      <c r="HR76" s="2075"/>
      <c r="HS76" s="2075"/>
      <c r="HT76" s="2075"/>
      <c r="HU76" s="2075"/>
      <c r="HV76" s="2075"/>
      <c r="HW76" s="2075"/>
      <c r="HX76" s="2075"/>
      <c r="HY76" s="2075"/>
      <c r="HZ76" s="2075"/>
      <c r="IA76" s="2075"/>
      <c r="IB76" s="2075"/>
      <c r="IC76" s="2075"/>
      <c r="ID76" s="2075"/>
      <c r="IE76" s="2075"/>
      <c r="IF76" s="2075"/>
      <c r="IG76" s="2075"/>
      <c r="IH76" s="2075"/>
      <c r="II76" s="2075"/>
      <c r="IJ76" s="2075"/>
      <c r="IK76" s="2075"/>
      <c r="IL76" s="2075"/>
      <c r="IM76" s="2075"/>
      <c r="IN76" s="2075"/>
      <c r="IO76" s="2075"/>
      <c r="IP76" s="2075"/>
      <c r="IQ76" s="2075"/>
      <c r="IR76" s="2075"/>
      <c r="IS76" s="2075"/>
      <c r="IT76" s="2075"/>
      <c r="IU76" s="2075"/>
      <c r="IV76" s="2075"/>
      <c r="IW76" s="2075"/>
      <c r="IX76" s="2075"/>
      <c r="IY76" s="2075"/>
      <c r="IZ76" s="2075"/>
      <c r="JA76" s="2075"/>
      <c r="JB76" s="2075"/>
      <c r="JC76" s="2075"/>
      <c r="JD76" s="2075"/>
      <c r="JE76" s="2075"/>
      <c r="JF76" s="2075"/>
      <c r="JG76" s="2075"/>
      <c r="JH76" s="2075"/>
      <c r="JI76" s="2075"/>
      <c r="JJ76" s="2075"/>
      <c r="JK76" s="2075"/>
      <c r="JL76" s="2075"/>
      <c r="JM76" s="2075"/>
      <c r="JN76" s="2075"/>
      <c r="JO76" s="2075"/>
      <c r="JP76" s="2075"/>
      <c r="JQ76" s="2075"/>
      <c r="JR76" s="2075"/>
      <c r="JS76" s="2075"/>
      <c r="JT76" s="2075"/>
      <c r="JU76" s="2075"/>
      <c r="JV76" s="2075"/>
      <c r="JW76" s="2075"/>
      <c r="JX76" s="2075"/>
      <c r="JY76" s="2075"/>
      <c r="JZ76" s="2075"/>
      <c r="KA76" s="2075"/>
      <c r="KB76" s="2075"/>
      <c r="KC76" s="2075"/>
      <c r="KD76" s="2075"/>
      <c r="KE76" s="2075"/>
      <c r="KF76" s="2075"/>
      <c r="KG76" s="2075"/>
      <c r="KH76" s="2075"/>
      <c r="KI76" s="2075"/>
      <c r="KJ76" s="2075"/>
      <c r="KK76" s="2075"/>
      <c r="KL76" s="2075"/>
      <c r="KM76" s="2075"/>
      <c r="KN76" s="2075"/>
      <c r="KO76" s="2075"/>
      <c r="KP76" s="2075"/>
      <c r="KQ76" s="2075"/>
      <c r="KR76" s="2075"/>
      <c r="KS76" s="2075"/>
      <c r="KT76" s="2075"/>
      <c r="KU76" s="2075"/>
      <c r="KV76" s="2075"/>
      <c r="KW76" s="2075"/>
      <c r="KX76" s="2075"/>
      <c r="KY76" s="2075"/>
      <c r="KZ76" s="2075"/>
      <c r="LA76" s="2075"/>
      <c r="LB76" s="2075"/>
      <c r="LC76" s="2075"/>
      <c r="LD76" s="2075"/>
      <c r="LE76" s="2075"/>
      <c r="LF76" s="2075"/>
      <c r="LG76" s="2075"/>
      <c r="LH76" s="2075"/>
      <c r="LI76" s="2075"/>
      <c r="LJ76" s="2075"/>
      <c r="LK76" s="2075"/>
      <c r="LL76" s="2075"/>
      <c r="LM76" s="2075"/>
      <c r="LN76" s="2075"/>
      <c r="LO76" s="2075"/>
    </row>
    <row r="77" spans="1:327" s="2071" customFormat="1" x14ac:dyDescent="0.25"/>
    <row r="78" spans="1:327" s="2071" customFormat="1" x14ac:dyDescent="0.25"/>
    <row r="79" spans="1:327" s="2071" customFormat="1" x14ac:dyDescent="0.25">
      <c r="B79" s="2074"/>
      <c r="C79" s="2074" t="s">
        <v>718</v>
      </c>
      <c r="D79" s="2074"/>
      <c r="E79" s="2079">
        <f>'Balances anuales'!B23</f>
        <v>0</v>
      </c>
      <c r="F79" s="2079">
        <f>'Balances anuales'!D23</f>
        <v>2000</v>
      </c>
      <c r="G79" s="2079">
        <f>'Balances anuales'!F23</f>
        <v>2000</v>
      </c>
      <c r="H79" s="2079">
        <f>'Balances anuales'!H23</f>
        <v>2000</v>
      </c>
    </row>
    <row r="80" spans="1:327" s="2071" customFormat="1" x14ac:dyDescent="0.25">
      <c r="B80" s="2080" t="s">
        <v>721</v>
      </c>
      <c r="C80" s="2074" t="s">
        <v>720</v>
      </c>
      <c r="D80" s="2074"/>
      <c r="E80" s="2081" t="str">
        <f>IF(ABS(E79-E76)&gt;0.1,E79-E76,"")</f>
        <v/>
      </c>
      <c r="F80" s="2081" t="str">
        <f>IF(ABS(F79-F76)&gt;0.1,F79-F76,"")</f>
        <v/>
      </c>
      <c r="G80" s="2081" t="str">
        <f>IF(ABS(G79-G76)&gt;0.1,G79-G76,"")</f>
        <v/>
      </c>
      <c r="H80" s="2081" t="str">
        <f>IF(ABS(H79-H76)&gt;0.1,H79-H76,"")</f>
        <v/>
      </c>
    </row>
    <row r="81" s="2071" customFormat="1" x14ac:dyDescent="0.25"/>
    <row r="82" s="2071" customFormat="1" x14ac:dyDescent="0.25"/>
    <row r="83" s="2071" customFormat="1" x14ac:dyDescent="0.25"/>
    <row r="84" s="2071" customFormat="1" x14ac:dyDescent="0.25"/>
    <row r="85" s="2071" customFormat="1" x14ac:dyDescent="0.25"/>
    <row r="86" s="2071" customFormat="1" x14ac:dyDescent="0.25"/>
    <row r="87" s="2071" customFormat="1" x14ac:dyDescent="0.25"/>
    <row r="88" s="2071" customFormat="1" x14ac:dyDescent="0.25"/>
    <row r="89" s="2071" customFormat="1" x14ac:dyDescent="0.25"/>
    <row r="90" s="2071" customFormat="1" x14ac:dyDescent="0.25"/>
    <row r="91" s="2071" customFormat="1" x14ac:dyDescent="0.25"/>
    <row r="92" s="2071" customFormat="1" x14ac:dyDescent="0.25"/>
    <row r="93" s="2071" customFormat="1" x14ac:dyDescent="0.25"/>
    <row r="94" s="2071" customFormat="1" x14ac:dyDescent="0.25"/>
    <row r="95" s="2071" customFormat="1" x14ac:dyDescent="0.25"/>
    <row r="96" s="2071" customFormat="1" x14ac:dyDescent="0.25"/>
    <row r="97" s="2071" customFormat="1" x14ac:dyDescent="0.25"/>
    <row r="98" s="2071" customFormat="1" x14ac:dyDescent="0.25"/>
    <row r="99" s="2071" customFormat="1" x14ac:dyDescent="0.25"/>
    <row r="100" s="2071" customFormat="1" x14ac:dyDescent="0.25"/>
    <row r="101" s="2071" customFormat="1" x14ac:dyDescent="0.25"/>
    <row r="102" s="2071" customFormat="1" x14ac:dyDescent="0.25"/>
    <row r="103" s="2071" customFormat="1" x14ac:dyDescent="0.25"/>
    <row r="104" s="2071" customFormat="1" x14ac:dyDescent="0.25"/>
    <row r="105" s="2071" customFormat="1" x14ac:dyDescent="0.25"/>
    <row r="106" s="2071" customFormat="1" x14ac:dyDescent="0.25"/>
    <row r="107" s="2071" customFormat="1" x14ac:dyDescent="0.25"/>
    <row r="108" s="2071" customFormat="1" x14ac:dyDescent="0.25"/>
    <row r="109" s="2071" customFormat="1" x14ac:dyDescent="0.25"/>
    <row r="110" s="2071" customFormat="1" x14ac:dyDescent="0.25"/>
    <row r="111" s="2071" customFormat="1" x14ac:dyDescent="0.25"/>
    <row r="112" s="2071" customFormat="1" x14ac:dyDescent="0.25"/>
    <row r="113" s="2071" customFormat="1" x14ac:dyDescent="0.25"/>
    <row r="114" s="2071" customFormat="1" x14ac:dyDescent="0.25"/>
    <row r="115" s="2071" customFormat="1" x14ac:dyDescent="0.25"/>
    <row r="116" s="2071" customFormat="1" x14ac:dyDescent="0.25"/>
    <row r="117" s="2071" customFormat="1" x14ac:dyDescent="0.25"/>
    <row r="118" s="2071" customFormat="1" x14ac:dyDescent="0.25"/>
    <row r="119" s="2071" customFormat="1" x14ac:dyDescent="0.25"/>
    <row r="120" s="2071" customFormat="1" x14ac:dyDescent="0.25"/>
    <row r="121" s="2071" customFormat="1" x14ac:dyDescent="0.25"/>
    <row r="122" s="2071" customFormat="1" x14ac:dyDescent="0.25"/>
    <row r="123" s="2071" customFormat="1" x14ac:dyDescent="0.25"/>
    <row r="124" s="2071" customFormat="1" x14ac:dyDescent="0.25"/>
    <row r="125" s="2071" customFormat="1" x14ac:dyDescent="0.25"/>
    <row r="126" s="2071" customFormat="1" x14ac:dyDescent="0.25"/>
    <row r="127" s="2071" customFormat="1" x14ac:dyDescent="0.25"/>
    <row r="128" s="2071" customFormat="1" x14ac:dyDescent="0.25"/>
    <row r="129" s="2071" customFormat="1" x14ac:dyDescent="0.25"/>
    <row r="130" s="2071" customFormat="1" x14ac:dyDescent="0.25"/>
    <row r="131" s="2071" customFormat="1" x14ac:dyDescent="0.25"/>
    <row r="132" s="2071" customFormat="1" x14ac:dyDescent="0.25"/>
    <row r="133" s="2071" customFormat="1" x14ac:dyDescent="0.25"/>
    <row r="134" s="2071" customFormat="1" x14ac:dyDescent="0.25"/>
    <row r="135" s="2071" customFormat="1" x14ac:dyDescent="0.25"/>
    <row r="136" s="2071" customFormat="1" x14ac:dyDescent="0.25"/>
    <row r="137" s="2071" customFormat="1" x14ac:dyDescent="0.25"/>
    <row r="138" s="2071" customFormat="1" x14ac:dyDescent="0.25"/>
    <row r="139" s="2071" customFormat="1" x14ac:dyDescent="0.25"/>
    <row r="140" s="2071" customFormat="1" x14ac:dyDescent="0.25"/>
    <row r="141" s="2071" customFormat="1" x14ac:dyDescent="0.25"/>
    <row r="142" s="2071" customFormat="1" x14ac:dyDescent="0.25"/>
    <row r="143" s="2071" customFormat="1" x14ac:dyDescent="0.25"/>
    <row r="144" s="2071" customFormat="1" x14ac:dyDescent="0.25"/>
    <row r="145" s="2071" customFormat="1" x14ac:dyDescent="0.25"/>
    <row r="146" s="2071" customFormat="1" x14ac:dyDescent="0.25"/>
    <row r="147" s="2071" customFormat="1" x14ac:dyDescent="0.25"/>
    <row r="148" s="2071" customFormat="1" x14ac:dyDescent="0.25"/>
    <row r="149" s="2071" customFormat="1" x14ac:dyDescent="0.25"/>
    <row r="150" s="2071" customFormat="1" x14ac:dyDescent="0.25"/>
    <row r="151" s="2071" customFormat="1" x14ac:dyDescent="0.25"/>
    <row r="152" s="2071" customFormat="1" x14ac:dyDescent="0.25"/>
    <row r="153" s="2071" customFormat="1" x14ac:dyDescent="0.25"/>
    <row r="154" s="2071" customFormat="1" x14ac:dyDescent="0.25"/>
    <row r="155" s="2071" customFormat="1" x14ac:dyDescent="0.25"/>
    <row r="156" s="2071" customFormat="1" x14ac:dyDescent="0.25"/>
    <row r="157" s="2071" customFormat="1" x14ac:dyDescent="0.25"/>
    <row r="158" s="2071" customFormat="1" x14ac:dyDescent="0.25"/>
    <row r="159" s="2071" customFormat="1" x14ac:dyDescent="0.25"/>
    <row r="160" s="2071" customFormat="1" x14ac:dyDescent="0.25"/>
    <row r="161" s="2071" customFormat="1" x14ac:dyDescent="0.25"/>
    <row r="162" s="2071" customFormat="1" x14ac:dyDescent="0.25"/>
    <row r="163" s="2071" customFormat="1" x14ac:dyDescent="0.25"/>
    <row r="164" s="2071" customFormat="1" x14ac:dyDescent="0.25"/>
    <row r="165" s="2071" customFormat="1" x14ac:dyDescent="0.25"/>
    <row r="166" s="2071" customFormat="1" x14ac:dyDescent="0.25"/>
    <row r="167" s="2071" customFormat="1" x14ac:dyDescent="0.25"/>
    <row r="168" s="2071" customFormat="1" x14ac:dyDescent="0.25"/>
    <row r="169" s="2071" customFormat="1" x14ac:dyDescent="0.25"/>
    <row r="170" s="2071" customFormat="1" x14ac:dyDescent="0.25"/>
    <row r="171" s="2071" customFormat="1" x14ac:dyDescent="0.25"/>
    <row r="172" s="2071" customFormat="1" x14ac:dyDescent="0.25"/>
    <row r="173" s="2071" customFormat="1" x14ac:dyDescent="0.25"/>
    <row r="174" s="2071" customFormat="1" x14ac:dyDescent="0.25"/>
    <row r="175" s="2071" customFormat="1" x14ac:dyDescent="0.25"/>
    <row r="176" s="2071" customFormat="1" x14ac:dyDescent="0.25"/>
    <row r="177" s="2071" customFormat="1" x14ac:dyDescent="0.25"/>
    <row r="178" s="2071" customFormat="1" x14ac:dyDescent="0.25"/>
    <row r="179" s="2071" customFormat="1" x14ac:dyDescent="0.25"/>
    <row r="180" s="2071" customFormat="1" x14ac:dyDescent="0.25"/>
    <row r="181" s="2071" customFormat="1" x14ac:dyDescent="0.25"/>
    <row r="182" s="2071" customFormat="1" x14ac:dyDescent="0.25"/>
    <row r="183" s="2071" customFormat="1" x14ac:dyDescent="0.25"/>
    <row r="184" s="2071" customFormat="1" x14ac:dyDescent="0.25"/>
    <row r="185" s="2071" customFormat="1" x14ac:dyDescent="0.25"/>
    <row r="186" s="2071" customFormat="1" x14ac:dyDescent="0.25"/>
    <row r="187" s="2071" customFormat="1" x14ac:dyDescent="0.25"/>
    <row r="188" s="2071" customFormat="1" x14ac:dyDescent="0.25"/>
    <row r="189" s="2071" customFormat="1" x14ac:dyDescent="0.25"/>
    <row r="190" s="2071" customFormat="1" x14ac:dyDescent="0.25"/>
    <row r="191" s="2071" customFormat="1" x14ac:dyDescent="0.25"/>
    <row r="192" s="2071" customFormat="1" x14ac:dyDescent="0.25"/>
    <row r="193" s="2071" customFormat="1" x14ac:dyDescent="0.25"/>
    <row r="194" s="2071" customFormat="1" x14ac:dyDescent="0.25"/>
    <row r="195" s="2071" customFormat="1" x14ac:dyDescent="0.25"/>
    <row r="196" s="2071" customFormat="1" x14ac:dyDescent="0.25"/>
    <row r="197" s="2071" customFormat="1" x14ac:dyDescent="0.25"/>
    <row r="198" s="2071" customFormat="1" x14ac:dyDescent="0.25"/>
    <row r="199" s="2071" customFormat="1" x14ac:dyDescent="0.25"/>
    <row r="200" s="2071" customFormat="1" x14ac:dyDescent="0.25"/>
    <row r="201" s="2071" customFormat="1" x14ac:dyDescent="0.25"/>
    <row r="202" s="2071" customFormat="1" x14ac:dyDescent="0.25"/>
    <row r="203" s="2071" customFormat="1" x14ac:dyDescent="0.25"/>
    <row r="204" s="2071" customFormat="1" x14ac:dyDescent="0.25"/>
    <row r="205" s="2071" customFormat="1" x14ac:dyDescent="0.25"/>
    <row r="206" s="2071" customFormat="1" x14ac:dyDescent="0.25"/>
    <row r="207" s="2071" customFormat="1" x14ac:dyDescent="0.25"/>
    <row r="208" s="2071" customFormat="1" x14ac:dyDescent="0.25"/>
    <row r="209" s="2071" customFormat="1" x14ac:dyDescent="0.25"/>
    <row r="210" s="2071" customFormat="1" x14ac:dyDescent="0.25"/>
    <row r="211" s="2071" customFormat="1" x14ac:dyDescent="0.25"/>
    <row r="212" s="2071" customFormat="1" x14ac:dyDescent="0.25"/>
    <row r="213" s="2071" customFormat="1" x14ac:dyDescent="0.25"/>
    <row r="214" s="2071" customFormat="1" x14ac:dyDescent="0.25"/>
    <row r="215" s="2071" customFormat="1" x14ac:dyDescent="0.25"/>
    <row r="216" s="2071" customFormat="1" x14ac:dyDescent="0.25"/>
    <row r="217" s="2071" customFormat="1" x14ac:dyDescent="0.25"/>
    <row r="218" s="2071" customFormat="1" x14ac:dyDescent="0.25"/>
    <row r="219" s="2071" customFormat="1" x14ac:dyDescent="0.25"/>
    <row r="220" s="2071" customFormat="1" x14ac:dyDescent="0.25"/>
    <row r="221" s="2071" customFormat="1" x14ac:dyDescent="0.25"/>
    <row r="222" s="2071" customFormat="1" x14ac:dyDescent="0.25"/>
    <row r="223" s="2071" customFormat="1" x14ac:dyDescent="0.25"/>
    <row r="224" s="2071" customFormat="1" x14ac:dyDescent="0.25"/>
    <row r="225" s="2071" customFormat="1" x14ac:dyDescent="0.25"/>
    <row r="226" s="2071" customFormat="1" x14ac:dyDescent="0.25"/>
    <row r="227" s="2071" customFormat="1" x14ac:dyDescent="0.25"/>
    <row r="228" s="2071" customFormat="1" x14ac:dyDescent="0.25"/>
    <row r="229" s="2071" customFormat="1" x14ac:dyDescent="0.25"/>
    <row r="230" s="2071" customFormat="1" x14ac:dyDescent="0.25"/>
    <row r="231" s="2071" customFormat="1" x14ac:dyDescent="0.25"/>
    <row r="232" s="2071" customFormat="1" x14ac:dyDescent="0.25"/>
    <row r="233" s="2071" customFormat="1" x14ac:dyDescent="0.25"/>
    <row r="234" s="2071" customFormat="1" x14ac:dyDescent="0.25"/>
    <row r="235" s="2071" customFormat="1" x14ac:dyDescent="0.25"/>
    <row r="236" s="2071" customFormat="1" x14ac:dyDescent="0.25"/>
    <row r="237" s="2071" customFormat="1" x14ac:dyDescent="0.25"/>
    <row r="238" s="2071" customFormat="1" x14ac:dyDescent="0.25"/>
    <row r="239" s="2071" customFormat="1" x14ac:dyDescent="0.25"/>
    <row r="240" s="2071" customFormat="1" x14ac:dyDescent="0.25"/>
    <row r="241" s="2071" customFormat="1" x14ac:dyDescent="0.25"/>
    <row r="242" s="2071" customFormat="1" x14ac:dyDescent="0.25"/>
    <row r="243" s="2071" customFormat="1" x14ac:dyDescent="0.25"/>
    <row r="244" s="2071" customFormat="1" x14ac:dyDescent="0.25"/>
    <row r="245" s="2071" customFormat="1" x14ac:dyDescent="0.25"/>
    <row r="246" s="2071" customFormat="1" x14ac:dyDescent="0.25"/>
    <row r="247" s="2071" customFormat="1" x14ac:dyDescent="0.25"/>
    <row r="248" s="2071" customFormat="1" x14ac:dyDescent="0.25"/>
    <row r="249" s="2071" customFormat="1" x14ac:dyDescent="0.25"/>
    <row r="250" s="2071" customFormat="1" x14ac:dyDescent="0.25"/>
    <row r="251" s="2071" customFormat="1" x14ac:dyDescent="0.25"/>
    <row r="252" s="2071" customFormat="1" x14ac:dyDescent="0.25"/>
    <row r="253" s="2071" customFormat="1" x14ac:dyDescent="0.25"/>
    <row r="254" s="2071" customFormat="1" x14ac:dyDescent="0.25"/>
    <row r="255" s="2071" customFormat="1" x14ac:dyDescent="0.25"/>
    <row r="256" s="2071" customFormat="1" x14ac:dyDescent="0.25"/>
    <row r="257" s="2071" customFormat="1" x14ac:dyDescent="0.25"/>
    <row r="258" s="2071" customFormat="1" x14ac:dyDescent="0.25"/>
    <row r="259" s="2071" customFormat="1" x14ac:dyDescent="0.25"/>
    <row r="260" s="2071" customFormat="1" x14ac:dyDescent="0.25"/>
    <row r="261" s="2071" customFormat="1" x14ac:dyDescent="0.25"/>
    <row r="262" s="2071" customFormat="1" x14ac:dyDescent="0.25"/>
    <row r="263" s="2071" customFormat="1" x14ac:dyDescent="0.25"/>
    <row r="264" s="2071" customFormat="1" x14ac:dyDescent="0.25"/>
    <row r="265" s="2071" customFormat="1" x14ac:dyDescent="0.25"/>
    <row r="266" s="2071" customFormat="1" x14ac:dyDescent="0.25"/>
    <row r="267" s="2071" customFormat="1" x14ac:dyDescent="0.25"/>
    <row r="268" s="2071" customFormat="1" x14ac:dyDescent="0.25"/>
    <row r="269" s="2071" customFormat="1" x14ac:dyDescent="0.25"/>
    <row r="270" s="2071" customFormat="1" x14ac:dyDescent="0.25"/>
    <row r="271" s="2071" customFormat="1" x14ac:dyDescent="0.25"/>
    <row r="272" s="2071" customFormat="1" x14ac:dyDescent="0.25"/>
    <row r="273" s="2071" customFormat="1" x14ac:dyDescent="0.25"/>
    <row r="274" s="2071" customFormat="1" x14ac:dyDescent="0.25"/>
    <row r="275" s="2071" customFormat="1" x14ac:dyDescent="0.25"/>
    <row r="276" s="2071" customFormat="1" x14ac:dyDescent="0.25"/>
    <row r="277" s="2071" customFormat="1" x14ac:dyDescent="0.25"/>
    <row r="278" s="2071" customFormat="1" x14ac:dyDescent="0.25"/>
    <row r="279" s="2071" customFormat="1" x14ac:dyDescent="0.25"/>
    <row r="280" s="2071" customFormat="1" x14ac:dyDescent="0.25"/>
    <row r="281" s="2071" customFormat="1" x14ac:dyDescent="0.25"/>
    <row r="282" s="2071" customFormat="1" x14ac:dyDescent="0.25"/>
    <row r="283" s="2071" customFormat="1" x14ac:dyDescent="0.25"/>
    <row r="284" s="2071" customFormat="1" x14ac:dyDescent="0.25"/>
    <row r="285" s="2071" customFormat="1" x14ac:dyDescent="0.25"/>
    <row r="286" s="2071" customFormat="1" x14ac:dyDescent="0.25"/>
    <row r="287" s="2071" customFormat="1" x14ac:dyDescent="0.25"/>
    <row r="288" s="2071" customFormat="1" x14ac:dyDescent="0.25"/>
    <row r="289" s="2071" customFormat="1" x14ac:dyDescent="0.25"/>
    <row r="290" s="2071" customFormat="1" x14ac:dyDescent="0.25"/>
    <row r="291" s="2071" customFormat="1" x14ac:dyDescent="0.25"/>
    <row r="292" s="2071" customFormat="1" x14ac:dyDescent="0.25"/>
    <row r="293" s="2071" customFormat="1" x14ac:dyDescent="0.25"/>
    <row r="294" s="2071" customFormat="1" x14ac:dyDescent="0.25"/>
    <row r="295" s="2071" customFormat="1" x14ac:dyDescent="0.25"/>
    <row r="296" s="2071" customFormat="1" x14ac:dyDescent="0.25"/>
    <row r="297" s="2071" customFormat="1" x14ac:dyDescent="0.25"/>
    <row r="298" s="2071" customFormat="1" x14ac:dyDescent="0.25"/>
    <row r="299" s="2071" customFormat="1" x14ac:dyDescent="0.25"/>
    <row r="300" s="2071" customFormat="1" x14ac:dyDescent="0.25"/>
    <row r="301" s="2071" customFormat="1" x14ac:dyDescent="0.25"/>
    <row r="302" s="2071" customFormat="1" x14ac:dyDescent="0.25"/>
    <row r="303" s="2071" customFormat="1" x14ac:dyDescent="0.25"/>
    <row r="304" s="2071" customFormat="1" x14ac:dyDescent="0.25"/>
    <row r="305" s="2071" customFormat="1" x14ac:dyDescent="0.25"/>
    <row r="306" s="2071" customFormat="1" x14ac:dyDescent="0.25"/>
    <row r="307" s="2071" customFormat="1" x14ac:dyDescent="0.25"/>
    <row r="308" s="2071" customFormat="1" x14ac:dyDescent="0.25"/>
    <row r="309" s="2071" customFormat="1" x14ac:dyDescent="0.25"/>
    <row r="310" s="2071" customFormat="1" x14ac:dyDescent="0.25"/>
    <row r="311" s="2071" customFormat="1" x14ac:dyDescent="0.25"/>
    <row r="312" s="2071" customFormat="1" x14ac:dyDescent="0.25"/>
    <row r="313" s="2071" customFormat="1" x14ac:dyDescent="0.25"/>
    <row r="314" s="2071" customFormat="1" x14ac:dyDescent="0.25"/>
    <row r="315" s="2071" customFormat="1" x14ac:dyDescent="0.25"/>
    <row r="316" s="2071" customFormat="1" x14ac:dyDescent="0.25"/>
    <row r="317" s="2071" customFormat="1" x14ac:dyDescent="0.25"/>
    <row r="318" s="2071" customFormat="1" x14ac:dyDescent="0.25"/>
    <row r="319" s="2071" customFormat="1" x14ac:dyDescent="0.25"/>
    <row r="320" s="2071" customFormat="1" x14ac:dyDescent="0.25"/>
    <row r="321" s="2071" customFormat="1" x14ac:dyDescent="0.25"/>
    <row r="322" s="2071" customFormat="1" x14ac:dyDescent="0.25"/>
    <row r="323" s="2071" customFormat="1" x14ac:dyDescent="0.25"/>
    <row r="324" s="2071" customFormat="1" x14ac:dyDescent="0.25"/>
    <row r="325" s="2071" customFormat="1" x14ac:dyDescent="0.25"/>
    <row r="326" s="2071" customFormat="1" x14ac:dyDescent="0.25"/>
    <row r="327" s="2071" customFormat="1" x14ac:dyDescent="0.25"/>
    <row r="328" s="2071" customFormat="1" x14ac:dyDescent="0.25"/>
    <row r="329" s="2071" customFormat="1" x14ac:dyDescent="0.25"/>
    <row r="330" s="2071" customFormat="1" x14ac:dyDescent="0.25"/>
    <row r="331" s="2071" customFormat="1" x14ac:dyDescent="0.25"/>
    <row r="332" s="2071" customFormat="1" x14ac:dyDescent="0.25"/>
    <row r="333" s="2071" customFormat="1" x14ac:dyDescent="0.25"/>
    <row r="334" s="2071" customFormat="1" x14ac:dyDescent="0.25"/>
    <row r="335" s="2071" customFormat="1" x14ac:dyDescent="0.25"/>
    <row r="336" s="2071" customFormat="1" x14ac:dyDescent="0.25"/>
    <row r="337" s="2071" customFormat="1" x14ac:dyDescent="0.25"/>
    <row r="338" s="2071" customFormat="1" x14ac:dyDescent="0.25"/>
    <row r="339" s="2071" customFormat="1" x14ac:dyDescent="0.25"/>
    <row r="340" s="2071" customFormat="1" x14ac:dyDescent="0.25"/>
    <row r="341" s="2071" customFormat="1" x14ac:dyDescent="0.25"/>
    <row r="342" s="2071" customFormat="1" x14ac:dyDescent="0.25"/>
    <row r="343" s="2071" customFormat="1" x14ac:dyDescent="0.25"/>
    <row r="344" s="2071" customFormat="1" x14ac:dyDescent="0.25"/>
    <row r="345" s="2071" customFormat="1" x14ac:dyDescent="0.25"/>
    <row r="346" s="2071" customFormat="1" x14ac:dyDescent="0.25"/>
    <row r="347" s="2071" customFormat="1" x14ac:dyDescent="0.25"/>
    <row r="348" s="2071" customFormat="1" x14ac:dyDescent="0.25"/>
    <row r="349" s="2071" customFormat="1" x14ac:dyDescent="0.25"/>
    <row r="350" s="2071" customFormat="1" x14ac:dyDescent="0.25"/>
    <row r="351" s="2071" customFormat="1" x14ac:dyDescent="0.25"/>
    <row r="352" s="2071" customFormat="1" x14ac:dyDescent="0.25"/>
    <row r="353" s="2071" customFormat="1" x14ac:dyDescent="0.25"/>
    <row r="354" s="2071" customFormat="1" x14ac:dyDescent="0.25"/>
    <row r="355" s="2071" customFormat="1" x14ac:dyDescent="0.25"/>
    <row r="356" s="2071" customFormat="1" x14ac:dyDescent="0.25"/>
    <row r="357" s="2071" customFormat="1" x14ac:dyDescent="0.25"/>
    <row r="358" s="2071" customFormat="1" x14ac:dyDescent="0.25"/>
    <row r="359" s="2071" customFormat="1" x14ac:dyDescent="0.25"/>
    <row r="360" s="2071" customFormat="1" x14ac:dyDescent="0.25"/>
    <row r="361" s="2071" customFormat="1" x14ac:dyDescent="0.25"/>
    <row r="362" s="2071" customFormat="1" x14ac:dyDescent="0.25"/>
    <row r="363" s="2071" customFormat="1" x14ac:dyDescent="0.25"/>
    <row r="364" s="2071" customFormat="1" x14ac:dyDescent="0.25"/>
    <row r="365" s="2071" customFormat="1" x14ac:dyDescent="0.25"/>
    <row r="366" s="2071" customFormat="1" x14ac:dyDescent="0.25"/>
    <row r="367" s="2071" customFormat="1" x14ac:dyDescent="0.25"/>
    <row r="368" s="2071" customFormat="1" x14ac:dyDescent="0.25"/>
    <row r="369" s="2071" customFormat="1" x14ac:dyDescent="0.25"/>
    <row r="370" s="2071" customFormat="1" x14ac:dyDescent="0.25"/>
    <row r="371" s="2071" customFormat="1" x14ac:dyDescent="0.25"/>
    <row r="372" s="2071" customFormat="1" x14ac:dyDescent="0.25"/>
    <row r="373" s="2071" customFormat="1" x14ac:dyDescent="0.25"/>
    <row r="374" s="2071" customFormat="1" x14ac:dyDescent="0.25"/>
    <row r="375" s="2071" customFormat="1" x14ac:dyDescent="0.25"/>
    <row r="376" s="2071" customFormat="1" x14ac:dyDescent="0.25"/>
    <row r="377" s="2071" customFormat="1" x14ac:dyDescent="0.25"/>
    <row r="378" s="2071" customFormat="1" x14ac:dyDescent="0.25"/>
    <row r="379" s="2071" customFormat="1" x14ac:dyDescent="0.25"/>
    <row r="380" s="2071" customFormat="1" x14ac:dyDescent="0.25"/>
    <row r="381" s="2071" customFormat="1" x14ac:dyDescent="0.25"/>
    <row r="382" s="2071" customFormat="1" x14ac:dyDescent="0.25"/>
    <row r="383" s="2071" customFormat="1" x14ac:dyDescent="0.25"/>
    <row r="384" s="2071" customFormat="1" x14ac:dyDescent="0.25"/>
    <row r="385" s="2071" customFormat="1" x14ac:dyDescent="0.25"/>
    <row r="386" s="2071" customFormat="1" x14ac:dyDescent="0.25"/>
    <row r="387" s="2071" customFormat="1" x14ac:dyDescent="0.25"/>
    <row r="388" s="2071" customFormat="1" x14ac:dyDescent="0.25"/>
    <row r="389" s="2071" customFormat="1" x14ac:dyDescent="0.25"/>
    <row r="390" s="2071" customFormat="1" x14ac:dyDescent="0.25"/>
    <row r="391" s="2071" customFormat="1" x14ac:dyDescent="0.25"/>
    <row r="392" s="2071" customFormat="1" x14ac:dyDescent="0.25"/>
    <row r="393" s="2071" customFormat="1" x14ac:dyDescent="0.25"/>
    <row r="394" s="2071" customFormat="1" x14ac:dyDescent="0.25"/>
    <row r="395" s="2071" customFormat="1" x14ac:dyDescent="0.25"/>
    <row r="396" s="2071" customFormat="1" x14ac:dyDescent="0.25"/>
    <row r="397" s="2071" customFormat="1" x14ac:dyDescent="0.25"/>
    <row r="398" s="2071" customFormat="1" x14ac:dyDescent="0.25"/>
    <row r="399" s="2071" customFormat="1" x14ac:dyDescent="0.25"/>
    <row r="400" s="2071" customFormat="1" x14ac:dyDescent="0.25"/>
    <row r="401" s="2071" customFormat="1" x14ac:dyDescent="0.25"/>
    <row r="402" s="2071" customFormat="1" x14ac:dyDescent="0.25"/>
    <row r="403" s="2071" customFormat="1" x14ac:dyDescent="0.25"/>
    <row r="404" s="2071" customFormat="1" x14ac:dyDescent="0.25"/>
    <row r="405" s="2071" customFormat="1" x14ac:dyDescent="0.25"/>
    <row r="406" s="2071" customFormat="1" x14ac:dyDescent="0.25"/>
    <row r="407" s="2071" customFormat="1" x14ac:dyDescent="0.25"/>
    <row r="408" s="2071" customFormat="1" x14ac:dyDescent="0.25"/>
    <row r="409" s="2071" customFormat="1" x14ac:dyDescent="0.25"/>
    <row r="410" s="2071" customFormat="1" x14ac:dyDescent="0.25"/>
    <row r="411" s="2071" customFormat="1" x14ac:dyDescent="0.25"/>
    <row r="412" s="2071" customFormat="1" x14ac:dyDescent="0.25"/>
    <row r="413" s="2071" customFormat="1" x14ac:dyDescent="0.25"/>
    <row r="414" s="2071" customFormat="1" x14ac:dyDescent="0.25"/>
    <row r="415" s="2071" customFormat="1" x14ac:dyDescent="0.25"/>
    <row r="416" s="2071" customFormat="1" x14ac:dyDescent="0.25"/>
    <row r="417" s="2071" customFormat="1" x14ac:dyDescent="0.25"/>
    <row r="418" s="2071" customFormat="1" x14ac:dyDescent="0.25"/>
    <row r="419" s="2071" customFormat="1" x14ac:dyDescent="0.25"/>
    <row r="420" s="2071" customFormat="1" x14ac:dyDescent="0.25"/>
    <row r="421" s="2071" customFormat="1" x14ac:dyDescent="0.25"/>
    <row r="422" s="2071" customFormat="1" x14ac:dyDescent="0.25"/>
    <row r="423" s="2071" customFormat="1" x14ac:dyDescent="0.25"/>
    <row r="424" s="2071" customFormat="1" x14ac:dyDescent="0.25"/>
    <row r="425" s="2071" customFormat="1" x14ac:dyDescent="0.25"/>
    <row r="426" s="2071" customFormat="1" x14ac:dyDescent="0.25"/>
    <row r="427" s="2071" customFormat="1" x14ac:dyDescent="0.25"/>
    <row r="428" s="2071" customFormat="1" x14ac:dyDescent="0.25"/>
    <row r="429" s="2071" customFormat="1" x14ac:dyDescent="0.25"/>
    <row r="430" s="2071" customFormat="1" x14ac:dyDescent="0.25"/>
    <row r="431" s="2071" customFormat="1" x14ac:dyDescent="0.25"/>
    <row r="432" s="2071" customFormat="1" x14ac:dyDescent="0.25"/>
    <row r="433" s="2071" customFormat="1" x14ac:dyDescent="0.25"/>
    <row r="434" s="2071" customFormat="1" x14ac:dyDescent="0.25"/>
    <row r="435" s="2071" customFormat="1" x14ac:dyDescent="0.25"/>
    <row r="436" s="2071" customFormat="1" x14ac:dyDescent="0.25"/>
    <row r="437" s="2071" customFormat="1" x14ac:dyDescent="0.25"/>
    <row r="438" s="2071" customFormat="1" x14ac:dyDescent="0.25"/>
    <row r="439" s="2071" customFormat="1" x14ac:dyDescent="0.25"/>
    <row r="440" s="2071" customFormat="1" x14ac:dyDescent="0.25"/>
    <row r="441" s="2071" customFormat="1" x14ac:dyDescent="0.25"/>
    <row r="442" s="2071" customFormat="1" x14ac:dyDescent="0.25"/>
    <row r="443" s="2071" customFormat="1" x14ac:dyDescent="0.25"/>
    <row r="444" s="2071" customFormat="1" x14ac:dyDescent="0.25"/>
    <row r="445" s="2071" customFormat="1" x14ac:dyDescent="0.25"/>
    <row r="446" s="2071" customFormat="1" x14ac:dyDescent="0.25"/>
    <row r="447" s="2071" customFormat="1" x14ac:dyDescent="0.25"/>
    <row r="448" s="2071" customFormat="1" x14ac:dyDescent="0.25"/>
    <row r="449" s="2071" customFormat="1" x14ac:dyDescent="0.25"/>
    <row r="450" s="2071" customFormat="1" x14ac:dyDescent="0.25"/>
    <row r="451" s="2071" customFormat="1" x14ac:dyDescent="0.25"/>
    <row r="452" s="2071" customFormat="1" x14ac:dyDescent="0.25"/>
    <row r="453" s="2071" customFormat="1" x14ac:dyDescent="0.25"/>
    <row r="454" s="2071" customFormat="1" x14ac:dyDescent="0.25"/>
    <row r="455" s="2071" customFormat="1" x14ac:dyDescent="0.25"/>
    <row r="456" s="2071" customFormat="1" x14ac:dyDescent="0.25"/>
    <row r="457" s="2071" customFormat="1" x14ac:dyDescent="0.25"/>
    <row r="458" s="2071" customFormat="1" x14ac:dyDescent="0.25"/>
    <row r="459" s="2071" customFormat="1" x14ac:dyDescent="0.25"/>
    <row r="460" s="2071" customFormat="1" x14ac:dyDescent="0.25"/>
    <row r="461" s="2071" customFormat="1" x14ac:dyDescent="0.25"/>
    <row r="462" s="2071" customFormat="1" x14ac:dyDescent="0.25"/>
    <row r="463" s="2071" customFormat="1" x14ac:dyDescent="0.25"/>
    <row r="464" s="2071" customFormat="1" x14ac:dyDescent="0.25"/>
    <row r="465" s="2071" customFormat="1" x14ac:dyDescent="0.25"/>
    <row r="466" s="2071" customFormat="1" x14ac:dyDescent="0.25"/>
    <row r="467" s="2071" customFormat="1" x14ac:dyDescent="0.25"/>
    <row r="468" s="2071" customFormat="1" x14ac:dyDescent="0.25"/>
    <row r="469" s="2071" customFormat="1" x14ac:dyDescent="0.25"/>
    <row r="470" s="2071" customFormat="1" x14ac:dyDescent="0.25"/>
    <row r="471" s="2071" customFormat="1" x14ac:dyDescent="0.25"/>
    <row r="472" s="2071" customFormat="1" x14ac:dyDescent="0.25"/>
    <row r="473" s="2071" customFormat="1" x14ac:dyDescent="0.25"/>
    <row r="474" s="2071" customFormat="1" x14ac:dyDescent="0.25"/>
    <row r="475" s="2071" customFormat="1" x14ac:dyDescent="0.25"/>
    <row r="476" s="2071" customFormat="1" x14ac:dyDescent="0.25"/>
    <row r="477" s="2071" customFormat="1" x14ac:dyDescent="0.25"/>
    <row r="478" s="2071" customFormat="1" x14ac:dyDescent="0.25"/>
    <row r="479" s="2071" customFormat="1" x14ac:dyDescent="0.25"/>
    <row r="480" s="2071" customFormat="1" x14ac:dyDescent="0.25"/>
    <row r="481" s="2071" customFormat="1" x14ac:dyDescent="0.25"/>
    <row r="482" s="2071" customFormat="1" x14ac:dyDescent="0.25"/>
    <row r="483" s="2071" customFormat="1" x14ac:dyDescent="0.25"/>
    <row r="484" s="2071" customFormat="1" x14ac:dyDescent="0.25"/>
    <row r="485" s="2071" customFormat="1" x14ac:dyDescent="0.25"/>
    <row r="486" s="2071" customFormat="1" x14ac:dyDescent="0.25"/>
    <row r="487" s="2071" customFormat="1" x14ac:dyDescent="0.25"/>
    <row r="488" s="2071" customFormat="1" x14ac:dyDescent="0.25"/>
    <row r="489" s="2071" customFormat="1" x14ac:dyDescent="0.25"/>
    <row r="490" s="2071" customFormat="1" x14ac:dyDescent="0.25"/>
    <row r="491" s="2071" customFormat="1" x14ac:dyDescent="0.25"/>
    <row r="492" s="2071" customFormat="1" x14ac:dyDescent="0.25"/>
    <row r="493" s="2071" customFormat="1" x14ac:dyDescent="0.25"/>
    <row r="494" s="2071" customFormat="1" x14ac:dyDescent="0.25"/>
    <row r="495" s="2071" customFormat="1" x14ac:dyDescent="0.25"/>
    <row r="496" s="2071" customFormat="1" x14ac:dyDescent="0.25"/>
    <row r="497" s="2071" customFormat="1" x14ac:dyDescent="0.25"/>
    <row r="498" s="2071" customFormat="1" x14ac:dyDescent="0.25"/>
    <row r="499" s="2071" customFormat="1" x14ac:dyDescent="0.25"/>
    <row r="500" s="2071" customFormat="1" x14ac:dyDescent="0.25"/>
    <row r="501" s="2071" customFormat="1" x14ac:dyDescent="0.25"/>
    <row r="502" s="2071" customFormat="1" x14ac:dyDescent="0.25"/>
    <row r="503" s="2071" customFormat="1" x14ac:dyDescent="0.25"/>
    <row r="504" s="2071" customFormat="1" x14ac:dyDescent="0.25"/>
    <row r="505" s="2071" customFormat="1" x14ac:dyDescent="0.25"/>
    <row r="506" s="2071" customFormat="1" x14ac:dyDescent="0.25"/>
    <row r="507" s="2071" customFormat="1" x14ac:dyDescent="0.25"/>
    <row r="508" s="2071" customFormat="1" x14ac:dyDescent="0.25"/>
    <row r="509" s="2071" customFormat="1" x14ac:dyDescent="0.25"/>
    <row r="510" s="2071" customFormat="1" x14ac:dyDescent="0.25"/>
    <row r="511" s="2071" customFormat="1" x14ac:dyDescent="0.25"/>
    <row r="512" s="2071" customFormat="1" x14ac:dyDescent="0.25"/>
    <row r="513" s="2071" customFormat="1" x14ac:dyDescent="0.25"/>
    <row r="514" s="2071" customFormat="1" x14ac:dyDescent="0.25"/>
    <row r="515" s="2071" customFormat="1" x14ac:dyDescent="0.25"/>
    <row r="516" s="2071" customFormat="1" x14ac:dyDescent="0.25"/>
    <row r="517" s="2071" customFormat="1" x14ac:dyDescent="0.25"/>
    <row r="518" s="2071" customFormat="1" x14ac:dyDescent="0.25"/>
    <row r="519" s="2071" customFormat="1" x14ac:dyDescent="0.25"/>
    <row r="520" s="2071" customFormat="1" x14ac:dyDescent="0.25"/>
    <row r="521" s="2071" customFormat="1" x14ac:dyDescent="0.25"/>
    <row r="522" s="2071" customFormat="1" x14ac:dyDescent="0.25"/>
    <row r="523" s="2071" customFormat="1" x14ac:dyDescent="0.25"/>
    <row r="524" s="2071" customFormat="1" x14ac:dyDescent="0.25"/>
    <row r="525" s="2071" customFormat="1" x14ac:dyDescent="0.25"/>
    <row r="526" s="2071" customFormat="1" x14ac:dyDescent="0.25"/>
    <row r="527" s="2071" customFormat="1" x14ac:dyDescent="0.25"/>
    <row r="528" s="2071" customFormat="1" x14ac:dyDescent="0.25"/>
    <row r="529" s="2071" customFormat="1" x14ac:dyDescent="0.25"/>
    <row r="530" s="2071" customFormat="1" x14ac:dyDescent="0.25"/>
    <row r="531" s="2071" customFormat="1" x14ac:dyDescent="0.25"/>
    <row r="532" s="2071" customFormat="1" x14ac:dyDescent="0.25"/>
    <row r="533" s="2071" customFormat="1" x14ac:dyDescent="0.25"/>
    <row r="534" s="2071" customFormat="1" x14ac:dyDescent="0.25"/>
    <row r="535" s="2071" customFormat="1" x14ac:dyDescent="0.25"/>
    <row r="536" s="2071" customFormat="1" x14ac:dyDescent="0.25"/>
    <row r="537" s="2071" customFormat="1" x14ac:dyDescent="0.25"/>
    <row r="538" s="2071" customFormat="1" x14ac:dyDescent="0.25"/>
    <row r="539" s="2071" customFormat="1" x14ac:dyDescent="0.25"/>
    <row r="540" s="2071" customFormat="1" x14ac:dyDescent="0.25"/>
    <row r="541" s="2071" customFormat="1" x14ac:dyDescent="0.25"/>
    <row r="542" s="2071" customFormat="1" x14ac:dyDescent="0.25"/>
    <row r="543" s="2071" customFormat="1" x14ac:dyDescent="0.25"/>
    <row r="544" s="2071" customFormat="1" x14ac:dyDescent="0.25"/>
    <row r="545" s="2071" customFormat="1" x14ac:dyDescent="0.25"/>
    <row r="546" s="2071" customFormat="1" x14ac:dyDescent="0.25"/>
    <row r="547" s="2071" customFormat="1" x14ac:dyDescent="0.25"/>
    <row r="548" s="2071" customFormat="1" x14ac:dyDescent="0.25"/>
    <row r="549" s="2071" customFormat="1" x14ac:dyDescent="0.25"/>
    <row r="550" s="2071" customFormat="1" x14ac:dyDescent="0.25"/>
    <row r="551" s="2071" customFormat="1" x14ac:dyDescent="0.25"/>
    <row r="552" s="2071" customFormat="1" x14ac:dyDescent="0.25"/>
    <row r="553" s="2071" customFormat="1" x14ac:dyDescent="0.25"/>
    <row r="554" s="2071" customFormat="1" x14ac:dyDescent="0.25"/>
    <row r="555" s="2071" customFormat="1" x14ac:dyDescent="0.25"/>
    <row r="556" s="2071" customFormat="1" x14ac:dyDescent="0.25"/>
    <row r="557" s="2071" customFormat="1" x14ac:dyDescent="0.25"/>
    <row r="558" s="2071" customFormat="1" x14ac:dyDescent="0.25"/>
    <row r="559" s="2071" customFormat="1" x14ac:dyDescent="0.25"/>
    <row r="560" s="2071" customFormat="1" x14ac:dyDescent="0.25"/>
    <row r="561" s="2071" customFormat="1" x14ac:dyDescent="0.25"/>
    <row r="562" s="2071" customFormat="1" x14ac:dyDescent="0.25"/>
    <row r="563" s="2071" customFormat="1" x14ac:dyDescent="0.25"/>
    <row r="564" s="2071" customFormat="1" x14ac:dyDescent="0.25"/>
    <row r="565" s="2071" customFormat="1" x14ac:dyDescent="0.25"/>
    <row r="566" s="2071" customFormat="1" x14ac:dyDescent="0.25"/>
    <row r="567" s="2071" customFormat="1" x14ac:dyDescent="0.25"/>
    <row r="568" s="2071" customFormat="1" x14ac:dyDescent="0.25"/>
    <row r="569" s="2071" customFormat="1" x14ac:dyDescent="0.25"/>
    <row r="570" s="2071" customFormat="1" x14ac:dyDescent="0.25"/>
    <row r="571" s="2071" customFormat="1" x14ac:dyDescent="0.25"/>
    <row r="572" s="2071" customFormat="1" x14ac:dyDescent="0.25"/>
    <row r="573" s="2071" customFormat="1" x14ac:dyDescent="0.25"/>
    <row r="574" s="2071" customFormat="1" x14ac:dyDescent="0.25"/>
    <row r="575" s="2071" customFormat="1" x14ac:dyDescent="0.25"/>
    <row r="576" s="2071" customFormat="1" x14ac:dyDescent="0.25"/>
    <row r="577" s="2071" customFormat="1" x14ac:dyDescent="0.25"/>
    <row r="578" s="2071" customFormat="1" x14ac:dyDescent="0.25"/>
    <row r="579" s="2071" customFormat="1" x14ac:dyDescent="0.25"/>
    <row r="580" s="2071" customFormat="1" x14ac:dyDescent="0.25"/>
    <row r="581" s="2071" customFormat="1" x14ac:dyDescent="0.25"/>
    <row r="582" s="2071" customFormat="1" x14ac:dyDescent="0.25"/>
    <row r="583" s="2071" customFormat="1" x14ac:dyDescent="0.25"/>
    <row r="584" s="2071" customFormat="1" x14ac:dyDescent="0.25"/>
    <row r="585" s="2071" customFormat="1" x14ac:dyDescent="0.25"/>
    <row r="586" s="2071" customFormat="1" x14ac:dyDescent="0.25"/>
    <row r="587" s="2071" customFormat="1" x14ac:dyDescent="0.25"/>
    <row r="588" s="2071" customFormat="1" x14ac:dyDescent="0.25"/>
    <row r="589" s="2071" customFormat="1" x14ac:dyDescent="0.25"/>
    <row r="590" s="2071" customFormat="1" x14ac:dyDescent="0.25"/>
    <row r="591" s="2071" customFormat="1" x14ac:dyDescent="0.25"/>
    <row r="592" s="2071" customFormat="1" x14ac:dyDescent="0.25"/>
    <row r="593" s="2071" customFormat="1" x14ac:dyDescent="0.25"/>
    <row r="594" s="2071" customFormat="1" x14ac:dyDescent="0.25"/>
    <row r="595" s="2071" customFormat="1" x14ac:dyDescent="0.25"/>
    <row r="596" s="2071" customFormat="1" x14ac:dyDescent="0.25"/>
    <row r="597" s="2071" customFormat="1" x14ac:dyDescent="0.25"/>
    <row r="598" s="2071" customFormat="1" x14ac:dyDescent="0.25"/>
    <row r="599" s="2071" customFormat="1" x14ac:dyDescent="0.25"/>
    <row r="600" s="2071" customFormat="1" x14ac:dyDescent="0.25"/>
    <row r="601" s="2071" customFormat="1" x14ac:dyDescent="0.25"/>
    <row r="602" s="2071" customFormat="1" x14ac:dyDescent="0.25"/>
    <row r="603" s="2071" customFormat="1" x14ac:dyDescent="0.25"/>
    <row r="604" s="2071" customFormat="1" x14ac:dyDescent="0.25"/>
    <row r="605" s="2071" customFormat="1" x14ac:dyDescent="0.25"/>
    <row r="606" s="2071" customFormat="1" x14ac:dyDescent="0.25"/>
    <row r="607" s="2071" customFormat="1" x14ac:dyDescent="0.25"/>
    <row r="608" s="2071" customFormat="1" x14ac:dyDescent="0.25"/>
    <row r="609" s="2071" customFormat="1" x14ac:dyDescent="0.25"/>
    <row r="610" s="2071" customFormat="1" x14ac:dyDescent="0.25"/>
    <row r="611" s="2071" customFormat="1" x14ac:dyDescent="0.25"/>
    <row r="612" s="2071" customFormat="1" x14ac:dyDescent="0.25"/>
    <row r="613" s="2071" customFormat="1" x14ac:dyDescent="0.25"/>
    <row r="614" s="2071" customFormat="1" x14ac:dyDescent="0.25"/>
    <row r="615" s="2071" customFormat="1" x14ac:dyDescent="0.25"/>
    <row r="616" s="2071" customFormat="1" x14ac:dyDescent="0.25"/>
    <row r="617" s="2071" customFormat="1" x14ac:dyDescent="0.25"/>
    <row r="618" s="2071" customFormat="1" x14ac:dyDescent="0.25"/>
    <row r="619" s="2071" customFormat="1" x14ac:dyDescent="0.25"/>
    <row r="620" s="2071" customFormat="1" x14ac:dyDescent="0.25"/>
    <row r="621" s="2071" customFormat="1" x14ac:dyDescent="0.25"/>
    <row r="622" s="2071" customFormat="1" x14ac:dyDescent="0.25"/>
    <row r="623" s="2071" customFormat="1" x14ac:dyDescent="0.25"/>
    <row r="624" s="2071" customFormat="1" x14ac:dyDescent="0.25"/>
    <row r="625" s="2071" customFormat="1" x14ac:dyDescent="0.25"/>
    <row r="626" s="2071" customFormat="1" x14ac:dyDescent="0.25"/>
    <row r="627" s="2071" customFormat="1" x14ac:dyDescent="0.25"/>
    <row r="628" s="2071" customFormat="1" x14ac:dyDescent="0.25"/>
    <row r="629" s="2071" customFormat="1" x14ac:dyDescent="0.25"/>
    <row r="630" s="2071" customFormat="1" x14ac:dyDescent="0.25"/>
    <row r="631" s="2071" customFormat="1" x14ac:dyDescent="0.25"/>
    <row r="632" s="2071" customFormat="1" x14ac:dyDescent="0.25"/>
    <row r="633" s="2071" customFormat="1" x14ac:dyDescent="0.25"/>
    <row r="634" s="2071" customFormat="1" x14ac:dyDescent="0.25"/>
    <row r="635" s="2071" customFormat="1" x14ac:dyDescent="0.25"/>
    <row r="636" s="2071" customFormat="1" x14ac:dyDescent="0.25"/>
    <row r="637" s="2071" customFormat="1" x14ac:dyDescent="0.25"/>
    <row r="638" s="2071" customFormat="1" x14ac:dyDescent="0.25"/>
    <row r="639" s="2071" customFormat="1" x14ac:dyDescent="0.25"/>
    <row r="640" s="2071" customFormat="1" x14ac:dyDescent="0.25"/>
    <row r="641" s="2071" customFormat="1" x14ac:dyDescent="0.25"/>
    <row r="642" s="2071" customFormat="1" x14ac:dyDescent="0.25"/>
    <row r="643" s="2071" customFormat="1" x14ac:dyDescent="0.25"/>
    <row r="644" s="2071" customFormat="1" x14ac:dyDescent="0.25"/>
    <row r="645" s="2071" customFormat="1" x14ac:dyDescent="0.25"/>
    <row r="646" s="2071" customFormat="1" x14ac:dyDescent="0.25"/>
    <row r="647" s="2071" customFormat="1" x14ac:dyDescent="0.25"/>
    <row r="648" s="2071" customFormat="1" x14ac:dyDescent="0.25"/>
    <row r="649" s="2071" customFormat="1" x14ac:dyDescent="0.25"/>
    <row r="650" s="2071" customFormat="1" x14ac:dyDescent="0.25"/>
    <row r="651" s="2071" customFormat="1" x14ac:dyDescent="0.25"/>
    <row r="652" s="2071" customFormat="1" x14ac:dyDescent="0.25"/>
    <row r="653" s="2071" customFormat="1" x14ac:dyDescent="0.25"/>
    <row r="654" s="2071" customFormat="1" x14ac:dyDescent="0.25"/>
    <row r="655" s="2071" customFormat="1" x14ac:dyDescent="0.25"/>
    <row r="656" s="2071" customFormat="1" x14ac:dyDescent="0.25"/>
    <row r="657" s="2071" customFormat="1" x14ac:dyDescent="0.25"/>
    <row r="658" s="2071" customFormat="1" x14ac:dyDescent="0.25"/>
    <row r="659" s="2071" customFormat="1" x14ac:dyDescent="0.25"/>
    <row r="660" s="2071" customFormat="1" x14ac:dyDescent="0.25"/>
    <row r="661" s="2071" customFormat="1" x14ac:dyDescent="0.25"/>
    <row r="662" s="2071" customFormat="1" x14ac:dyDescent="0.25"/>
    <row r="663" s="2071" customFormat="1" x14ac:dyDescent="0.25"/>
    <row r="664" s="2071" customFormat="1" x14ac:dyDescent="0.25"/>
    <row r="665" s="2071" customFormat="1" x14ac:dyDescent="0.25"/>
    <row r="666" s="2071" customFormat="1" x14ac:dyDescent="0.25"/>
    <row r="667" s="2071" customFormat="1" x14ac:dyDescent="0.25"/>
    <row r="668" s="2071" customFormat="1" x14ac:dyDescent="0.25"/>
    <row r="669" s="2071" customFormat="1" x14ac:dyDescent="0.25"/>
    <row r="670" s="2071" customFormat="1" x14ac:dyDescent="0.25"/>
    <row r="671" s="2071" customFormat="1" x14ac:dyDescent="0.25"/>
    <row r="672" s="2071" customFormat="1" x14ac:dyDescent="0.25"/>
    <row r="673" s="2071" customFormat="1" x14ac:dyDescent="0.25"/>
    <row r="674" s="2071" customFormat="1" x14ac:dyDescent="0.25"/>
    <row r="675" s="2071" customFormat="1" x14ac:dyDescent="0.25"/>
    <row r="676" s="2071" customFormat="1" x14ac:dyDescent="0.25"/>
    <row r="677" s="2071" customFormat="1" x14ac:dyDescent="0.25"/>
    <row r="678" s="2071" customFormat="1" x14ac:dyDescent="0.25"/>
    <row r="679" s="2071" customFormat="1" x14ac:dyDescent="0.25"/>
    <row r="680" s="2071" customFormat="1" x14ac:dyDescent="0.25"/>
    <row r="681" s="2071" customFormat="1" x14ac:dyDescent="0.25"/>
    <row r="682" s="2071" customFormat="1" x14ac:dyDescent="0.25"/>
    <row r="683" s="2071" customFormat="1" x14ac:dyDescent="0.25"/>
    <row r="684" s="2071" customFormat="1" x14ac:dyDescent="0.25"/>
    <row r="685" s="2071" customFormat="1" x14ac:dyDescent="0.25"/>
    <row r="686" s="2071" customFormat="1" x14ac:dyDescent="0.25"/>
    <row r="687" s="2071" customFormat="1" x14ac:dyDescent="0.25"/>
    <row r="688" s="2071" customFormat="1" x14ac:dyDescent="0.25"/>
    <row r="689" s="2071" customFormat="1" x14ac:dyDescent="0.25"/>
    <row r="690" s="2071" customFormat="1" x14ac:dyDescent="0.25"/>
    <row r="691" s="2071" customFormat="1" x14ac:dyDescent="0.25"/>
    <row r="692" s="2071" customFormat="1" x14ac:dyDescent="0.25"/>
    <row r="693" s="2071" customFormat="1" x14ac:dyDescent="0.25"/>
    <row r="694" s="2071" customFormat="1" x14ac:dyDescent="0.25"/>
    <row r="695" s="2071" customFormat="1" x14ac:dyDescent="0.25"/>
    <row r="696" s="2071" customFormat="1" x14ac:dyDescent="0.25"/>
    <row r="697" s="2071" customFormat="1" x14ac:dyDescent="0.25"/>
    <row r="698" s="2071" customFormat="1" x14ac:dyDescent="0.25"/>
    <row r="699" s="2071" customFormat="1" x14ac:dyDescent="0.25"/>
    <row r="700" s="2071" customFormat="1" x14ac:dyDescent="0.25"/>
    <row r="701" s="2071" customFormat="1" x14ac:dyDescent="0.25"/>
    <row r="702" s="2071" customFormat="1" x14ac:dyDescent="0.25"/>
    <row r="703" s="2071" customFormat="1" x14ac:dyDescent="0.25"/>
    <row r="704" s="2071" customFormat="1" x14ac:dyDescent="0.25"/>
    <row r="705" s="2071" customFormat="1" x14ac:dyDescent="0.25"/>
    <row r="706" s="2071" customFormat="1" x14ac:dyDescent="0.25"/>
    <row r="707" s="2071" customFormat="1" x14ac:dyDescent="0.25"/>
    <row r="708" s="2071" customFormat="1" x14ac:dyDescent="0.25"/>
    <row r="709" s="2071" customFormat="1" x14ac:dyDescent="0.25"/>
    <row r="710" s="2071" customFormat="1" x14ac:dyDescent="0.25"/>
    <row r="711" s="2071" customFormat="1" x14ac:dyDescent="0.25"/>
    <row r="712" s="2071" customFormat="1" x14ac:dyDescent="0.25"/>
    <row r="713" s="2071" customFormat="1" x14ac:dyDescent="0.25"/>
    <row r="714" s="2071" customFormat="1" x14ac:dyDescent="0.25"/>
    <row r="715" s="2071" customFormat="1" x14ac:dyDescent="0.25"/>
    <row r="716" s="2071" customFormat="1" x14ac:dyDescent="0.25"/>
    <row r="717" s="2071" customFormat="1" x14ac:dyDescent="0.25"/>
    <row r="718" s="2071" customFormat="1" x14ac:dyDescent="0.25"/>
    <row r="719" s="2071" customFormat="1" x14ac:dyDescent="0.25"/>
    <row r="720" s="2071" customFormat="1" x14ac:dyDescent="0.25"/>
    <row r="721" s="2071" customFormat="1" x14ac:dyDescent="0.25"/>
    <row r="722" s="2071" customFormat="1" x14ac:dyDescent="0.25"/>
    <row r="723" s="2071" customFormat="1" x14ac:dyDescent="0.25"/>
    <row r="724" s="2071" customFormat="1" x14ac:dyDescent="0.25"/>
    <row r="725" s="2071" customFormat="1" x14ac:dyDescent="0.25"/>
    <row r="726" s="2071" customFormat="1" x14ac:dyDescent="0.25"/>
    <row r="727" s="2071" customFormat="1" x14ac:dyDescent="0.25"/>
    <row r="728" s="2071" customFormat="1" x14ac:dyDescent="0.25"/>
    <row r="729" s="2071" customFormat="1" x14ac:dyDescent="0.25"/>
    <row r="730" s="2071" customFormat="1" x14ac:dyDescent="0.25"/>
    <row r="731" s="2071" customFormat="1" x14ac:dyDescent="0.25"/>
    <row r="732" s="2071" customFormat="1" x14ac:dyDescent="0.25"/>
    <row r="733" s="2071" customFormat="1" x14ac:dyDescent="0.25"/>
    <row r="734" s="2071" customFormat="1" x14ac:dyDescent="0.25"/>
    <row r="735" s="2071" customFormat="1" x14ac:dyDescent="0.25"/>
    <row r="736" s="2071" customFormat="1" x14ac:dyDescent="0.25"/>
    <row r="737" s="2071" customFormat="1" x14ac:dyDescent="0.25"/>
    <row r="738" s="2071" customFormat="1" x14ac:dyDescent="0.25"/>
    <row r="739" s="2071" customFormat="1" x14ac:dyDescent="0.25"/>
    <row r="740" s="2071" customFormat="1" x14ac:dyDescent="0.25"/>
    <row r="741" s="2071" customFormat="1" x14ac:dyDescent="0.25"/>
    <row r="742" s="2071" customFormat="1" x14ac:dyDescent="0.25"/>
    <row r="743" s="2071" customFormat="1" x14ac:dyDescent="0.25"/>
    <row r="744" s="2071" customFormat="1" x14ac:dyDescent="0.25"/>
    <row r="745" s="2071" customFormat="1" x14ac:dyDescent="0.25"/>
    <row r="746" s="2071" customFormat="1" x14ac:dyDescent="0.25"/>
    <row r="747" s="2071" customFormat="1" x14ac:dyDescent="0.25"/>
    <row r="748" s="2071" customFormat="1" x14ac:dyDescent="0.25"/>
    <row r="749" s="2071" customFormat="1" x14ac:dyDescent="0.25"/>
    <row r="750" s="2071" customFormat="1" x14ac:dyDescent="0.25"/>
    <row r="751" s="2071" customFormat="1" x14ac:dyDescent="0.25"/>
    <row r="752" s="2071" customFormat="1" x14ac:dyDescent="0.25"/>
    <row r="753" s="2071" customFormat="1" x14ac:dyDescent="0.25"/>
    <row r="754" s="2071" customFormat="1" x14ac:dyDescent="0.25"/>
    <row r="755" s="2071" customFormat="1" x14ac:dyDescent="0.25"/>
    <row r="756" s="2071" customFormat="1" x14ac:dyDescent="0.25"/>
    <row r="757" s="2071" customFormat="1" x14ac:dyDescent="0.25"/>
    <row r="758" s="2071" customFormat="1" x14ac:dyDescent="0.25"/>
    <row r="759" s="2071" customFormat="1" x14ac:dyDescent="0.25"/>
    <row r="760" s="2071" customFormat="1" x14ac:dyDescent="0.25"/>
    <row r="761" s="2071" customFormat="1" x14ac:dyDescent="0.25"/>
    <row r="762" s="2071" customFormat="1" x14ac:dyDescent="0.25"/>
    <row r="763" s="2071" customFormat="1" x14ac:dyDescent="0.25"/>
    <row r="764" s="2071" customFormat="1" x14ac:dyDescent="0.25"/>
    <row r="765" s="2071" customFormat="1" x14ac:dyDescent="0.25"/>
    <row r="766" s="2071" customFormat="1" x14ac:dyDescent="0.25"/>
    <row r="767" s="2071" customFormat="1" x14ac:dyDescent="0.25"/>
    <row r="768" s="2071" customFormat="1" x14ac:dyDescent="0.25"/>
    <row r="769" s="2071" customFormat="1" x14ac:dyDescent="0.25"/>
    <row r="770" s="2071" customFormat="1" x14ac:dyDescent="0.25"/>
    <row r="771" s="2071" customFormat="1" x14ac:dyDescent="0.25"/>
    <row r="772" s="2071" customFormat="1" x14ac:dyDescent="0.25"/>
    <row r="773" s="2071" customFormat="1" x14ac:dyDescent="0.25"/>
    <row r="774" s="2071" customFormat="1" x14ac:dyDescent="0.25"/>
    <row r="775" s="2071" customFormat="1" x14ac:dyDescent="0.25"/>
    <row r="776" s="2071" customFormat="1" x14ac:dyDescent="0.25"/>
    <row r="777" s="2071" customFormat="1" x14ac:dyDescent="0.25"/>
    <row r="778" s="2071" customFormat="1" x14ac:dyDescent="0.25"/>
    <row r="779" s="2071" customFormat="1" x14ac:dyDescent="0.25"/>
    <row r="780" s="2071" customFormat="1" x14ac:dyDescent="0.25"/>
    <row r="781" s="2071" customFormat="1" x14ac:dyDescent="0.25"/>
    <row r="782" s="2071" customFormat="1" x14ac:dyDescent="0.25"/>
    <row r="783" s="2071" customFormat="1" x14ac:dyDescent="0.25"/>
    <row r="784" s="2071" customFormat="1" x14ac:dyDescent="0.25"/>
    <row r="785" s="2071" customFormat="1" x14ac:dyDescent="0.25"/>
    <row r="786" s="2071" customFormat="1" x14ac:dyDescent="0.25"/>
    <row r="787" s="2071" customFormat="1" x14ac:dyDescent="0.25"/>
    <row r="788" s="2071" customFormat="1" x14ac:dyDescent="0.25"/>
    <row r="789" s="2071" customFormat="1" x14ac:dyDescent="0.25"/>
    <row r="790" s="2071" customFormat="1" x14ac:dyDescent="0.25"/>
    <row r="791" s="2071" customFormat="1" x14ac:dyDescent="0.25"/>
    <row r="792" s="2071" customFormat="1" x14ac:dyDescent="0.25"/>
    <row r="793" s="2071" customFormat="1" x14ac:dyDescent="0.25"/>
    <row r="794" s="2071" customFormat="1" x14ac:dyDescent="0.25"/>
    <row r="795" s="2071" customFormat="1" x14ac:dyDescent="0.25"/>
    <row r="796" s="2071" customFormat="1" x14ac:dyDescent="0.25"/>
    <row r="797" s="2071" customFormat="1" x14ac:dyDescent="0.25"/>
    <row r="798" s="2071" customFormat="1" x14ac:dyDescent="0.25"/>
    <row r="799" s="2071" customFormat="1" x14ac:dyDescent="0.25"/>
    <row r="800" s="2071" customFormat="1" x14ac:dyDescent="0.25"/>
    <row r="801" s="2071" customFormat="1" x14ac:dyDescent="0.25"/>
    <row r="802" s="2071" customFormat="1" x14ac:dyDescent="0.25"/>
    <row r="803" s="2071" customFormat="1" x14ac:dyDescent="0.25"/>
    <row r="804" s="2071" customFormat="1" x14ac:dyDescent="0.25"/>
    <row r="805" s="2071" customFormat="1" x14ac:dyDescent="0.25"/>
    <row r="806" s="2071" customFormat="1" x14ac:dyDescent="0.25"/>
    <row r="807" s="2071" customFormat="1" x14ac:dyDescent="0.25"/>
    <row r="808" s="2071" customFormat="1" x14ac:dyDescent="0.25"/>
    <row r="809" s="2071" customFormat="1" x14ac:dyDescent="0.25"/>
    <row r="810" s="2071" customFormat="1" x14ac:dyDescent="0.25"/>
    <row r="811" s="2071" customFormat="1" x14ac:dyDescent="0.25"/>
    <row r="812" s="2071" customFormat="1" x14ac:dyDescent="0.25"/>
    <row r="813" s="2071" customFormat="1" x14ac:dyDescent="0.25"/>
    <row r="814" s="2071" customFormat="1" x14ac:dyDescent="0.25"/>
    <row r="815" s="2071" customFormat="1" x14ac:dyDescent="0.25"/>
    <row r="816" s="2071" customFormat="1" x14ac:dyDescent="0.25"/>
    <row r="817" s="2071" customFormat="1" x14ac:dyDescent="0.25"/>
    <row r="818" s="2071" customFormat="1" x14ac:dyDescent="0.25"/>
    <row r="819" s="2071" customFormat="1" x14ac:dyDescent="0.25"/>
    <row r="820" s="2071" customFormat="1" x14ac:dyDescent="0.25"/>
    <row r="821" s="2071" customFormat="1" x14ac:dyDescent="0.25"/>
    <row r="822" s="2071" customFormat="1" x14ac:dyDescent="0.25"/>
    <row r="823" s="2071" customFormat="1" x14ac:dyDescent="0.25"/>
    <row r="824" s="2071" customFormat="1" x14ac:dyDescent="0.25"/>
    <row r="825" s="2071" customFormat="1" x14ac:dyDescent="0.25"/>
    <row r="826" s="2071" customFormat="1" x14ac:dyDescent="0.25"/>
    <row r="827" s="2071" customFormat="1" x14ac:dyDescent="0.25"/>
    <row r="828" s="2071" customFormat="1" x14ac:dyDescent="0.25"/>
    <row r="829" s="2071" customFormat="1" x14ac:dyDescent="0.25"/>
    <row r="830" s="2071" customFormat="1" x14ac:dyDescent="0.25"/>
    <row r="831" s="2071" customFormat="1" x14ac:dyDescent="0.25"/>
    <row r="832" s="2071" customFormat="1" x14ac:dyDescent="0.25"/>
    <row r="833" s="2071" customFormat="1" x14ac:dyDescent="0.25"/>
    <row r="834" s="2071" customFormat="1" x14ac:dyDescent="0.25"/>
    <row r="835" s="2071" customFormat="1" x14ac:dyDescent="0.25"/>
    <row r="836" s="2071" customFormat="1" x14ac:dyDescent="0.25"/>
    <row r="837" s="2071" customFormat="1" x14ac:dyDescent="0.25"/>
    <row r="838" s="2071" customFormat="1" x14ac:dyDescent="0.25"/>
    <row r="839" s="2071" customFormat="1" x14ac:dyDescent="0.25"/>
    <row r="840" s="2071" customFormat="1" x14ac:dyDescent="0.25"/>
    <row r="841" s="2071" customFormat="1" x14ac:dyDescent="0.25"/>
    <row r="842" s="2071" customFormat="1" x14ac:dyDescent="0.25"/>
    <row r="843" s="2071" customFormat="1" x14ac:dyDescent="0.25"/>
    <row r="844" s="2071" customFormat="1" x14ac:dyDescent="0.25"/>
    <row r="845" s="2071" customFormat="1" x14ac:dyDescent="0.25"/>
    <row r="846" s="2071" customFormat="1" x14ac:dyDescent="0.25"/>
    <row r="847" s="2071" customFormat="1" x14ac:dyDescent="0.25"/>
    <row r="848" s="2071" customFormat="1" x14ac:dyDescent="0.25"/>
    <row r="849" s="2071" customFormat="1" x14ac:dyDescent="0.25"/>
    <row r="850" s="2071" customFormat="1" x14ac:dyDescent="0.25"/>
    <row r="851" s="2071" customFormat="1" x14ac:dyDescent="0.25"/>
    <row r="852" s="2071" customFormat="1" x14ac:dyDescent="0.25"/>
    <row r="853" s="2071" customFormat="1" x14ac:dyDescent="0.25"/>
    <row r="854" s="2071" customFormat="1" x14ac:dyDescent="0.25"/>
    <row r="855" s="2071" customFormat="1" x14ac:dyDescent="0.25"/>
    <row r="856" s="2071" customFormat="1" x14ac:dyDescent="0.25"/>
    <row r="857" s="2071" customFormat="1" x14ac:dyDescent="0.25"/>
    <row r="858" s="2071" customFormat="1" x14ac:dyDescent="0.25"/>
    <row r="859" s="2071" customFormat="1" x14ac:dyDescent="0.25"/>
    <row r="860" s="2071" customFormat="1" x14ac:dyDescent="0.25"/>
    <row r="861" s="2071" customFormat="1" x14ac:dyDescent="0.25"/>
    <row r="862" s="2071" customFormat="1" x14ac:dyDescent="0.25"/>
    <row r="863" s="2071" customFormat="1" x14ac:dyDescent="0.25"/>
    <row r="864" s="2071" customFormat="1" x14ac:dyDescent="0.25"/>
    <row r="865" s="2071" customFormat="1" x14ac:dyDescent="0.25"/>
    <row r="866" s="2071" customFormat="1" x14ac:dyDescent="0.25"/>
    <row r="867" s="2071" customFormat="1" x14ac:dyDescent="0.25"/>
    <row r="868" s="2071" customFormat="1" x14ac:dyDescent="0.25"/>
    <row r="869" s="2071" customFormat="1" x14ac:dyDescent="0.25"/>
    <row r="870" s="2071" customFormat="1" x14ac:dyDescent="0.25"/>
    <row r="871" s="2071" customFormat="1" x14ac:dyDescent="0.25"/>
    <row r="872" s="2071" customFormat="1" x14ac:dyDescent="0.25"/>
    <row r="873" s="2071" customFormat="1" x14ac:dyDescent="0.25"/>
    <row r="874" s="2071" customFormat="1" x14ac:dyDescent="0.25"/>
    <row r="875" s="2071" customFormat="1" x14ac:dyDescent="0.25"/>
    <row r="876" s="2071" customFormat="1" x14ac:dyDescent="0.25"/>
    <row r="877" s="2071" customFormat="1" x14ac:dyDescent="0.25"/>
    <row r="878" s="2071" customFormat="1" x14ac:dyDescent="0.25"/>
    <row r="879" s="2071" customFormat="1" x14ac:dyDescent="0.25"/>
    <row r="880" s="2071" customFormat="1" x14ac:dyDescent="0.25"/>
    <row r="881" s="2071" customFormat="1" x14ac:dyDescent="0.25"/>
    <row r="882" s="2071" customFormat="1" x14ac:dyDescent="0.25"/>
    <row r="883" s="2071" customFormat="1" x14ac:dyDescent="0.25"/>
    <row r="884" s="2071" customFormat="1" x14ac:dyDescent="0.25"/>
    <row r="885" s="2071" customFormat="1" x14ac:dyDescent="0.25"/>
    <row r="886" s="2071" customFormat="1" x14ac:dyDescent="0.25"/>
    <row r="887" s="2071" customFormat="1" x14ac:dyDescent="0.25"/>
    <row r="888" s="2071" customFormat="1" x14ac:dyDescent="0.25"/>
    <row r="889" s="2071" customFormat="1" x14ac:dyDescent="0.25"/>
    <row r="890" s="2071" customFormat="1" x14ac:dyDescent="0.25"/>
    <row r="891" s="2071" customFormat="1" x14ac:dyDescent="0.25"/>
    <row r="892" s="2071" customFormat="1" x14ac:dyDescent="0.25"/>
    <row r="893" s="2071" customFormat="1" x14ac:dyDescent="0.25"/>
    <row r="894" s="2071" customFormat="1" x14ac:dyDescent="0.25"/>
    <row r="895" s="2071" customFormat="1" x14ac:dyDescent="0.25"/>
    <row r="896" s="2071" customFormat="1" x14ac:dyDescent="0.25"/>
    <row r="897" s="2071" customFormat="1" x14ac:dyDescent="0.25"/>
    <row r="898" s="2071" customFormat="1" x14ac:dyDescent="0.25"/>
    <row r="899" s="2071" customFormat="1" x14ac:dyDescent="0.25"/>
    <row r="900" s="2071" customFormat="1" x14ac:dyDescent="0.25"/>
    <row r="901" s="2071" customFormat="1" x14ac:dyDescent="0.25"/>
    <row r="902" s="2071" customFormat="1" x14ac:dyDescent="0.25"/>
    <row r="903" s="2071" customFormat="1" x14ac:dyDescent="0.25"/>
    <row r="904" s="2071" customFormat="1" x14ac:dyDescent="0.25"/>
    <row r="905" s="2071" customFormat="1" x14ac:dyDescent="0.25"/>
    <row r="906" s="2071" customFormat="1" x14ac:dyDescent="0.25"/>
    <row r="907" s="2071" customFormat="1" x14ac:dyDescent="0.25"/>
    <row r="908" s="2071" customFormat="1" x14ac:dyDescent="0.25"/>
    <row r="909" s="2071" customFormat="1" x14ac:dyDescent="0.25"/>
    <row r="910" s="2071" customFormat="1" x14ac:dyDescent="0.25"/>
    <row r="911" s="2071" customFormat="1" x14ac:dyDescent="0.25"/>
    <row r="912" s="2071" customFormat="1" x14ac:dyDescent="0.25"/>
    <row r="913" s="2071" customFormat="1" x14ac:dyDescent="0.25"/>
    <row r="914" s="2071" customFormat="1" x14ac:dyDescent="0.25"/>
    <row r="915" s="2071" customFormat="1" x14ac:dyDescent="0.25"/>
    <row r="916" s="2071" customFormat="1" x14ac:dyDescent="0.25"/>
    <row r="917" s="2071" customFormat="1" x14ac:dyDescent="0.25"/>
    <row r="918" s="2071" customFormat="1" x14ac:dyDescent="0.25"/>
    <row r="919" s="2071" customFormat="1" x14ac:dyDescent="0.25"/>
    <row r="920" s="2071" customFormat="1" x14ac:dyDescent="0.25"/>
    <row r="921" s="2071" customFormat="1" x14ac:dyDescent="0.25"/>
    <row r="922" s="2071" customFormat="1" x14ac:dyDescent="0.25"/>
    <row r="923" s="2071" customFormat="1" x14ac:dyDescent="0.25"/>
    <row r="924" s="2071" customFormat="1" x14ac:dyDescent="0.25"/>
    <row r="925" s="2071" customFormat="1" x14ac:dyDescent="0.25"/>
    <row r="926" s="2071" customFormat="1" x14ac:dyDescent="0.25"/>
    <row r="927" s="2071" customFormat="1" x14ac:dyDescent="0.25"/>
    <row r="928" s="2071" customFormat="1" x14ac:dyDescent="0.25"/>
    <row r="929" s="2071" customFormat="1" x14ac:dyDescent="0.25"/>
    <row r="930" s="2071" customFormat="1" x14ac:dyDescent="0.25"/>
    <row r="931" s="2071" customFormat="1" x14ac:dyDescent="0.25"/>
    <row r="932" s="2071" customFormat="1" x14ac:dyDescent="0.25"/>
    <row r="933" s="2071" customFormat="1" x14ac:dyDescent="0.25"/>
    <row r="934" s="2071" customFormat="1" x14ac:dyDescent="0.25"/>
    <row r="935" s="2071" customFormat="1" x14ac:dyDescent="0.25"/>
    <row r="936" s="2071" customFormat="1" x14ac:dyDescent="0.25"/>
    <row r="937" s="2071" customFormat="1" x14ac:dyDescent="0.25"/>
    <row r="938" s="2071" customFormat="1" x14ac:dyDescent="0.25"/>
    <row r="939" s="2071" customFormat="1" x14ac:dyDescent="0.25"/>
    <row r="940" s="2071" customFormat="1" x14ac:dyDescent="0.25"/>
    <row r="941" s="2071" customFormat="1" x14ac:dyDescent="0.25"/>
    <row r="942" s="2071" customFormat="1" x14ac:dyDescent="0.25"/>
    <row r="943" s="2071" customFormat="1" x14ac:dyDescent="0.25"/>
    <row r="944" s="2071" customFormat="1" x14ac:dyDescent="0.25"/>
    <row r="945" s="2071" customFormat="1" x14ac:dyDescent="0.25"/>
    <row r="946" s="2071" customFormat="1" x14ac:dyDescent="0.25"/>
    <row r="947" s="2071" customFormat="1" x14ac:dyDescent="0.25"/>
    <row r="948" s="2071" customFormat="1" x14ac:dyDescent="0.25"/>
    <row r="949" s="2071" customFormat="1" x14ac:dyDescent="0.25"/>
    <row r="950" s="2071" customFormat="1" x14ac:dyDescent="0.25"/>
    <row r="951" s="2071" customFormat="1" x14ac:dyDescent="0.25"/>
    <row r="952" s="2071" customFormat="1" x14ac:dyDescent="0.25"/>
    <row r="953" s="2071" customFormat="1" x14ac:dyDescent="0.25"/>
    <row r="954" s="2071" customFormat="1" x14ac:dyDescent="0.25"/>
    <row r="955" s="2071" customFormat="1" x14ac:dyDescent="0.25"/>
    <row r="956" s="2071" customFormat="1" x14ac:dyDescent="0.25"/>
    <row r="957" s="2071" customFormat="1" x14ac:dyDescent="0.25"/>
    <row r="958" s="2071" customFormat="1" x14ac:dyDescent="0.25"/>
    <row r="959" s="2071" customFormat="1" x14ac:dyDescent="0.25"/>
    <row r="960" s="2071" customFormat="1" x14ac:dyDescent="0.25"/>
    <row r="961" s="2071" customFormat="1" x14ac:dyDescent="0.25"/>
    <row r="962" s="2071" customFormat="1" x14ac:dyDescent="0.25"/>
    <row r="963" s="2071" customFormat="1" x14ac:dyDescent="0.25"/>
    <row r="964" s="2071" customFormat="1" x14ac:dyDescent="0.25"/>
    <row r="965" s="2071" customFormat="1" x14ac:dyDescent="0.25"/>
    <row r="966" s="2071" customFormat="1" x14ac:dyDescent="0.25"/>
    <row r="967" s="2071" customFormat="1" x14ac:dyDescent="0.25"/>
    <row r="968" s="2071" customFormat="1" x14ac:dyDescent="0.25"/>
    <row r="969" s="2071" customFormat="1" x14ac:dyDescent="0.25"/>
    <row r="970" s="2071" customFormat="1" x14ac:dyDescent="0.25"/>
    <row r="971" s="2071" customFormat="1" x14ac:dyDescent="0.25"/>
    <row r="972" s="2071" customFormat="1" x14ac:dyDescent="0.25"/>
    <row r="973" s="2071" customFormat="1" x14ac:dyDescent="0.25"/>
    <row r="974" s="2071" customFormat="1" x14ac:dyDescent="0.25"/>
    <row r="975" s="2071" customFormat="1" x14ac:dyDescent="0.25"/>
    <row r="976" s="2071" customFormat="1" x14ac:dyDescent="0.25"/>
    <row r="977" s="2071" customFormat="1" x14ac:dyDescent="0.25"/>
    <row r="978" s="2071" customFormat="1" x14ac:dyDescent="0.25"/>
    <row r="979" s="2071" customFormat="1" x14ac:dyDescent="0.25"/>
    <row r="980" s="2071" customFormat="1" x14ac:dyDescent="0.25"/>
    <row r="981" s="2071" customFormat="1" x14ac:dyDescent="0.25"/>
    <row r="982" s="2071" customFormat="1" x14ac:dyDescent="0.25"/>
    <row r="983" s="2071" customFormat="1" x14ac:dyDescent="0.25"/>
    <row r="984" s="2071" customFormat="1" x14ac:dyDescent="0.25"/>
    <row r="985" s="2071" customFormat="1" x14ac:dyDescent="0.25"/>
    <row r="986" s="2071" customFormat="1" x14ac:dyDescent="0.25"/>
    <row r="987" s="2071" customFormat="1" x14ac:dyDescent="0.25"/>
    <row r="988" s="2071" customFormat="1" x14ac:dyDescent="0.25"/>
    <row r="989" s="2071" customFormat="1" x14ac:dyDescent="0.25"/>
    <row r="990" s="2071" customFormat="1" x14ac:dyDescent="0.25"/>
    <row r="991" s="2071" customFormat="1" x14ac:dyDescent="0.25"/>
    <row r="992" s="2071" customFormat="1" x14ac:dyDescent="0.25"/>
    <row r="993" s="2071" customFormat="1" x14ac:dyDescent="0.25"/>
    <row r="994" s="2071" customFormat="1" x14ac:dyDescent="0.25"/>
    <row r="995" s="2071" customFormat="1" x14ac:dyDescent="0.25"/>
    <row r="996" s="2071" customFormat="1" x14ac:dyDescent="0.25"/>
    <row r="997" s="2071" customFormat="1" x14ac:dyDescent="0.25"/>
    <row r="998" s="2071" customFormat="1" x14ac:dyDescent="0.25"/>
    <row r="999" s="2071" customFormat="1" x14ac:dyDescent="0.25"/>
    <row r="1000" s="2071" customFormat="1" x14ac:dyDescent="0.25"/>
    <row r="1001" s="2071" customFormat="1" x14ac:dyDescent="0.25"/>
    <row r="1002" s="2071" customFormat="1" x14ac:dyDescent="0.25"/>
    <row r="1003" s="2071" customFormat="1" x14ac:dyDescent="0.25"/>
    <row r="1004" s="2071" customFormat="1" x14ac:dyDescent="0.25"/>
    <row r="1005" s="2071" customFormat="1" x14ac:dyDescent="0.25"/>
    <row r="1006" s="2071" customFormat="1" x14ac:dyDescent="0.25"/>
    <row r="1007" s="2071" customFormat="1" x14ac:dyDescent="0.25"/>
    <row r="1008" s="2071" customFormat="1" x14ac:dyDescent="0.25"/>
    <row r="1009" s="2071" customFormat="1" x14ac:dyDescent="0.25"/>
    <row r="1010" s="2071" customFormat="1" x14ac:dyDescent="0.25"/>
    <row r="1011" s="2071" customFormat="1" x14ac:dyDescent="0.25"/>
    <row r="1012" s="2071" customFormat="1" x14ac:dyDescent="0.25"/>
    <row r="1013" s="2071" customFormat="1" x14ac:dyDescent="0.25"/>
    <row r="1014" s="2071" customFormat="1" x14ac:dyDescent="0.25"/>
    <row r="1015" s="2071" customFormat="1" x14ac:dyDescent="0.25"/>
    <row r="1016" s="2071" customFormat="1" x14ac:dyDescent="0.25"/>
    <row r="1017" s="2071" customFormat="1" x14ac:dyDescent="0.25"/>
    <row r="1018" s="2071" customFormat="1" x14ac:dyDescent="0.25"/>
    <row r="1019" s="2071" customFormat="1" x14ac:dyDescent="0.25"/>
    <row r="1020" s="2071" customFormat="1" x14ac:dyDescent="0.25"/>
    <row r="1021" s="2071" customFormat="1" x14ac:dyDescent="0.25"/>
    <row r="1022" s="2071" customFormat="1" x14ac:dyDescent="0.25"/>
    <row r="1023" s="2071" customFormat="1" x14ac:dyDescent="0.25"/>
    <row r="1024" s="2071" customFormat="1" x14ac:dyDescent="0.25"/>
    <row r="1025" s="2071" customFormat="1" x14ac:dyDescent="0.25"/>
    <row r="1026" s="2071" customFormat="1" x14ac:dyDescent="0.25"/>
    <row r="1027" s="2071" customFormat="1" x14ac:dyDescent="0.25"/>
    <row r="1028" s="2071" customFormat="1" x14ac:dyDescent="0.25"/>
    <row r="1029" s="2071" customFormat="1" x14ac:dyDescent="0.25"/>
    <row r="1030" s="2071" customFormat="1" x14ac:dyDescent="0.25"/>
    <row r="1031" s="2071" customFormat="1" x14ac:dyDescent="0.25"/>
    <row r="1032" s="2071" customFormat="1" x14ac:dyDescent="0.25"/>
    <row r="1033" s="2071" customFormat="1" x14ac:dyDescent="0.25"/>
    <row r="1034" s="2071" customFormat="1" x14ac:dyDescent="0.25"/>
    <row r="1035" s="2071" customFormat="1" x14ac:dyDescent="0.25"/>
    <row r="1036" s="2071" customFormat="1" x14ac:dyDescent="0.25"/>
    <row r="1037" s="2071" customFormat="1" x14ac:dyDescent="0.25"/>
    <row r="1038" s="2071" customFormat="1" x14ac:dyDescent="0.25"/>
    <row r="1039" s="2071" customFormat="1" x14ac:dyDescent="0.25"/>
    <row r="1040" s="2071" customFormat="1" x14ac:dyDescent="0.25"/>
    <row r="1041" s="2071" customFormat="1" x14ac:dyDescent="0.25"/>
    <row r="1042" s="2071" customFormat="1" x14ac:dyDescent="0.25"/>
    <row r="1043" s="2071" customFormat="1" x14ac:dyDescent="0.25"/>
    <row r="1044" s="2071" customFormat="1" x14ac:dyDescent="0.25"/>
    <row r="1045" s="2071" customFormat="1" x14ac:dyDescent="0.25"/>
    <row r="1046" s="2071" customFormat="1" x14ac:dyDescent="0.25"/>
    <row r="1047" s="2071" customFormat="1" x14ac:dyDescent="0.25"/>
    <row r="1048" s="2071" customFormat="1" x14ac:dyDescent="0.25"/>
    <row r="1049" s="2071" customFormat="1" x14ac:dyDescent="0.25"/>
    <row r="1050" s="2071" customFormat="1" x14ac:dyDescent="0.25"/>
    <row r="1051" s="2071" customFormat="1" x14ac:dyDescent="0.25"/>
    <row r="1052" s="2071" customFormat="1" x14ac:dyDescent="0.25"/>
    <row r="1053" s="2071" customFormat="1" x14ac:dyDescent="0.25"/>
    <row r="1054" s="2071" customFormat="1" x14ac:dyDescent="0.25"/>
    <row r="1055" s="2071" customFormat="1" x14ac:dyDescent="0.25"/>
    <row r="1056" s="2071" customFormat="1" x14ac:dyDescent="0.25"/>
    <row r="1057" s="2071" customFormat="1" x14ac:dyDescent="0.25"/>
    <row r="1058" s="2071" customFormat="1" x14ac:dyDescent="0.25"/>
    <row r="1059" s="2071" customFormat="1" x14ac:dyDescent="0.25"/>
    <row r="1060" s="2071" customFormat="1" x14ac:dyDescent="0.25"/>
  </sheetData>
  <sheetProtection sheet="1" objects="1" scenarios="1" formatCells="0" formatColumns="0"/>
  <mergeCells count="6">
    <mergeCell ref="B10:H10"/>
    <mergeCell ref="E7:E8"/>
    <mergeCell ref="F7:F8"/>
    <mergeCell ref="G7:G8"/>
    <mergeCell ref="H7:H8"/>
    <mergeCell ref="B7:D8"/>
  </mergeCells>
  <phoneticPr fontId="2" type="noConversion"/>
  <conditionalFormatting sqref="B79:H80">
    <cfRule type="expression" dxfId="7" priority="1" stopIfTrue="1">
      <formula>"suma($D$75:$G$75)&gt;0,1"</formula>
    </cfRule>
  </conditionalFormatting>
  <pageMargins left="0.75" right="0.75" top="1" bottom="1" header="0" footer="0"/>
  <pageSetup paperSize="9" orientation="portrait" r:id="rId1"/>
  <headerFooter alignWithMargins="0"/>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Hoja75">
    <tabColor rgb="FF2F6DB5"/>
  </sheetPr>
  <dimension ref="A1:HK1077"/>
  <sheetViews>
    <sheetView showGridLines="0" workbookViewId="0"/>
  </sheetViews>
  <sheetFormatPr baseColWidth="10" defaultColWidth="10" defaultRowHeight="15" x14ac:dyDescent="0.25"/>
  <cols>
    <col min="1" max="1" width="68" style="232" customWidth="1"/>
    <col min="2" max="7" width="15.375" style="232" customWidth="1"/>
    <col min="8" max="219" width="10" style="2071"/>
    <col min="220" max="16384" width="10" style="232"/>
  </cols>
  <sheetData>
    <row r="1" spans="1:219" ht="27.75" x14ac:dyDescent="0.45">
      <c r="A1" s="2072" t="s">
        <v>1112</v>
      </c>
      <c r="B1" s="2073"/>
      <c r="C1" s="2073"/>
      <c r="D1" s="2073"/>
      <c r="E1" s="2073"/>
      <c r="F1" s="2073"/>
      <c r="G1" s="2073"/>
      <c r="H1" s="2264"/>
    </row>
    <row r="2" spans="1:219" s="2071" customFormat="1" x14ac:dyDescent="0.25"/>
    <row r="3" spans="1:219" s="2071" customFormat="1" x14ac:dyDescent="0.25"/>
    <row r="4" spans="1:219" s="2071" customFormat="1" x14ac:dyDescent="0.25"/>
    <row r="5" spans="1:219" s="2071" customFormat="1" x14ac:dyDescent="0.25"/>
    <row r="6" spans="1:219" s="2071" customFormat="1" ht="15.75" thickBot="1" x14ac:dyDescent="0.3"/>
    <row r="7" spans="1:219" ht="12.75" customHeight="1" x14ac:dyDescent="0.25">
      <c r="A7" s="2075" t="s">
        <v>618</v>
      </c>
      <c r="B7" s="2544" t="s">
        <v>691</v>
      </c>
      <c r="C7" s="2545"/>
      <c r="D7" s="2554"/>
      <c r="E7" s="2540" t="s">
        <v>975</v>
      </c>
      <c r="F7" s="2540" t="s">
        <v>693</v>
      </c>
      <c r="G7" s="2542" t="s">
        <v>694</v>
      </c>
    </row>
    <row r="8" spans="1:219" ht="13.5" customHeight="1" thickBot="1" x14ac:dyDescent="0.3">
      <c r="B8" s="2547"/>
      <c r="C8" s="2548"/>
      <c r="D8" s="2555"/>
      <c r="E8" s="2541"/>
      <c r="F8" s="2541"/>
      <c r="G8" s="2543"/>
    </row>
    <row r="9" spans="1:219" s="2071" customFormat="1" x14ac:dyDescent="0.25"/>
    <row r="10" spans="1:219" s="2071" customFormat="1" ht="15.75" thickBot="1" x14ac:dyDescent="0.3">
      <c r="A10" s="2075" t="s">
        <v>647</v>
      </c>
    </row>
    <row r="11" spans="1:219" ht="15.75" thickBot="1" x14ac:dyDescent="0.3">
      <c r="B11" s="2550" t="s">
        <v>498</v>
      </c>
      <c r="C11" s="2551"/>
      <c r="D11" s="2551"/>
      <c r="E11" s="2551"/>
      <c r="F11" s="2551"/>
      <c r="G11" s="2552"/>
      <c r="I11" s="269"/>
      <c r="J11" s="2071" t="s">
        <v>689</v>
      </c>
    </row>
    <row r="12" spans="1:219" ht="15.75" thickBot="1" x14ac:dyDescent="0.3">
      <c r="A12" s="293" t="s">
        <v>499</v>
      </c>
      <c r="B12" s="294" t="s">
        <v>500</v>
      </c>
      <c r="C12" s="295" t="s">
        <v>501</v>
      </c>
      <c r="D12" s="294" t="s">
        <v>502</v>
      </c>
      <c r="E12" s="295" t="s">
        <v>503</v>
      </c>
      <c r="F12" s="294" t="s">
        <v>504</v>
      </c>
      <c r="G12" s="296" t="s">
        <v>505</v>
      </c>
      <c r="H12" s="2074"/>
      <c r="I12" s="232"/>
    </row>
    <row r="13" spans="1:219" s="231" customFormat="1" ht="15.75" thickBot="1" x14ac:dyDescent="0.3">
      <c r="A13" s="233" t="s">
        <v>648</v>
      </c>
      <c r="B13" s="252"/>
      <c r="C13" s="253"/>
      <c r="D13" s="252"/>
      <c r="E13" s="287"/>
      <c r="F13" s="288"/>
      <c r="G13" s="289"/>
      <c r="H13" s="2074"/>
      <c r="I13" s="267"/>
      <c r="J13" s="2071" t="s">
        <v>690</v>
      </c>
      <c r="K13" s="2075"/>
      <c r="L13" s="2075"/>
      <c r="M13" s="2075"/>
      <c r="N13" s="2075"/>
      <c r="O13" s="2075"/>
      <c r="P13" s="2075"/>
      <c r="Q13" s="2075"/>
      <c r="R13" s="2075"/>
      <c r="S13" s="2075"/>
      <c r="T13" s="2075"/>
      <c r="U13" s="2075"/>
      <c r="V13" s="2075"/>
      <c r="W13" s="2075"/>
      <c r="X13" s="2075"/>
      <c r="Y13" s="2075"/>
      <c r="Z13" s="2075"/>
      <c r="AA13" s="2075"/>
      <c r="AB13" s="2075"/>
      <c r="AC13" s="2075"/>
      <c r="AD13" s="2075"/>
      <c r="AE13" s="2075"/>
      <c r="AF13" s="2075"/>
      <c r="AG13" s="2075"/>
      <c r="AH13" s="2075"/>
      <c r="AI13" s="2075"/>
      <c r="AJ13" s="2075"/>
      <c r="AK13" s="2075"/>
      <c r="AL13" s="2075"/>
      <c r="AM13" s="2075"/>
      <c r="AN13" s="2075"/>
      <c r="AO13" s="2075"/>
      <c r="AP13" s="2075"/>
      <c r="AQ13" s="2075"/>
      <c r="AR13" s="2075"/>
      <c r="AS13" s="2075"/>
      <c r="AT13" s="2075"/>
      <c r="AU13" s="2075"/>
      <c r="AV13" s="2075"/>
      <c r="AW13" s="2075"/>
      <c r="AX13" s="2075"/>
      <c r="AY13" s="2075"/>
      <c r="AZ13" s="2075"/>
      <c r="BA13" s="2075"/>
      <c r="BB13" s="2075"/>
      <c r="BC13" s="2075"/>
      <c r="BD13" s="2075"/>
      <c r="BE13" s="2075"/>
      <c r="BF13" s="2075"/>
      <c r="BG13" s="2075"/>
      <c r="BH13" s="2075"/>
      <c r="BI13" s="2075"/>
      <c r="BJ13" s="2075"/>
      <c r="BK13" s="2075"/>
      <c r="BL13" s="2075"/>
      <c r="BM13" s="2075"/>
      <c r="BN13" s="2075"/>
      <c r="BO13" s="2075"/>
      <c r="BP13" s="2075"/>
      <c r="BQ13" s="2075"/>
      <c r="BR13" s="2075"/>
      <c r="BS13" s="2075"/>
      <c r="BT13" s="2075"/>
      <c r="BU13" s="2075"/>
      <c r="BV13" s="2075"/>
      <c r="BW13" s="2075"/>
      <c r="BX13" s="2075"/>
      <c r="BY13" s="2075"/>
      <c r="BZ13" s="2075"/>
      <c r="CA13" s="2075"/>
      <c r="CB13" s="2075"/>
      <c r="CC13" s="2075"/>
      <c r="CD13" s="2075"/>
      <c r="CE13" s="2075"/>
      <c r="CF13" s="2075"/>
      <c r="CG13" s="2075"/>
      <c r="CH13" s="2075"/>
      <c r="CI13" s="2075"/>
      <c r="CJ13" s="2075"/>
      <c r="CK13" s="2075"/>
      <c r="CL13" s="2075"/>
      <c r="CM13" s="2075"/>
      <c r="CN13" s="2075"/>
      <c r="CO13" s="2075"/>
      <c r="CP13" s="2075"/>
      <c r="CQ13" s="2075"/>
      <c r="CR13" s="2075"/>
      <c r="CS13" s="2075"/>
      <c r="CT13" s="2075"/>
      <c r="CU13" s="2075"/>
      <c r="CV13" s="2075"/>
      <c r="CW13" s="2075"/>
      <c r="CX13" s="2075"/>
      <c r="CY13" s="2075"/>
      <c r="CZ13" s="2075"/>
      <c r="DA13" s="2075"/>
      <c r="DB13" s="2075"/>
      <c r="DC13" s="2075"/>
      <c r="DD13" s="2075"/>
      <c r="DE13" s="2075"/>
      <c r="DF13" s="2075"/>
      <c r="DG13" s="2075"/>
      <c r="DH13" s="2075"/>
      <c r="DI13" s="2075"/>
      <c r="DJ13" s="2075"/>
      <c r="DK13" s="2075"/>
      <c r="DL13" s="2075"/>
      <c r="DM13" s="2075"/>
      <c r="DN13" s="2075"/>
      <c r="DO13" s="2075"/>
      <c r="DP13" s="2075"/>
      <c r="DQ13" s="2075"/>
      <c r="DR13" s="2075"/>
      <c r="DS13" s="2075"/>
      <c r="DT13" s="2075"/>
      <c r="DU13" s="2075"/>
      <c r="DV13" s="2075"/>
      <c r="DW13" s="2075"/>
      <c r="DX13" s="2075"/>
      <c r="DY13" s="2075"/>
      <c r="DZ13" s="2075"/>
      <c r="EA13" s="2075"/>
      <c r="EB13" s="2075"/>
      <c r="EC13" s="2075"/>
      <c r="ED13" s="2075"/>
      <c r="EE13" s="2075"/>
      <c r="EF13" s="2075"/>
      <c r="EG13" s="2075"/>
      <c r="EH13" s="2075"/>
      <c r="EI13" s="2075"/>
      <c r="EJ13" s="2075"/>
      <c r="EK13" s="2075"/>
      <c r="EL13" s="2075"/>
      <c r="EM13" s="2075"/>
      <c r="EN13" s="2075"/>
      <c r="EO13" s="2075"/>
      <c r="EP13" s="2075"/>
      <c r="EQ13" s="2075"/>
      <c r="ER13" s="2075"/>
      <c r="ES13" s="2075"/>
      <c r="ET13" s="2075"/>
      <c r="EU13" s="2075"/>
      <c r="EV13" s="2075"/>
      <c r="EW13" s="2075"/>
      <c r="EX13" s="2075"/>
      <c r="EY13" s="2075"/>
      <c r="EZ13" s="2075"/>
      <c r="FA13" s="2075"/>
      <c r="FB13" s="2075"/>
      <c r="FC13" s="2075"/>
      <c r="FD13" s="2075"/>
      <c r="FE13" s="2075"/>
      <c r="FF13" s="2075"/>
      <c r="FG13" s="2075"/>
      <c r="FH13" s="2075"/>
      <c r="FI13" s="2075"/>
      <c r="FJ13" s="2075"/>
      <c r="FK13" s="2075"/>
      <c r="FL13" s="2075"/>
      <c r="FM13" s="2075"/>
      <c r="FN13" s="2075"/>
      <c r="FO13" s="2075"/>
      <c r="FP13" s="2075"/>
      <c r="FQ13" s="2075"/>
      <c r="FR13" s="2075"/>
      <c r="FS13" s="2075"/>
      <c r="FT13" s="2075"/>
      <c r="FU13" s="2075"/>
      <c r="FV13" s="2075"/>
      <c r="FW13" s="2075"/>
      <c r="FX13" s="2075"/>
      <c r="FY13" s="2075"/>
      <c r="FZ13" s="2075"/>
      <c r="GA13" s="2075"/>
      <c r="GB13" s="2075"/>
      <c r="GC13" s="2075"/>
      <c r="GD13" s="2075"/>
      <c r="GE13" s="2075"/>
      <c r="GF13" s="2075"/>
      <c r="GG13" s="2075"/>
      <c r="GH13" s="2075"/>
      <c r="GI13" s="2075"/>
      <c r="GJ13" s="2075"/>
      <c r="GK13" s="2075"/>
      <c r="GL13" s="2075"/>
      <c r="GM13" s="2075"/>
      <c r="GN13" s="2075"/>
      <c r="GO13" s="2075"/>
      <c r="GP13" s="2075"/>
      <c r="GQ13" s="2075"/>
      <c r="GR13" s="2075"/>
      <c r="GS13" s="2075"/>
      <c r="GT13" s="2075"/>
      <c r="GU13" s="2075"/>
      <c r="GV13" s="2075"/>
      <c r="GW13" s="2075"/>
      <c r="GX13" s="2075"/>
      <c r="GY13" s="2075"/>
      <c r="GZ13" s="2075"/>
      <c r="HA13" s="2075"/>
      <c r="HB13" s="2075"/>
      <c r="HC13" s="2075"/>
      <c r="HD13" s="2075"/>
      <c r="HE13" s="2075"/>
      <c r="HF13" s="2075"/>
      <c r="HG13" s="2075"/>
      <c r="HH13" s="2075"/>
      <c r="HI13" s="2075"/>
      <c r="HJ13" s="2075"/>
      <c r="HK13" s="2075"/>
    </row>
    <row r="14" spans="1:219" x14ac:dyDescent="0.25">
      <c r="A14" s="240" t="s">
        <v>649</v>
      </c>
      <c r="B14" s="241"/>
      <c r="C14" s="242"/>
      <c r="D14" s="241"/>
      <c r="E14" s="273"/>
      <c r="F14" s="274"/>
      <c r="G14" s="283"/>
      <c r="H14" s="2074"/>
      <c r="I14" s="232"/>
    </row>
    <row r="15" spans="1:219" x14ac:dyDescent="0.25">
      <c r="A15" s="240" t="s">
        <v>650</v>
      </c>
      <c r="B15" s="241"/>
      <c r="C15" s="241"/>
      <c r="D15" s="241"/>
      <c r="E15" s="241">
        <f>'PyG anuales'!B11</f>
        <v>0</v>
      </c>
      <c r="F15" s="241">
        <f>'PyG anuales'!D11</f>
        <v>0</v>
      </c>
      <c r="G15" s="241">
        <f>'PyG anuales'!G11</f>
        <v>0</v>
      </c>
      <c r="H15" s="2074" t="s">
        <v>695</v>
      </c>
      <c r="I15" s="282"/>
      <c r="J15" s="2071" t="s">
        <v>692</v>
      </c>
    </row>
    <row r="16" spans="1:219" x14ac:dyDescent="0.25">
      <c r="A16" s="240" t="s">
        <v>651</v>
      </c>
      <c r="B16" s="241"/>
      <c r="C16" s="242"/>
      <c r="D16" s="241"/>
      <c r="E16" s="273"/>
      <c r="F16" s="274"/>
      <c r="G16" s="283"/>
      <c r="H16" s="2074"/>
      <c r="I16" s="231"/>
      <c r="J16" s="2075"/>
    </row>
    <row r="17" spans="1:219" s="231" customFormat="1" ht="15.75" thickBot="1" x14ac:dyDescent="0.3">
      <c r="A17" s="248" t="s">
        <v>652</v>
      </c>
      <c r="B17" s="249">
        <f t="shared" ref="B17:G17" si="0">SUM(B14:B16)</f>
        <v>0</v>
      </c>
      <c r="C17" s="250">
        <f t="shared" si="0"/>
        <v>0</v>
      </c>
      <c r="D17" s="249">
        <f t="shared" si="0"/>
        <v>0</v>
      </c>
      <c r="E17" s="250">
        <f t="shared" si="0"/>
        <v>0</v>
      </c>
      <c r="F17" s="249">
        <f t="shared" si="0"/>
        <v>0</v>
      </c>
      <c r="G17" s="251">
        <f t="shared" si="0"/>
        <v>0</v>
      </c>
      <c r="H17" s="2074"/>
      <c r="I17" s="951"/>
      <c r="J17" s="2078" t="s">
        <v>815</v>
      </c>
      <c r="K17" s="2075"/>
      <c r="L17" s="2075"/>
      <c r="M17" s="2075"/>
      <c r="N17" s="2075"/>
      <c r="O17" s="2075"/>
      <c r="P17" s="2075"/>
      <c r="Q17" s="2075"/>
      <c r="R17" s="2075"/>
      <c r="S17" s="2075"/>
      <c r="T17" s="2075"/>
      <c r="U17" s="2075"/>
      <c r="V17" s="2075"/>
      <c r="W17" s="2075"/>
      <c r="X17" s="2075"/>
      <c r="Y17" s="2075"/>
      <c r="Z17" s="2075"/>
      <c r="AA17" s="2075"/>
      <c r="AB17" s="2075"/>
      <c r="AC17" s="2075"/>
      <c r="AD17" s="2075"/>
      <c r="AE17" s="2075"/>
      <c r="AF17" s="2075"/>
      <c r="AG17" s="2075"/>
      <c r="AH17" s="2075"/>
      <c r="AI17" s="2075"/>
      <c r="AJ17" s="2075"/>
      <c r="AK17" s="2075"/>
      <c r="AL17" s="2075"/>
      <c r="AM17" s="2075"/>
      <c r="AN17" s="2075"/>
      <c r="AO17" s="2075"/>
      <c r="AP17" s="2075"/>
      <c r="AQ17" s="2075"/>
      <c r="AR17" s="2075"/>
      <c r="AS17" s="2075"/>
      <c r="AT17" s="2075"/>
      <c r="AU17" s="2075"/>
      <c r="AV17" s="2075"/>
      <c r="AW17" s="2075"/>
      <c r="AX17" s="2075"/>
      <c r="AY17" s="2075"/>
      <c r="AZ17" s="2075"/>
      <c r="BA17" s="2075"/>
      <c r="BB17" s="2075"/>
      <c r="BC17" s="2075"/>
      <c r="BD17" s="2075"/>
      <c r="BE17" s="2075"/>
      <c r="BF17" s="2075"/>
      <c r="BG17" s="2075"/>
      <c r="BH17" s="2075"/>
      <c r="BI17" s="2075"/>
      <c r="BJ17" s="2075"/>
      <c r="BK17" s="2075"/>
      <c r="BL17" s="2075"/>
      <c r="BM17" s="2075"/>
      <c r="BN17" s="2075"/>
      <c r="BO17" s="2075"/>
      <c r="BP17" s="2075"/>
      <c r="BQ17" s="2075"/>
      <c r="BR17" s="2075"/>
      <c r="BS17" s="2075"/>
      <c r="BT17" s="2075"/>
      <c r="BU17" s="2075"/>
      <c r="BV17" s="2075"/>
      <c r="BW17" s="2075"/>
      <c r="BX17" s="2075"/>
      <c r="BY17" s="2075"/>
      <c r="BZ17" s="2075"/>
      <c r="CA17" s="2075"/>
      <c r="CB17" s="2075"/>
      <c r="CC17" s="2075"/>
      <c r="CD17" s="2075"/>
      <c r="CE17" s="2075"/>
      <c r="CF17" s="2075"/>
      <c r="CG17" s="2075"/>
      <c r="CH17" s="2075"/>
      <c r="CI17" s="2075"/>
      <c r="CJ17" s="2075"/>
      <c r="CK17" s="2075"/>
      <c r="CL17" s="2075"/>
      <c r="CM17" s="2075"/>
      <c r="CN17" s="2075"/>
      <c r="CO17" s="2075"/>
      <c r="CP17" s="2075"/>
      <c r="CQ17" s="2075"/>
      <c r="CR17" s="2075"/>
      <c r="CS17" s="2075"/>
      <c r="CT17" s="2075"/>
      <c r="CU17" s="2075"/>
      <c r="CV17" s="2075"/>
      <c r="CW17" s="2075"/>
      <c r="CX17" s="2075"/>
      <c r="CY17" s="2075"/>
      <c r="CZ17" s="2075"/>
      <c r="DA17" s="2075"/>
      <c r="DB17" s="2075"/>
      <c r="DC17" s="2075"/>
      <c r="DD17" s="2075"/>
      <c r="DE17" s="2075"/>
      <c r="DF17" s="2075"/>
      <c r="DG17" s="2075"/>
      <c r="DH17" s="2075"/>
      <c r="DI17" s="2075"/>
      <c r="DJ17" s="2075"/>
      <c r="DK17" s="2075"/>
      <c r="DL17" s="2075"/>
      <c r="DM17" s="2075"/>
      <c r="DN17" s="2075"/>
      <c r="DO17" s="2075"/>
      <c r="DP17" s="2075"/>
      <c r="DQ17" s="2075"/>
      <c r="DR17" s="2075"/>
      <c r="DS17" s="2075"/>
      <c r="DT17" s="2075"/>
      <c r="DU17" s="2075"/>
      <c r="DV17" s="2075"/>
      <c r="DW17" s="2075"/>
      <c r="DX17" s="2075"/>
      <c r="DY17" s="2075"/>
      <c r="DZ17" s="2075"/>
      <c r="EA17" s="2075"/>
      <c r="EB17" s="2075"/>
      <c r="EC17" s="2075"/>
      <c r="ED17" s="2075"/>
      <c r="EE17" s="2075"/>
      <c r="EF17" s="2075"/>
      <c r="EG17" s="2075"/>
      <c r="EH17" s="2075"/>
      <c r="EI17" s="2075"/>
      <c r="EJ17" s="2075"/>
      <c r="EK17" s="2075"/>
      <c r="EL17" s="2075"/>
      <c r="EM17" s="2075"/>
      <c r="EN17" s="2075"/>
      <c r="EO17" s="2075"/>
      <c r="EP17" s="2075"/>
      <c r="EQ17" s="2075"/>
      <c r="ER17" s="2075"/>
      <c r="ES17" s="2075"/>
      <c r="ET17" s="2075"/>
      <c r="EU17" s="2075"/>
      <c r="EV17" s="2075"/>
      <c r="EW17" s="2075"/>
      <c r="EX17" s="2075"/>
      <c r="EY17" s="2075"/>
      <c r="EZ17" s="2075"/>
      <c r="FA17" s="2075"/>
      <c r="FB17" s="2075"/>
      <c r="FC17" s="2075"/>
      <c r="FD17" s="2075"/>
      <c r="FE17" s="2075"/>
      <c r="FF17" s="2075"/>
      <c r="FG17" s="2075"/>
      <c r="FH17" s="2075"/>
      <c r="FI17" s="2075"/>
      <c r="FJ17" s="2075"/>
      <c r="FK17" s="2075"/>
      <c r="FL17" s="2075"/>
      <c r="FM17" s="2075"/>
      <c r="FN17" s="2075"/>
      <c r="FO17" s="2075"/>
      <c r="FP17" s="2075"/>
      <c r="FQ17" s="2075"/>
      <c r="FR17" s="2075"/>
      <c r="FS17" s="2075"/>
      <c r="FT17" s="2075"/>
      <c r="FU17" s="2075"/>
      <c r="FV17" s="2075"/>
      <c r="FW17" s="2075"/>
      <c r="FX17" s="2075"/>
      <c r="FY17" s="2075"/>
      <c r="FZ17" s="2075"/>
      <c r="GA17" s="2075"/>
      <c r="GB17" s="2075"/>
      <c r="GC17" s="2075"/>
      <c r="GD17" s="2075"/>
      <c r="GE17" s="2075"/>
      <c r="GF17" s="2075"/>
      <c r="GG17" s="2075"/>
      <c r="GH17" s="2075"/>
      <c r="GI17" s="2075"/>
      <c r="GJ17" s="2075"/>
      <c r="GK17" s="2075"/>
      <c r="GL17" s="2075"/>
      <c r="GM17" s="2075"/>
      <c r="GN17" s="2075"/>
      <c r="GO17" s="2075"/>
      <c r="GP17" s="2075"/>
      <c r="GQ17" s="2075"/>
      <c r="GR17" s="2075"/>
      <c r="GS17" s="2075"/>
      <c r="GT17" s="2075"/>
      <c r="GU17" s="2075"/>
      <c r="GV17" s="2075"/>
      <c r="GW17" s="2075"/>
      <c r="GX17" s="2075"/>
      <c r="GY17" s="2075"/>
      <c r="GZ17" s="2075"/>
      <c r="HA17" s="2075"/>
      <c r="HB17" s="2075"/>
      <c r="HC17" s="2075"/>
      <c r="HD17" s="2075"/>
      <c r="HE17" s="2075"/>
      <c r="HF17" s="2075"/>
      <c r="HG17" s="2075"/>
      <c r="HH17" s="2075"/>
      <c r="HI17" s="2075"/>
      <c r="HJ17" s="2075"/>
      <c r="HK17" s="2075"/>
    </row>
    <row r="18" spans="1:219" x14ac:dyDescent="0.25">
      <c r="A18" s="236" t="s">
        <v>653</v>
      </c>
      <c r="B18" s="237"/>
      <c r="C18" s="238"/>
      <c r="D18" s="237"/>
      <c r="E18" s="238">
        <f>'PyG anuales'!B14</f>
        <v>14652</v>
      </c>
      <c r="F18" s="237">
        <f>'PyG anuales'!D14</f>
        <v>15238.080000000002</v>
      </c>
      <c r="G18" s="239">
        <f>'PyG anuales'!G14</f>
        <v>15847.603200000005</v>
      </c>
      <c r="H18" s="2074" t="s">
        <v>695</v>
      </c>
    </row>
    <row r="19" spans="1:219" x14ac:dyDescent="0.25">
      <c r="A19" s="240" t="s">
        <v>654</v>
      </c>
      <c r="B19" s="241"/>
      <c r="C19" s="241"/>
      <c r="D19" s="241"/>
      <c r="E19" s="241">
        <f>'PyG anuales'!B15</f>
        <v>1064.6400000000001</v>
      </c>
      <c r="F19" s="241">
        <f>'PyG anuales'!D15</f>
        <v>1064.6400000000001</v>
      </c>
      <c r="G19" s="241">
        <f>'PyG anuales'!G15</f>
        <v>2470.5600000000009</v>
      </c>
      <c r="H19" s="2074" t="s">
        <v>695</v>
      </c>
    </row>
    <row r="20" spans="1:219" s="231" customFormat="1" ht="15.75" thickBot="1" x14ac:dyDescent="0.3">
      <c r="A20" s="244" t="s">
        <v>22</v>
      </c>
      <c r="B20" s="245">
        <f t="shared" ref="B20:G20" si="1">SUM(B18:B19)</f>
        <v>0</v>
      </c>
      <c r="C20" s="246">
        <f t="shared" si="1"/>
        <v>0</v>
      </c>
      <c r="D20" s="245">
        <f t="shared" si="1"/>
        <v>0</v>
      </c>
      <c r="E20" s="246">
        <f t="shared" si="1"/>
        <v>15716.64</v>
      </c>
      <c r="F20" s="245">
        <f t="shared" si="1"/>
        <v>16302.720000000001</v>
      </c>
      <c r="G20" s="247">
        <f t="shared" si="1"/>
        <v>18318.163200000006</v>
      </c>
      <c r="H20" s="2074"/>
      <c r="I20" s="2075"/>
      <c r="J20" s="2075"/>
      <c r="K20" s="2075"/>
      <c r="L20" s="2075"/>
      <c r="M20" s="2075"/>
      <c r="N20" s="2075"/>
      <c r="O20" s="2075"/>
      <c r="P20" s="2075"/>
      <c r="Q20" s="2075"/>
      <c r="R20" s="2075"/>
      <c r="S20" s="2075"/>
      <c r="T20" s="2075"/>
      <c r="U20" s="2075"/>
      <c r="V20" s="2075"/>
      <c r="W20" s="2075"/>
      <c r="X20" s="2075"/>
      <c r="Y20" s="2075"/>
      <c r="Z20" s="2075"/>
      <c r="AA20" s="2075"/>
      <c r="AB20" s="2075"/>
      <c r="AC20" s="2075"/>
      <c r="AD20" s="2075"/>
      <c r="AE20" s="2075"/>
      <c r="AF20" s="2075"/>
      <c r="AG20" s="2075"/>
      <c r="AH20" s="2075"/>
      <c r="AI20" s="2075"/>
      <c r="AJ20" s="2075"/>
      <c r="AK20" s="2075"/>
      <c r="AL20" s="2075"/>
      <c r="AM20" s="2075"/>
      <c r="AN20" s="2075"/>
      <c r="AO20" s="2075"/>
      <c r="AP20" s="2075"/>
      <c r="AQ20" s="2075"/>
      <c r="AR20" s="2075"/>
      <c r="AS20" s="2075"/>
      <c r="AT20" s="2075"/>
      <c r="AU20" s="2075"/>
      <c r="AV20" s="2075"/>
      <c r="AW20" s="2075"/>
      <c r="AX20" s="2075"/>
      <c r="AY20" s="2075"/>
      <c r="AZ20" s="2075"/>
      <c r="BA20" s="2075"/>
      <c r="BB20" s="2075"/>
      <c r="BC20" s="2075"/>
      <c r="BD20" s="2075"/>
      <c r="BE20" s="2075"/>
      <c r="BF20" s="2075"/>
      <c r="BG20" s="2075"/>
      <c r="BH20" s="2075"/>
      <c r="BI20" s="2075"/>
      <c r="BJ20" s="2075"/>
      <c r="BK20" s="2075"/>
      <c r="BL20" s="2075"/>
      <c r="BM20" s="2075"/>
      <c r="BN20" s="2075"/>
      <c r="BO20" s="2075"/>
      <c r="BP20" s="2075"/>
      <c r="BQ20" s="2075"/>
      <c r="BR20" s="2075"/>
      <c r="BS20" s="2075"/>
      <c r="BT20" s="2075"/>
      <c r="BU20" s="2075"/>
      <c r="BV20" s="2075"/>
      <c r="BW20" s="2075"/>
      <c r="BX20" s="2075"/>
      <c r="BY20" s="2075"/>
      <c r="BZ20" s="2075"/>
      <c r="CA20" s="2075"/>
      <c r="CB20" s="2075"/>
      <c r="CC20" s="2075"/>
      <c r="CD20" s="2075"/>
      <c r="CE20" s="2075"/>
      <c r="CF20" s="2075"/>
      <c r="CG20" s="2075"/>
      <c r="CH20" s="2075"/>
      <c r="CI20" s="2075"/>
      <c r="CJ20" s="2075"/>
      <c r="CK20" s="2075"/>
      <c r="CL20" s="2075"/>
      <c r="CM20" s="2075"/>
      <c r="CN20" s="2075"/>
      <c r="CO20" s="2075"/>
      <c r="CP20" s="2075"/>
      <c r="CQ20" s="2075"/>
      <c r="CR20" s="2075"/>
      <c r="CS20" s="2075"/>
      <c r="CT20" s="2075"/>
      <c r="CU20" s="2075"/>
      <c r="CV20" s="2075"/>
      <c r="CW20" s="2075"/>
      <c r="CX20" s="2075"/>
      <c r="CY20" s="2075"/>
      <c r="CZ20" s="2075"/>
      <c r="DA20" s="2075"/>
      <c r="DB20" s="2075"/>
      <c r="DC20" s="2075"/>
      <c r="DD20" s="2075"/>
      <c r="DE20" s="2075"/>
      <c r="DF20" s="2075"/>
      <c r="DG20" s="2075"/>
      <c r="DH20" s="2075"/>
      <c r="DI20" s="2075"/>
      <c r="DJ20" s="2075"/>
      <c r="DK20" s="2075"/>
      <c r="DL20" s="2075"/>
      <c r="DM20" s="2075"/>
      <c r="DN20" s="2075"/>
      <c r="DO20" s="2075"/>
      <c r="DP20" s="2075"/>
      <c r="DQ20" s="2075"/>
      <c r="DR20" s="2075"/>
      <c r="DS20" s="2075"/>
      <c r="DT20" s="2075"/>
      <c r="DU20" s="2075"/>
      <c r="DV20" s="2075"/>
      <c r="DW20" s="2075"/>
      <c r="DX20" s="2075"/>
      <c r="DY20" s="2075"/>
      <c r="DZ20" s="2075"/>
      <c r="EA20" s="2075"/>
      <c r="EB20" s="2075"/>
      <c r="EC20" s="2075"/>
      <c r="ED20" s="2075"/>
      <c r="EE20" s="2075"/>
      <c r="EF20" s="2075"/>
      <c r="EG20" s="2075"/>
      <c r="EH20" s="2075"/>
      <c r="EI20" s="2075"/>
      <c r="EJ20" s="2075"/>
      <c r="EK20" s="2075"/>
      <c r="EL20" s="2075"/>
      <c r="EM20" s="2075"/>
      <c r="EN20" s="2075"/>
      <c r="EO20" s="2075"/>
      <c r="EP20" s="2075"/>
      <c r="EQ20" s="2075"/>
      <c r="ER20" s="2075"/>
      <c r="ES20" s="2075"/>
      <c r="ET20" s="2075"/>
      <c r="EU20" s="2075"/>
      <c r="EV20" s="2075"/>
      <c r="EW20" s="2075"/>
      <c r="EX20" s="2075"/>
      <c r="EY20" s="2075"/>
      <c r="EZ20" s="2075"/>
      <c r="FA20" s="2075"/>
      <c r="FB20" s="2075"/>
      <c r="FC20" s="2075"/>
      <c r="FD20" s="2075"/>
      <c r="FE20" s="2075"/>
      <c r="FF20" s="2075"/>
      <c r="FG20" s="2075"/>
      <c r="FH20" s="2075"/>
      <c r="FI20" s="2075"/>
      <c r="FJ20" s="2075"/>
      <c r="FK20" s="2075"/>
      <c r="FL20" s="2075"/>
      <c r="FM20" s="2075"/>
      <c r="FN20" s="2075"/>
      <c r="FO20" s="2075"/>
      <c r="FP20" s="2075"/>
      <c r="FQ20" s="2075"/>
      <c r="FR20" s="2075"/>
      <c r="FS20" s="2075"/>
      <c r="FT20" s="2075"/>
      <c r="FU20" s="2075"/>
      <c r="FV20" s="2075"/>
      <c r="FW20" s="2075"/>
      <c r="FX20" s="2075"/>
      <c r="FY20" s="2075"/>
      <c r="FZ20" s="2075"/>
      <c r="GA20" s="2075"/>
      <c r="GB20" s="2075"/>
      <c r="GC20" s="2075"/>
      <c r="GD20" s="2075"/>
      <c r="GE20" s="2075"/>
      <c r="GF20" s="2075"/>
      <c r="GG20" s="2075"/>
      <c r="GH20" s="2075"/>
      <c r="GI20" s="2075"/>
      <c r="GJ20" s="2075"/>
      <c r="GK20" s="2075"/>
      <c r="GL20" s="2075"/>
      <c r="GM20" s="2075"/>
      <c r="GN20" s="2075"/>
      <c r="GO20" s="2075"/>
      <c r="GP20" s="2075"/>
      <c r="GQ20" s="2075"/>
      <c r="GR20" s="2075"/>
      <c r="GS20" s="2075"/>
      <c r="GT20" s="2075"/>
      <c r="GU20" s="2075"/>
      <c r="GV20" s="2075"/>
      <c r="GW20" s="2075"/>
      <c r="GX20" s="2075"/>
      <c r="GY20" s="2075"/>
      <c r="GZ20" s="2075"/>
      <c r="HA20" s="2075"/>
      <c r="HB20" s="2075"/>
      <c r="HC20" s="2075"/>
      <c r="HD20" s="2075"/>
      <c r="HE20" s="2075"/>
      <c r="HF20" s="2075"/>
      <c r="HG20" s="2075"/>
      <c r="HH20" s="2075"/>
      <c r="HI20" s="2075"/>
      <c r="HJ20" s="2075"/>
      <c r="HK20" s="2075"/>
    </row>
    <row r="21" spans="1:219" s="231" customFormat="1" ht="15.75" thickBot="1" x14ac:dyDescent="0.3">
      <c r="A21" s="233" t="s">
        <v>655</v>
      </c>
      <c r="B21" s="252"/>
      <c r="C21" s="253"/>
      <c r="D21" s="252"/>
      <c r="E21" s="253">
        <f>'PyG anuales'!B17</f>
        <v>0</v>
      </c>
      <c r="F21" s="252">
        <f>'PyG anuales'!D17</f>
        <v>0</v>
      </c>
      <c r="G21" s="254">
        <f>'PyG anuales'!G17</f>
        <v>0</v>
      </c>
      <c r="H21" s="2074" t="s">
        <v>695</v>
      </c>
      <c r="I21" s="2075"/>
      <c r="J21" s="2075"/>
      <c r="K21" s="2075"/>
      <c r="L21" s="2075"/>
      <c r="M21" s="2075"/>
      <c r="N21" s="2075"/>
      <c r="O21" s="2075"/>
      <c r="P21" s="2075"/>
      <c r="Q21" s="2075"/>
      <c r="R21" s="2075"/>
      <c r="S21" s="2075"/>
      <c r="T21" s="2075"/>
      <c r="U21" s="2075"/>
      <c r="V21" s="2075"/>
      <c r="W21" s="2075"/>
      <c r="X21" s="2075"/>
      <c r="Y21" s="2075"/>
      <c r="Z21" s="2075"/>
      <c r="AA21" s="2075"/>
      <c r="AB21" s="2075"/>
      <c r="AC21" s="2075"/>
      <c r="AD21" s="2075"/>
      <c r="AE21" s="2075"/>
      <c r="AF21" s="2075"/>
      <c r="AG21" s="2075"/>
      <c r="AH21" s="2075"/>
      <c r="AI21" s="2075"/>
      <c r="AJ21" s="2075"/>
      <c r="AK21" s="2075"/>
      <c r="AL21" s="2075"/>
      <c r="AM21" s="2075"/>
      <c r="AN21" s="2075"/>
      <c r="AO21" s="2075"/>
      <c r="AP21" s="2075"/>
      <c r="AQ21" s="2075"/>
      <c r="AR21" s="2075"/>
      <c r="AS21" s="2075"/>
      <c r="AT21" s="2075"/>
      <c r="AU21" s="2075"/>
      <c r="AV21" s="2075"/>
      <c r="AW21" s="2075"/>
      <c r="AX21" s="2075"/>
      <c r="AY21" s="2075"/>
      <c r="AZ21" s="2075"/>
      <c r="BA21" s="2075"/>
      <c r="BB21" s="2075"/>
      <c r="BC21" s="2075"/>
      <c r="BD21" s="2075"/>
      <c r="BE21" s="2075"/>
      <c r="BF21" s="2075"/>
      <c r="BG21" s="2075"/>
      <c r="BH21" s="2075"/>
      <c r="BI21" s="2075"/>
      <c r="BJ21" s="2075"/>
      <c r="BK21" s="2075"/>
      <c r="BL21" s="2075"/>
      <c r="BM21" s="2075"/>
      <c r="BN21" s="2075"/>
      <c r="BO21" s="2075"/>
      <c r="BP21" s="2075"/>
      <c r="BQ21" s="2075"/>
      <c r="BR21" s="2075"/>
      <c r="BS21" s="2075"/>
      <c r="BT21" s="2075"/>
      <c r="BU21" s="2075"/>
      <c r="BV21" s="2075"/>
      <c r="BW21" s="2075"/>
      <c r="BX21" s="2075"/>
      <c r="BY21" s="2075"/>
      <c r="BZ21" s="2075"/>
      <c r="CA21" s="2075"/>
      <c r="CB21" s="2075"/>
      <c r="CC21" s="2075"/>
      <c r="CD21" s="2075"/>
      <c r="CE21" s="2075"/>
      <c r="CF21" s="2075"/>
      <c r="CG21" s="2075"/>
      <c r="CH21" s="2075"/>
      <c r="CI21" s="2075"/>
      <c r="CJ21" s="2075"/>
      <c r="CK21" s="2075"/>
      <c r="CL21" s="2075"/>
      <c r="CM21" s="2075"/>
      <c r="CN21" s="2075"/>
      <c r="CO21" s="2075"/>
      <c r="CP21" s="2075"/>
      <c r="CQ21" s="2075"/>
      <c r="CR21" s="2075"/>
      <c r="CS21" s="2075"/>
      <c r="CT21" s="2075"/>
      <c r="CU21" s="2075"/>
      <c r="CV21" s="2075"/>
      <c r="CW21" s="2075"/>
      <c r="CX21" s="2075"/>
      <c r="CY21" s="2075"/>
      <c r="CZ21" s="2075"/>
      <c r="DA21" s="2075"/>
      <c r="DB21" s="2075"/>
      <c r="DC21" s="2075"/>
      <c r="DD21" s="2075"/>
      <c r="DE21" s="2075"/>
      <c r="DF21" s="2075"/>
      <c r="DG21" s="2075"/>
      <c r="DH21" s="2075"/>
      <c r="DI21" s="2075"/>
      <c r="DJ21" s="2075"/>
      <c r="DK21" s="2075"/>
      <c r="DL21" s="2075"/>
      <c r="DM21" s="2075"/>
      <c r="DN21" s="2075"/>
      <c r="DO21" s="2075"/>
      <c r="DP21" s="2075"/>
      <c r="DQ21" s="2075"/>
      <c r="DR21" s="2075"/>
      <c r="DS21" s="2075"/>
      <c r="DT21" s="2075"/>
      <c r="DU21" s="2075"/>
      <c r="DV21" s="2075"/>
      <c r="DW21" s="2075"/>
      <c r="DX21" s="2075"/>
      <c r="DY21" s="2075"/>
      <c r="DZ21" s="2075"/>
      <c r="EA21" s="2075"/>
      <c r="EB21" s="2075"/>
      <c r="EC21" s="2075"/>
      <c r="ED21" s="2075"/>
      <c r="EE21" s="2075"/>
      <c r="EF21" s="2075"/>
      <c r="EG21" s="2075"/>
      <c r="EH21" s="2075"/>
      <c r="EI21" s="2075"/>
      <c r="EJ21" s="2075"/>
      <c r="EK21" s="2075"/>
      <c r="EL21" s="2075"/>
      <c r="EM21" s="2075"/>
      <c r="EN21" s="2075"/>
      <c r="EO21" s="2075"/>
      <c r="EP21" s="2075"/>
      <c r="EQ21" s="2075"/>
      <c r="ER21" s="2075"/>
      <c r="ES21" s="2075"/>
      <c r="ET21" s="2075"/>
      <c r="EU21" s="2075"/>
      <c r="EV21" s="2075"/>
      <c r="EW21" s="2075"/>
      <c r="EX21" s="2075"/>
      <c r="EY21" s="2075"/>
      <c r="EZ21" s="2075"/>
      <c r="FA21" s="2075"/>
      <c r="FB21" s="2075"/>
      <c r="FC21" s="2075"/>
      <c r="FD21" s="2075"/>
      <c r="FE21" s="2075"/>
      <c r="FF21" s="2075"/>
      <c r="FG21" s="2075"/>
      <c r="FH21" s="2075"/>
      <c r="FI21" s="2075"/>
      <c r="FJ21" s="2075"/>
      <c r="FK21" s="2075"/>
      <c r="FL21" s="2075"/>
      <c r="FM21" s="2075"/>
      <c r="FN21" s="2075"/>
      <c r="FO21" s="2075"/>
      <c r="FP21" s="2075"/>
      <c r="FQ21" s="2075"/>
      <c r="FR21" s="2075"/>
      <c r="FS21" s="2075"/>
      <c r="FT21" s="2075"/>
      <c r="FU21" s="2075"/>
      <c r="FV21" s="2075"/>
      <c r="FW21" s="2075"/>
      <c r="FX21" s="2075"/>
      <c r="FY21" s="2075"/>
      <c r="FZ21" s="2075"/>
      <c r="GA21" s="2075"/>
      <c r="GB21" s="2075"/>
      <c r="GC21" s="2075"/>
      <c r="GD21" s="2075"/>
      <c r="GE21" s="2075"/>
      <c r="GF21" s="2075"/>
      <c r="GG21" s="2075"/>
      <c r="GH21" s="2075"/>
      <c r="GI21" s="2075"/>
      <c r="GJ21" s="2075"/>
      <c r="GK21" s="2075"/>
      <c r="GL21" s="2075"/>
      <c r="GM21" s="2075"/>
      <c r="GN21" s="2075"/>
      <c r="GO21" s="2075"/>
      <c r="GP21" s="2075"/>
      <c r="GQ21" s="2075"/>
      <c r="GR21" s="2075"/>
      <c r="GS21" s="2075"/>
      <c r="GT21" s="2075"/>
      <c r="GU21" s="2075"/>
      <c r="GV21" s="2075"/>
      <c r="GW21" s="2075"/>
      <c r="GX21" s="2075"/>
      <c r="GY21" s="2075"/>
      <c r="GZ21" s="2075"/>
      <c r="HA21" s="2075"/>
      <c r="HB21" s="2075"/>
      <c r="HC21" s="2075"/>
      <c r="HD21" s="2075"/>
      <c r="HE21" s="2075"/>
      <c r="HF21" s="2075"/>
      <c r="HG21" s="2075"/>
      <c r="HH21" s="2075"/>
      <c r="HI21" s="2075"/>
      <c r="HJ21" s="2075"/>
      <c r="HK21" s="2075"/>
    </row>
    <row r="22" spans="1:219" x14ac:dyDescent="0.25">
      <c r="A22" s="240" t="s">
        <v>656</v>
      </c>
      <c r="B22" s="241"/>
      <c r="C22" s="242"/>
      <c r="D22" s="241"/>
      <c r="E22" s="273"/>
      <c r="F22" s="274"/>
      <c r="G22" s="283"/>
      <c r="H22" s="2074"/>
    </row>
    <row r="23" spans="1:219" x14ac:dyDescent="0.25">
      <c r="A23" s="240" t="s">
        <v>661</v>
      </c>
      <c r="B23" s="241"/>
      <c r="C23" s="242"/>
      <c r="D23" s="241"/>
      <c r="E23" s="269"/>
      <c r="F23" s="270"/>
      <c r="G23" s="280"/>
      <c r="H23" s="2074"/>
    </row>
    <row r="24" spans="1:219" x14ac:dyDescent="0.25">
      <c r="A24" s="240" t="s">
        <v>662</v>
      </c>
      <c r="B24" s="241"/>
      <c r="C24" s="242"/>
      <c r="D24" s="241"/>
      <c r="E24" s="269"/>
      <c r="F24" s="270"/>
      <c r="G24" s="280"/>
      <c r="H24" s="2074"/>
    </row>
    <row r="25" spans="1:219" s="231" customFormat="1" ht="15.75" thickBot="1" x14ac:dyDescent="0.3">
      <c r="A25" s="248" t="s">
        <v>663</v>
      </c>
      <c r="B25" s="249">
        <f t="shared" ref="B25:G25" si="2">SUM(B22:B24)</f>
        <v>0</v>
      </c>
      <c r="C25" s="250">
        <f t="shared" si="2"/>
        <v>0</v>
      </c>
      <c r="D25" s="249">
        <f t="shared" si="2"/>
        <v>0</v>
      </c>
      <c r="E25" s="250">
        <f t="shared" si="2"/>
        <v>0</v>
      </c>
      <c r="F25" s="249">
        <f t="shared" si="2"/>
        <v>0</v>
      </c>
      <c r="G25" s="251">
        <f t="shared" si="2"/>
        <v>0</v>
      </c>
      <c r="H25" s="2074"/>
      <c r="I25" s="2075"/>
      <c r="J25" s="2075"/>
      <c r="K25" s="2075"/>
      <c r="L25" s="2075"/>
      <c r="M25" s="2075"/>
      <c r="N25" s="2075"/>
      <c r="O25" s="2075"/>
      <c r="P25" s="2075"/>
      <c r="Q25" s="2075"/>
      <c r="R25" s="2075"/>
      <c r="S25" s="2075"/>
      <c r="T25" s="2075"/>
      <c r="U25" s="2075"/>
      <c r="V25" s="2075"/>
      <c r="W25" s="2075"/>
      <c r="X25" s="2075"/>
      <c r="Y25" s="2075"/>
      <c r="Z25" s="2075"/>
      <c r="AA25" s="2075"/>
      <c r="AB25" s="2075"/>
      <c r="AC25" s="2075"/>
      <c r="AD25" s="2075"/>
      <c r="AE25" s="2075"/>
      <c r="AF25" s="2075"/>
      <c r="AG25" s="2075"/>
      <c r="AH25" s="2075"/>
      <c r="AI25" s="2075"/>
      <c r="AJ25" s="2075"/>
      <c r="AK25" s="2075"/>
      <c r="AL25" s="2075"/>
      <c r="AM25" s="2075"/>
      <c r="AN25" s="2075"/>
      <c r="AO25" s="2075"/>
      <c r="AP25" s="2075"/>
      <c r="AQ25" s="2075"/>
      <c r="AR25" s="2075"/>
      <c r="AS25" s="2075"/>
      <c r="AT25" s="2075"/>
      <c r="AU25" s="2075"/>
      <c r="AV25" s="2075"/>
      <c r="AW25" s="2075"/>
      <c r="AX25" s="2075"/>
      <c r="AY25" s="2075"/>
      <c r="AZ25" s="2075"/>
      <c r="BA25" s="2075"/>
      <c r="BB25" s="2075"/>
      <c r="BC25" s="2075"/>
      <c r="BD25" s="2075"/>
      <c r="BE25" s="2075"/>
      <c r="BF25" s="2075"/>
      <c r="BG25" s="2075"/>
      <c r="BH25" s="2075"/>
      <c r="BI25" s="2075"/>
      <c r="BJ25" s="2075"/>
      <c r="BK25" s="2075"/>
      <c r="BL25" s="2075"/>
      <c r="BM25" s="2075"/>
      <c r="BN25" s="2075"/>
      <c r="BO25" s="2075"/>
      <c r="BP25" s="2075"/>
      <c r="BQ25" s="2075"/>
      <c r="BR25" s="2075"/>
      <c r="BS25" s="2075"/>
      <c r="BT25" s="2075"/>
      <c r="BU25" s="2075"/>
      <c r="BV25" s="2075"/>
      <c r="BW25" s="2075"/>
      <c r="BX25" s="2075"/>
      <c r="BY25" s="2075"/>
      <c r="BZ25" s="2075"/>
      <c r="CA25" s="2075"/>
      <c r="CB25" s="2075"/>
      <c r="CC25" s="2075"/>
      <c r="CD25" s="2075"/>
      <c r="CE25" s="2075"/>
      <c r="CF25" s="2075"/>
      <c r="CG25" s="2075"/>
      <c r="CH25" s="2075"/>
      <c r="CI25" s="2075"/>
      <c r="CJ25" s="2075"/>
      <c r="CK25" s="2075"/>
      <c r="CL25" s="2075"/>
      <c r="CM25" s="2075"/>
      <c r="CN25" s="2075"/>
      <c r="CO25" s="2075"/>
      <c r="CP25" s="2075"/>
      <c r="CQ25" s="2075"/>
      <c r="CR25" s="2075"/>
      <c r="CS25" s="2075"/>
      <c r="CT25" s="2075"/>
      <c r="CU25" s="2075"/>
      <c r="CV25" s="2075"/>
      <c r="CW25" s="2075"/>
      <c r="CX25" s="2075"/>
      <c r="CY25" s="2075"/>
      <c r="CZ25" s="2075"/>
      <c r="DA25" s="2075"/>
      <c r="DB25" s="2075"/>
      <c r="DC25" s="2075"/>
      <c r="DD25" s="2075"/>
      <c r="DE25" s="2075"/>
      <c r="DF25" s="2075"/>
      <c r="DG25" s="2075"/>
      <c r="DH25" s="2075"/>
      <c r="DI25" s="2075"/>
      <c r="DJ25" s="2075"/>
      <c r="DK25" s="2075"/>
      <c r="DL25" s="2075"/>
      <c r="DM25" s="2075"/>
      <c r="DN25" s="2075"/>
      <c r="DO25" s="2075"/>
      <c r="DP25" s="2075"/>
      <c r="DQ25" s="2075"/>
      <c r="DR25" s="2075"/>
      <c r="DS25" s="2075"/>
      <c r="DT25" s="2075"/>
      <c r="DU25" s="2075"/>
      <c r="DV25" s="2075"/>
      <c r="DW25" s="2075"/>
      <c r="DX25" s="2075"/>
      <c r="DY25" s="2075"/>
      <c r="DZ25" s="2075"/>
      <c r="EA25" s="2075"/>
      <c r="EB25" s="2075"/>
      <c r="EC25" s="2075"/>
      <c r="ED25" s="2075"/>
      <c r="EE25" s="2075"/>
      <c r="EF25" s="2075"/>
      <c r="EG25" s="2075"/>
      <c r="EH25" s="2075"/>
      <c r="EI25" s="2075"/>
      <c r="EJ25" s="2075"/>
      <c r="EK25" s="2075"/>
      <c r="EL25" s="2075"/>
      <c r="EM25" s="2075"/>
      <c r="EN25" s="2075"/>
      <c r="EO25" s="2075"/>
      <c r="EP25" s="2075"/>
      <c r="EQ25" s="2075"/>
      <c r="ER25" s="2075"/>
      <c r="ES25" s="2075"/>
      <c r="ET25" s="2075"/>
      <c r="EU25" s="2075"/>
      <c r="EV25" s="2075"/>
      <c r="EW25" s="2075"/>
      <c r="EX25" s="2075"/>
      <c r="EY25" s="2075"/>
      <c r="EZ25" s="2075"/>
      <c r="FA25" s="2075"/>
      <c r="FB25" s="2075"/>
      <c r="FC25" s="2075"/>
      <c r="FD25" s="2075"/>
      <c r="FE25" s="2075"/>
      <c r="FF25" s="2075"/>
      <c r="FG25" s="2075"/>
      <c r="FH25" s="2075"/>
      <c r="FI25" s="2075"/>
      <c r="FJ25" s="2075"/>
      <c r="FK25" s="2075"/>
      <c r="FL25" s="2075"/>
      <c r="FM25" s="2075"/>
      <c r="FN25" s="2075"/>
      <c r="FO25" s="2075"/>
      <c r="FP25" s="2075"/>
      <c r="FQ25" s="2075"/>
      <c r="FR25" s="2075"/>
      <c r="FS25" s="2075"/>
      <c r="FT25" s="2075"/>
      <c r="FU25" s="2075"/>
      <c r="FV25" s="2075"/>
      <c r="FW25" s="2075"/>
      <c r="FX25" s="2075"/>
      <c r="FY25" s="2075"/>
      <c r="FZ25" s="2075"/>
      <c r="GA25" s="2075"/>
      <c r="GB25" s="2075"/>
      <c r="GC25" s="2075"/>
      <c r="GD25" s="2075"/>
      <c r="GE25" s="2075"/>
      <c r="GF25" s="2075"/>
      <c r="GG25" s="2075"/>
      <c r="GH25" s="2075"/>
      <c r="GI25" s="2075"/>
      <c r="GJ25" s="2075"/>
      <c r="GK25" s="2075"/>
      <c r="GL25" s="2075"/>
      <c r="GM25" s="2075"/>
      <c r="GN25" s="2075"/>
      <c r="GO25" s="2075"/>
      <c r="GP25" s="2075"/>
      <c r="GQ25" s="2075"/>
      <c r="GR25" s="2075"/>
      <c r="GS25" s="2075"/>
      <c r="GT25" s="2075"/>
      <c r="GU25" s="2075"/>
      <c r="GV25" s="2075"/>
      <c r="GW25" s="2075"/>
      <c r="GX25" s="2075"/>
      <c r="GY25" s="2075"/>
      <c r="GZ25" s="2075"/>
      <c r="HA25" s="2075"/>
      <c r="HB25" s="2075"/>
      <c r="HC25" s="2075"/>
      <c r="HD25" s="2075"/>
      <c r="HE25" s="2075"/>
      <c r="HF25" s="2075"/>
      <c r="HG25" s="2075"/>
      <c r="HH25" s="2075"/>
      <c r="HI25" s="2075"/>
      <c r="HJ25" s="2075"/>
      <c r="HK25" s="2075"/>
    </row>
    <row r="26" spans="1:219" x14ac:dyDescent="0.25">
      <c r="A26" s="236" t="s">
        <v>664</v>
      </c>
      <c r="B26" s="237"/>
      <c r="C26" s="238"/>
      <c r="D26" s="237"/>
      <c r="E26" s="290"/>
      <c r="F26" s="291"/>
      <c r="G26" s="292"/>
      <c r="H26" s="2074"/>
    </row>
    <row r="27" spans="1:219" x14ac:dyDescent="0.25">
      <c r="A27" s="240" t="s">
        <v>665</v>
      </c>
      <c r="B27" s="241"/>
      <c r="C27" s="242"/>
      <c r="D27" s="241"/>
      <c r="E27" s="269"/>
      <c r="F27" s="270"/>
      <c r="G27" s="280"/>
      <c r="H27" s="2074"/>
    </row>
    <row r="28" spans="1:219" x14ac:dyDescent="0.25">
      <c r="A28" s="240" t="s">
        <v>666</v>
      </c>
      <c r="B28" s="241"/>
      <c r="C28" s="242"/>
      <c r="D28" s="241"/>
      <c r="E28" s="242">
        <f>'PyG anuales'!B16</f>
        <v>0</v>
      </c>
      <c r="F28" s="241">
        <f>'PyG anuales'!D16</f>
        <v>0</v>
      </c>
      <c r="G28" s="243">
        <f>'PyG anuales'!G16</f>
        <v>0</v>
      </c>
      <c r="H28" s="2074" t="s">
        <v>695</v>
      </c>
    </row>
    <row r="29" spans="1:219" x14ac:dyDescent="0.25">
      <c r="A29" s="240" t="s">
        <v>667</v>
      </c>
      <c r="B29" s="241"/>
      <c r="C29" s="242"/>
      <c r="D29" s="241"/>
      <c r="E29" s="269"/>
      <c r="F29" s="270"/>
      <c r="G29" s="280"/>
      <c r="H29" s="2074"/>
    </row>
    <row r="30" spans="1:219" s="231" customFormat="1" ht="15.75" thickBot="1" x14ac:dyDescent="0.3">
      <c r="A30" s="244" t="s">
        <v>668</v>
      </c>
      <c r="B30" s="245">
        <f t="shared" ref="B30:G30" si="3">SUM(B26:B29)</f>
        <v>0</v>
      </c>
      <c r="C30" s="246">
        <f t="shared" si="3"/>
        <v>0</v>
      </c>
      <c r="D30" s="245">
        <f t="shared" si="3"/>
        <v>0</v>
      </c>
      <c r="E30" s="246">
        <f t="shared" si="3"/>
        <v>0</v>
      </c>
      <c r="F30" s="245">
        <f t="shared" si="3"/>
        <v>0</v>
      </c>
      <c r="G30" s="247">
        <f t="shared" si="3"/>
        <v>0</v>
      </c>
      <c r="H30" s="2074"/>
      <c r="I30" s="2075"/>
      <c r="J30" s="2075"/>
      <c r="K30" s="2075"/>
      <c r="L30" s="2075"/>
      <c r="M30" s="2075"/>
      <c r="N30" s="2075"/>
      <c r="O30" s="2075"/>
      <c r="P30" s="2075"/>
      <c r="Q30" s="2075"/>
      <c r="R30" s="2075"/>
      <c r="S30" s="2075"/>
      <c r="T30" s="2075"/>
      <c r="U30" s="2075"/>
      <c r="V30" s="2075"/>
      <c r="W30" s="2075"/>
      <c r="X30" s="2075"/>
      <c r="Y30" s="2075"/>
      <c r="Z30" s="2075"/>
      <c r="AA30" s="2075"/>
      <c r="AB30" s="2075"/>
      <c r="AC30" s="2075"/>
      <c r="AD30" s="2075"/>
      <c r="AE30" s="2075"/>
      <c r="AF30" s="2075"/>
      <c r="AG30" s="2075"/>
      <c r="AH30" s="2075"/>
      <c r="AI30" s="2075"/>
      <c r="AJ30" s="2075"/>
      <c r="AK30" s="2075"/>
      <c r="AL30" s="2075"/>
      <c r="AM30" s="2075"/>
      <c r="AN30" s="2075"/>
      <c r="AO30" s="2075"/>
      <c r="AP30" s="2075"/>
      <c r="AQ30" s="2075"/>
      <c r="AR30" s="2075"/>
      <c r="AS30" s="2075"/>
      <c r="AT30" s="2075"/>
      <c r="AU30" s="2075"/>
      <c r="AV30" s="2075"/>
      <c r="AW30" s="2075"/>
      <c r="AX30" s="2075"/>
      <c r="AY30" s="2075"/>
      <c r="AZ30" s="2075"/>
      <c r="BA30" s="2075"/>
      <c r="BB30" s="2075"/>
      <c r="BC30" s="2075"/>
      <c r="BD30" s="2075"/>
      <c r="BE30" s="2075"/>
      <c r="BF30" s="2075"/>
      <c r="BG30" s="2075"/>
      <c r="BH30" s="2075"/>
      <c r="BI30" s="2075"/>
      <c r="BJ30" s="2075"/>
      <c r="BK30" s="2075"/>
      <c r="BL30" s="2075"/>
      <c r="BM30" s="2075"/>
      <c r="BN30" s="2075"/>
      <c r="BO30" s="2075"/>
      <c r="BP30" s="2075"/>
      <c r="BQ30" s="2075"/>
      <c r="BR30" s="2075"/>
      <c r="BS30" s="2075"/>
      <c r="BT30" s="2075"/>
      <c r="BU30" s="2075"/>
      <c r="BV30" s="2075"/>
      <c r="BW30" s="2075"/>
      <c r="BX30" s="2075"/>
      <c r="BY30" s="2075"/>
      <c r="BZ30" s="2075"/>
      <c r="CA30" s="2075"/>
      <c r="CB30" s="2075"/>
      <c r="CC30" s="2075"/>
      <c r="CD30" s="2075"/>
      <c r="CE30" s="2075"/>
      <c r="CF30" s="2075"/>
      <c r="CG30" s="2075"/>
      <c r="CH30" s="2075"/>
      <c r="CI30" s="2075"/>
      <c r="CJ30" s="2075"/>
      <c r="CK30" s="2075"/>
      <c r="CL30" s="2075"/>
      <c r="CM30" s="2075"/>
      <c r="CN30" s="2075"/>
      <c r="CO30" s="2075"/>
      <c r="CP30" s="2075"/>
      <c r="CQ30" s="2075"/>
      <c r="CR30" s="2075"/>
      <c r="CS30" s="2075"/>
      <c r="CT30" s="2075"/>
      <c r="CU30" s="2075"/>
      <c r="CV30" s="2075"/>
      <c r="CW30" s="2075"/>
      <c r="CX30" s="2075"/>
      <c r="CY30" s="2075"/>
      <c r="CZ30" s="2075"/>
      <c r="DA30" s="2075"/>
      <c r="DB30" s="2075"/>
      <c r="DC30" s="2075"/>
      <c r="DD30" s="2075"/>
      <c r="DE30" s="2075"/>
      <c r="DF30" s="2075"/>
      <c r="DG30" s="2075"/>
      <c r="DH30" s="2075"/>
      <c r="DI30" s="2075"/>
      <c r="DJ30" s="2075"/>
      <c r="DK30" s="2075"/>
      <c r="DL30" s="2075"/>
      <c r="DM30" s="2075"/>
      <c r="DN30" s="2075"/>
      <c r="DO30" s="2075"/>
      <c r="DP30" s="2075"/>
      <c r="DQ30" s="2075"/>
      <c r="DR30" s="2075"/>
      <c r="DS30" s="2075"/>
      <c r="DT30" s="2075"/>
      <c r="DU30" s="2075"/>
      <c r="DV30" s="2075"/>
      <c r="DW30" s="2075"/>
      <c r="DX30" s="2075"/>
      <c r="DY30" s="2075"/>
      <c r="DZ30" s="2075"/>
      <c r="EA30" s="2075"/>
      <c r="EB30" s="2075"/>
      <c r="EC30" s="2075"/>
      <c r="ED30" s="2075"/>
      <c r="EE30" s="2075"/>
      <c r="EF30" s="2075"/>
      <c r="EG30" s="2075"/>
      <c r="EH30" s="2075"/>
      <c r="EI30" s="2075"/>
      <c r="EJ30" s="2075"/>
      <c r="EK30" s="2075"/>
      <c r="EL30" s="2075"/>
      <c r="EM30" s="2075"/>
      <c r="EN30" s="2075"/>
      <c r="EO30" s="2075"/>
      <c r="EP30" s="2075"/>
      <c r="EQ30" s="2075"/>
      <c r="ER30" s="2075"/>
      <c r="ES30" s="2075"/>
      <c r="ET30" s="2075"/>
      <c r="EU30" s="2075"/>
      <c r="EV30" s="2075"/>
      <c r="EW30" s="2075"/>
      <c r="EX30" s="2075"/>
      <c r="EY30" s="2075"/>
      <c r="EZ30" s="2075"/>
      <c r="FA30" s="2075"/>
      <c r="FB30" s="2075"/>
      <c r="FC30" s="2075"/>
      <c r="FD30" s="2075"/>
      <c r="FE30" s="2075"/>
      <c r="FF30" s="2075"/>
      <c r="FG30" s="2075"/>
      <c r="FH30" s="2075"/>
      <c r="FI30" s="2075"/>
      <c r="FJ30" s="2075"/>
      <c r="FK30" s="2075"/>
      <c r="FL30" s="2075"/>
      <c r="FM30" s="2075"/>
      <c r="FN30" s="2075"/>
      <c r="FO30" s="2075"/>
      <c r="FP30" s="2075"/>
      <c r="FQ30" s="2075"/>
      <c r="FR30" s="2075"/>
      <c r="FS30" s="2075"/>
      <c r="FT30" s="2075"/>
      <c r="FU30" s="2075"/>
      <c r="FV30" s="2075"/>
      <c r="FW30" s="2075"/>
      <c r="FX30" s="2075"/>
      <c r="FY30" s="2075"/>
      <c r="FZ30" s="2075"/>
      <c r="GA30" s="2075"/>
      <c r="GB30" s="2075"/>
      <c r="GC30" s="2075"/>
      <c r="GD30" s="2075"/>
      <c r="GE30" s="2075"/>
      <c r="GF30" s="2075"/>
      <c r="GG30" s="2075"/>
      <c r="GH30" s="2075"/>
      <c r="GI30" s="2075"/>
      <c r="GJ30" s="2075"/>
      <c r="GK30" s="2075"/>
      <c r="GL30" s="2075"/>
      <c r="GM30" s="2075"/>
      <c r="GN30" s="2075"/>
      <c r="GO30" s="2075"/>
      <c r="GP30" s="2075"/>
      <c r="GQ30" s="2075"/>
      <c r="GR30" s="2075"/>
      <c r="GS30" s="2075"/>
      <c r="GT30" s="2075"/>
      <c r="GU30" s="2075"/>
      <c r="GV30" s="2075"/>
      <c r="GW30" s="2075"/>
      <c r="GX30" s="2075"/>
      <c r="GY30" s="2075"/>
      <c r="GZ30" s="2075"/>
      <c r="HA30" s="2075"/>
      <c r="HB30" s="2075"/>
      <c r="HC30" s="2075"/>
      <c r="HD30" s="2075"/>
      <c r="HE30" s="2075"/>
      <c r="HF30" s="2075"/>
      <c r="HG30" s="2075"/>
      <c r="HH30" s="2075"/>
      <c r="HI30" s="2075"/>
      <c r="HJ30" s="2075"/>
      <c r="HK30" s="2075"/>
    </row>
    <row r="31" spans="1:219" x14ac:dyDescent="0.25">
      <c r="A31" s="240" t="s">
        <v>669</v>
      </c>
      <c r="B31" s="241"/>
      <c r="C31" s="242"/>
      <c r="D31" s="241"/>
      <c r="E31" s="269"/>
      <c r="F31" s="270"/>
      <c r="G31" s="280"/>
      <c r="H31" s="2074"/>
    </row>
    <row r="32" spans="1:219" x14ac:dyDescent="0.25">
      <c r="A32" s="240" t="s">
        <v>670</v>
      </c>
      <c r="B32" s="241"/>
      <c r="C32" s="242"/>
      <c r="D32" s="241"/>
      <c r="E32" s="269"/>
      <c r="F32" s="270"/>
      <c r="G32" s="280"/>
      <c r="H32" s="2074"/>
    </row>
    <row r="33" spans="1:219" x14ac:dyDescent="0.25">
      <c r="A33" s="240" t="s">
        <v>671</v>
      </c>
      <c r="B33" s="241"/>
      <c r="C33" s="242"/>
      <c r="D33" s="241"/>
      <c r="E33" s="242">
        <f>'PyG anuales'!B23</f>
        <v>646.31946839369516</v>
      </c>
      <c r="F33" s="241">
        <f>'PyG anuales'!D23</f>
        <v>1860.8104958238205</v>
      </c>
      <c r="G33" s="243">
        <f>'PyG anuales'!G23</f>
        <v>3239.7896967037746</v>
      </c>
      <c r="H33" s="2074" t="s">
        <v>695</v>
      </c>
    </row>
    <row r="34" spans="1:219" x14ac:dyDescent="0.25">
      <c r="A34" s="240" t="s">
        <v>672</v>
      </c>
      <c r="B34" s="241"/>
      <c r="C34" s="242"/>
      <c r="D34" s="241"/>
      <c r="E34" s="269"/>
      <c r="F34" s="270"/>
      <c r="G34" s="280"/>
      <c r="H34" s="2074"/>
    </row>
    <row r="35" spans="1:219" s="231" customFormat="1" ht="15.75" thickBot="1" x14ac:dyDescent="0.3">
      <c r="A35" s="248" t="s">
        <v>673</v>
      </c>
      <c r="B35" s="249">
        <f t="shared" ref="B35:G35" si="4">SUM(B31:B34)</f>
        <v>0</v>
      </c>
      <c r="C35" s="250">
        <f t="shared" si="4"/>
        <v>0</v>
      </c>
      <c r="D35" s="249">
        <f t="shared" si="4"/>
        <v>0</v>
      </c>
      <c r="E35" s="250">
        <f t="shared" si="4"/>
        <v>646.31946839369516</v>
      </c>
      <c r="F35" s="249">
        <f t="shared" si="4"/>
        <v>1860.8104958238205</v>
      </c>
      <c r="G35" s="251">
        <f t="shared" si="4"/>
        <v>3239.7896967037746</v>
      </c>
      <c r="H35" s="2074"/>
      <c r="I35" s="2075"/>
      <c r="J35" s="2075"/>
      <c r="K35" s="2075"/>
      <c r="L35" s="2075"/>
      <c r="M35" s="2075"/>
      <c r="N35" s="2075"/>
      <c r="O35" s="2075"/>
      <c r="P35" s="2075"/>
      <c r="Q35" s="2075"/>
      <c r="R35" s="2075"/>
      <c r="S35" s="2075"/>
      <c r="T35" s="2075"/>
      <c r="U35" s="2075"/>
      <c r="V35" s="2075"/>
      <c r="W35" s="2075"/>
      <c r="X35" s="2075"/>
      <c r="Y35" s="2075"/>
      <c r="Z35" s="2075"/>
      <c r="AA35" s="2075"/>
      <c r="AB35" s="2075"/>
      <c r="AC35" s="2075"/>
      <c r="AD35" s="2075"/>
      <c r="AE35" s="2075"/>
      <c r="AF35" s="2075"/>
      <c r="AG35" s="2075"/>
      <c r="AH35" s="2075"/>
      <c r="AI35" s="2075"/>
      <c r="AJ35" s="2075"/>
      <c r="AK35" s="2075"/>
      <c r="AL35" s="2075"/>
      <c r="AM35" s="2075"/>
      <c r="AN35" s="2075"/>
      <c r="AO35" s="2075"/>
      <c r="AP35" s="2075"/>
      <c r="AQ35" s="2075"/>
      <c r="AR35" s="2075"/>
      <c r="AS35" s="2075"/>
      <c r="AT35" s="2075"/>
      <c r="AU35" s="2075"/>
      <c r="AV35" s="2075"/>
      <c r="AW35" s="2075"/>
      <c r="AX35" s="2075"/>
      <c r="AY35" s="2075"/>
      <c r="AZ35" s="2075"/>
      <c r="BA35" s="2075"/>
      <c r="BB35" s="2075"/>
      <c r="BC35" s="2075"/>
      <c r="BD35" s="2075"/>
      <c r="BE35" s="2075"/>
      <c r="BF35" s="2075"/>
      <c r="BG35" s="2075"/>
      <c r="BH35" s="2075"/>
      <c r="BI35" s="2075"/>
      <c r="BJ35" s="2075"/>
      <c r="BK35" s="2075"/>
      <c r="BL35" s="2075"/>
      <c r="BM35" s="2075"/>
      <c r="BN35" s="2075"/>
      <c r="BO35" s="2075"/>
      <c r="BP35" s="2075"/>
      <c r="BQ35" s="2075"/>
      <c r="BR35" s="2075"/>
      <c r="BS35" s="2075"/>
      <c r="BT35" s="2075"/>
      <c r="BU35" s="2075"/>
      <c r="BV35" s="2075"/>
      <c r="BW35" s="2075"/>
      <c r="BX35" s="2075"/>
      <c r="BY35" s="2075"/>
      <c r="BZ35" s="2075"/>
      <c r="CA35" s="2075"/>
      <c r="CB35" s="2075"/>
      <c r="CC35" s="2075"/>
      <c r="CD35" s="2075"/>
      <c r="CE35" s="2075"/>
      <c r="CF35" s="2075"/>
      <c r="CG35" s="2075"/>
      <c r="CH35" s="2075"/>
      <c r="CI35" s="2075"/>
      <c r="CJ35" s="2075"/>
      <c r="CK35" s="2075"/>
      <c r="CL35" s="2075"/>
      <c r="CM35" s="2075"/>
      <c r="CN35" s="2075"/>
      <c r="CO35" s="2075"/>
      <c r="CP35" s="2075"/>
      <c r="CQ35" s="2075"/>
      <c r="CR35" s="2075"/>
      <c r="CS35" s="2075"/>
      <c r="CT35" s="2075"/>
      <c r="CU35" s="2075"/>
      <c r="CV35" s="2075"/>
      <c r="CW35" s="2075"/>
      <c r="CX35" s="2075"/>
      <c r="CY35" s="2075"/>
      <c r="CZ35" s="2075"/>
      <c r="DA35" s="2075"/>
      <c r="DB35" s="2075"/>
      <c r="DC35" s="2075"/>
      <c r="DD35" s="2075"/>
      <c r="DE35" s="2075"/>
      <c r="DF35" s="2075"/>
      <c r="DG35" s="2075"/>
      <c r="DH35" s="2075"/>
      <c r="DI35" s="2075"/>
      <c r="DJ35" s="2075"/>
      <c r="DK35" s="2075"/>
      <c r="DL35" s="2075"/>
      <c r="DM35" s="2075"/>
      <c r="DN35" s="2075"/>
      <c r="DO35" s="2075"/>
      <c r="DP35" s="2075"/>
      <c r="DQ35" s="2075"/>
      <c r="DR35" s="2075"/>
      <c r="DS35" s="2075"/>
      <c r="DT35" s="2075"/>
      <c r="DU35" s="2075"/>
      <c r="DV35" s="2075"/>
      <c r="DW35" s="2075"/>
      <c r="DX35" s="2075"/>
      <c r="DY35" s="2075"/>
      <c r="DZ35" s="2075"/>
      <c r="EA35" s="2075"/>
      <c r="EB35" s="2075"/>
      <c r="EC35" s="2075"/>
      <c r="ED35" s="2075"/>
      <c r="EE35" s="2075"/>
      <c r="EF35" s="2075"/>
      <c r="EG35" s="2075"/>
      <c r="EH35" s="2075"/>
      <c r="EI35" s="2075"/>
      <c r="EJ35" s="2075"/>
      <c r="EK35" s="2075"/>
      <c r="EL35" s="2075"/>
      <c r="EM35" s="2075"/>
      <c r="EN35" s="2075"/>
      <c r="EO35" s="2075"/>
      <c r="EP35" s="2075"/>
      <c r="EQ35" s="2075"/>
      <c r="ER35" s="2075"/>
      <c r="ES35" s="2075"/>
      <c r="ET35" s="2075"/>
      <c r="EU35" s="2075"/>
      <c r="EV35" s="2075"/>
      <c r="EW35" s="2075"/>
      <c r="EX35" s="2075"/>
      <c r="EY35" s="2075"/>
      <c r="EZ35" s="2075"/>
      <c r="FA35" s="2075"/>
      <c r="FB35" s="2075"/>
      <c r="FC35" s="2075"/>
      <c r="FD35" s="2075"/>
      <c r="FE35" s="2075"/>
      <c r="FF35" s="2075"/>
      <c r="FG35" s="2075"/>
      <c r="FH35" s="2075"/>
      <c r="FI35" s="2075"/>
      <c r="FJ35" s="2075"/>
      <c r="FK35" s="2075"/>
      <c r="FL35" s="2075"/>
      <c r="FM35" s="2075"/>
      <c r="FN35" s="2075"/>
      <c r="FO35" s="2075"/>
      <c r="FP35" s="2075"/>
      <c r="FQ35" s="2075"/>
      <c r="FR35" s="2075"/>
      <c r="FS35" s="2075"/>
      <c r="FT35" s="2075"/>
      <c r="FU35" s="2075"/>
      <c r="FV35" s="2075"/>
      <c r="FW35" s="2075"/>
      <c r="FX35" s="2075"/>
      <c r="FY35" s="2075"/>
      <c r="FZ35" s="2075"/>
      <c r="GA35" s="2075"/>
      <c r="GB35" s="2075"/>
      <c r="GC35" s="2075"/>
      <c r="GD35" s="2075"/>
      <c r="GE35" s="2075"/>
      <c r="GF35" s="2075"/>
      <c r="GG35" s="2075"/>
      <c r="GH35" s="2075"/>
      <c r="GI35" s="2075"/>
      <c r="GJ35" s="2075"/>
      <c r="GK35" s="2075"/>
      <c r="GL35" s="2075"/>
      <c r="GM35" s="2075"/>
      <c r="GN35" s="2075"/>
      <c r="GO35" s="2075"/>
      <c r="GP35" s="2075"/>
      <c r="GQ35" s="2075"/>
      <c r="GR35" s="2075"/>
      <c r="GS35" s="2075"/>
      <c r="GT35" s="2075"/>
      <c r="GU35" s="2075"/>
      <c r="GV35" s="2075"/>
      <c r="GW35" s="2075"/>
      <c r="GX35" s="2075"/>
      <c r="GY35" s="2075"/>
      <c r="GZ35" s="2075"/>
      <c r="HA35" s="2075"/>
      <c r="HB35" s="2075"/>
      <c r="HC35" s="2075"/>
      <c r="HD35" s="2075"/>
      <c r="HE35" s="2075"/>
      <c r="HF35" s="2075"/>
      <c r="HG35" s="2075"/>
      <c r="HH35" s="2075"/>
      <c r="HI35" s="2075"/>
      <c r="HJ35" s="2075"/>
      <c r="HK35" s="2075"/>
    </row>
    <row r="36" spans="1:219" s="231" customFormat="1" ht="15.75" thickBot="1" x14ac:dyDescent="0.3">
      <c r="A36" s="233" t="s">
        <v>674</v>
      </c>
      <c r="B36" s="252"/>
      <c r="C36" s="253"/>
      <c r="D36" s="252"/>
      <c r="E36" s="271"/>
      <c r="F36" s="272"/>
      <c r="G36" s="281"/>
      <c r="H36" s="2074"/>
      <c r="I36" s="2075"/>
      <c r="J36" s="2075"/>
      <c r="K36" s="2075"/>
      <c r="L36" s="2075"/>
      <c r="M36" s="2075"/>
      <c r="N36" s="2075"/>
      <c r="O36" s="2075"/>
      <c r="P36" s="2075"/>
      <c r="Q36" s="2075"/>
      <c r="R36" s="2075"/>
      <c r="S36" s="2075"/>
      <c r="T36" s="2075"/>
      <c r="U36" s="2075"/>
      <c r="V36" s="2075"/>
      <c r="W36" s="2075"/>
      <c r="X36" s="2075"/>
      <c r="Y36" s="2075"/>
      <c r="Z36" s="2075"/>
      <c r="AA36" s="2075"/>
      <c r="AB36" s="2075"/>
      <c r="AC36" s="2075"/>
      <c r="AD36" s="2075"/>
      <c r="AE36" s="2075"/>
      <c r="AF36" s="2075"/>
      <c r="AG36" s="2075"/>
      <c r="AH36" s="2075"/>
      <c r="AI36" s="2075"/>
      <c r="AJ36" s="2075"/>
      <c r="AK36" s="2075"/>
      <c r="AL36" s="2075"/>
      <c r="AM36" s="2075"/>
      <c r="AN36" s="2075"/>
      <c r="AO36" s="2075"/>
      <c r="AP36" s="2075"/>
      <c r="AQ36" s="2075"/>
      <c r="AR36" s="2075"/>
      <c r="AS36" s="2075"/>
      <c r="AT36" s="2075"/>
      <c r="AU36" s="2075"/>
      <c r="AV36" s="2075"/>
      <c r="AW36" s="2075"/>
      <c r="AX36" s="2075"/>
      <c r="AY36" s="2075"/>
      <c r="AZ36" s="2075"/>
      <c r="BA36" s="2075"/>
      <c r="BB36" s="2075"/>
      <c r="BC36" s="2075"/>
      <c r="BD36" s="2075"/>
      <c r="BE36" s="2075"/>
      <c r="BF36" s="2075"/>
      <c r="BG36" s="2075"/>
      <c r="BH36" s="2075"/>
      <c r="BI36" s="2075"/>
      <c r="BJ36" s="2075"/>
      <c r="BK36" s="2075"/>
      <c r="BL36" s="2075"/>
      <c r="BM36" s="2075"/>
      <c r="BN36" s="2075"/>
      <c r="BO36" s="2075"/>
      <c r="BP36" s="2075"/>
      <c r="BQ36" s="2075"/>
      <c r="BR36" s="2075"/>
      <c r="BS36" s="2075"/>
      <c r="BT36" s="2075"/>
      <c r="BU36" s="2075"/>
      <c r="BV36" s="2075"/>
      <c r="BW36" s="2075"/>
      <c r="BX36" s="2075"/>
      <c r="BY36" s="2075"/>
      <c r="BZ36" s="2075"/>
      <c r="CA36" s="2075"/>
      <c r="CB36" s="2075"/>
      <c r="CC36" s="2075"/>
      <c r="CD36" s="2075"/>
      <c r="CE36" s="2075"/>
      <c r="CF36" s="2075"/>
      <c r="CG36" s="2075"/>
      <c r="CH36" s="2075"/>
      <c r="CI36" s="2075"/>
      <c r="CJ36" s="2075"/>
      <c r="CK36" s="2075"/>
      <c r="CL36" s="2075"/>
      <c r="CM36" s="2075"/>
      <c r="CN36" s="2075"/>
      <c r="CO36" s="2075"/>
      <c r="CP36" s="2075"/>
      <c r="CQ36" s="2075"/>
      <c r="CR36" s="2075"/>
      <c r="CS36" s="2075"/>
      <c r="CT36" s="2075"/>
      <c r="CU36" s="2075"/>
      <c r="CV36" s="2075"/>
      <c r="CW36" s="2075"/>
      <c r="CX36" s="2075"/>
      <c r="CY36" s="2075"/>
      <c r="CZ36" s="2075"/>
      <c r="DA36" s="2075"/>
      <c r="DB36" s="2075"/>
      <c r="DC36" s="2075"/>
      <c r="DD36" s="2075"/>
      <c r="DE36" s="2075"/>
      <c r="DF36" s="2075"/>
      <c r="DG36" s="2075"/>
      <c r="DH36" s="2075"/>
      <c r="DI36" s="2075"/>
      <c r="DJ36" s="2075"/>
      <c r="DK36" s="2075"/>
      <c r="DL36" s="2075"/>
      <c r="DM36" s="2075"/>
      <c r="DN36" s="2075"/>
      <c r="DO36" s="2075"/>
      <c r="DP36" s="2075"/>
      <c r="DQ36" s="2075"/>
      <c r="DR36" s="2075"/>
      <c r="DS36" s="2075"/>
      <c r="DT36" s="2075"/>
      <c r="DU36" s="2075"/>
      <c r="DV36" s="2075"/>
      <c r="DW36" s="2075"/>
      <c r="DX36" s="2075"/>
      <c r="DY36" s="2075"/>
      <c r="DZ36" s="2075"/>
      <c r="EA36" s="2075"/>
      <c r="EB36" s="2075"/>
      <c r="EC36" s="2075"/>
      <c r="ED36" s="2075"/>
      <c r="EE36" s="2075"/>
      <c r="EF36" s="2075"/>
      <c r="EG36" s="2075"/>
      <c r="EH36" s="2075"/>
      <c r="EI36" s="2075"/>
      <c r="EJ36" s="2075"/>
      <c r="EK36" s="2075"/>
      <c r="EL36" s="2075"/>
      <c r="EM36" s="2075"/>
      <c r="EN36" s="2075"/>
      <c r="EO36" s="2075"/>
      <c r="EP36" s="2075"/>
      <c r="EQ36" s="2075"/>
      <c r="ER36" s="2075"/>
      <c r="ES36" s="2075"/>
      <c r="ET36" s="2075"/>
      <c r="EU36" s="2075"/>
      <c r="EV36" s="2075"/>
      <c r="EW36" s="2075"/>
      <c r="EX36" s="2075"/>
      <c r="EY36" s="2075"/>
      <c r="EZ36" s="2075"/>
      <c r="FA36" s="2075"/>
      <c r="FB36" s="2075"/>
      <c r="FC36" s="2075"/>
      <c r="FD36" s="2075"/>
      <c r="FE36" s="2075"/>
      <c r="FF36" s="2075"/>
      <c r="FG36" s="2075"/>
      <c r="FH36" s="2075"/>
      <c r="FI36" s="2075"/>
      <c r="FJ36" s="2075"/>
      <c r="FK36" s="2075"/>
      <c r="FL36" s="2075"/>
      <c r="FM36" s="2075"/>
      <c r="FN36" s="2075"/>
      <c r="FO36" s="2075"/>
      <c r="FP36" s="2075"/>
      <c r="FQ36" s="2075"/>
      <c r="FR36" s="2075"/>
      <c r="FS36" s="2075"/>
      <c r="FT36" s="2075"/>
      <c r="FU36" s="2075"/>
      <c r="FV36" s="2075"/>
      <c r="FW36" s="2075"/>
      <c r="FX36" s="2075"/>
      <c r="FY36" s="2075"/>
      <c r="FZ36" s="2075"/>
      <c r="GA36" s="2075"/>
      <c r="GB36" s="2075"/>
      <c r="GC36" s="2075"/>
      <c r="GD36" s="2075"/>
      <c r="GE36" s="2075"/>
      <c r="GF36" s="2075"/>
      <c r="GG36" s="2075"/>
      <c r="GH36" s="2075"/>
      <c r="GI36" s="2075"/>
      <c r="GJ36" s="2075"/>
      <c r="GK36" s="2075"/>
      <c r="GL36" s="2075"/>
      <c r="GM36" s="2075"/>
      <c r="GN36" s="2075"/>
      <c r="GO36" s="2075"/>
      <c r="GP36" s="2075"/>
      <c r="GQ36" s="2075"/>
      <c r="GR36" s="2075"/>
      <c r="GS36" s="2075"/>
      <c r="GT36" s="2075"/>
      <c r="GU36" s="2075"/>
      <c r="GV36" s="2075"/>
      <c r="GW36" s="2075"/>
      <c r="GX36" s="2075"/>
      <c r="GY36" s="2075"/>
      <c r="GZ36" s="2075"/>
      <c r="HA36" s="2075"/>
      <c r="HB36" s="2075"/>
      <c r="HC36" s="2075"/>
      <c r="HD36" s="2075"/>
      <c r="HE36" s="2075"/>
      <c r="HF36" s="2075"/>
      <c r="HG36" s="2075"/>
      <c r="HH36" s="2075"/>
      <c r="HI36" s="2075"/>
      <c r="HJ36" s="2075"/>
      <c r="HK36" s="2075"/>
    </row>
    <row r="37" spans="1:219" s="231" customFormat="1" ht="15.75" thickBot="1" x14ac:dyDescent="0.3">
      <c r="A37" s="248" t="s">
        <v>675</v>
      </c>
      <c r="B37" s="257"/>
      <c r="C37" s="258"/>
      <c r="D37" s="257"/>
      <c r="E37" s="285"/>
      <c r="F37" s="284"/>
      <c r="G37" s="286"/>
      <c r="H37" s="2074"/>
      <c r="I37" s="2075"/>
      <c r="J37" s="2075"/>
      <c r="K37" s="2075"/>
      <c r="L37" s="2075"/>
      <c r="M37" s="2075"/>
      <c r="N37" s="2075"/>
      <c r="O37" s="2075"/>
      <c r="P37" s="2075"/>
      <c r="Q37" s="2075"/>
      <c r="R37" s="2075"/>
      <c r="S37" s="2075"/>
      <c r="T37" s="2075"/>
      <c r="U37" s="2075"/>
      <c r="V37" s="2075"/>
      <c r="W37" s="2075"/>
      <c r="X37" s="2075"/>
      <c r="Y37" s="2075"/>
      <c r="Z37" s="2075"/>
      <c r="AA37" s="2075"/>
      <c r="AB37" s="2075"/>
      <c r="AC37" s="2075"/>
      <c r="AD37" s="2075"/>
      <c r="AE37" s="2075"/>
      <c r="AF37" s="2075"/>
      <c r="AG37" s="2075"/>
      <c r="AH37" s="2075"/>
      <c r="AI37" s="2075"/>
      <c r="AJ37" s="2075"/>
      <c r="AK37" s="2075"/>
      <c r="AL37" s="2075"/>
      <c r="AM37" s="2075"/>
      <c r="AN37" s="2075"/>
      <c r="AO37" s="2075"/>
      <c r="AP37" s="2075"/>
      <c r="AQ37" s="2075"/>
      <c r="AR37" s="2075"/>
      <c r="AS37" s="2075"/>
      <c r="AT37" s="2075"/>
      <c r="AU37" s="2075"/>
      <c r="AV37" s="2075"/>
      <c r="AW37" s="2075"/>
      <c r="AX37" s="2075"/>
      <c r="AY37" s="2075"/>
      <c r="AZ37" s="2075"/>
      <c r="BA37" s="2075"/>
      <c r="BB37" s="2075"/>
      <c r="BC37" s="2075"/>
      <c r="BD37" s="2075"/>
      <c r="BE37" s="2075"/>
      <c r="BF37" s="2075"/>
      <c r="BG37" s="2075"/>
      <c r="BH37" s="2075"/>
      <c r="BI37" s="2075"/>
      <c r="BJ37" s="2075"/>
      <c r="BK37" s="2075"/>
      <c r="BL37" s="2075"/>
      <c r="BM37" s="2075"/>
      <c r="BN37" s="2075"/>
      <c r="BO37" s="2075"/>
      <c r="BP37" s="2075"/>
      <c r="BQ37" s="2075"/>
      <c r="BR37" s="2075"/>
      <c r="BS37" s="2075"/>
      <c r="BT37" s="2075"/>
      <c r="BU37" s="2075"/>
      <c r="BV37" s="2075"/>
      <c r="BW37" s="2075"/>
      <c r="BX37" s="2075"/>
      <c r="BY37" s="2075"/>
      <c r="BZ37" s="2075"/>
      <c r="CA37" s="2075"/>
      <c r="CB37" s="2075"/>
      <c r="CC37" s="2075"/>
      <c r="CD37" s="2075"/>
      <c r="CE37" s="2075"/>
      <c r="CF37" s="2075"/>
      <c r="CG37" s="2075"/>
      <c r="CH37" s="2075"/>
      <c r="CI37" s="2075"/>
      <c r="CJ37" s="2075"/>
      <c r="CK37" s="2075"/>
      <c r="CL37" s="2075"/>
      <c r="CM37" s="2075"/>
      <c r="CN37" s="2075"/>
      <c r="CO37" s="2075"/>
      <c r="CP37" s="2075"/>
      <c r="CQ37" s="2075"/>
      <c r="CR37" s="2075"/>
      <c r="CS37" s="2075"/>
      <c r="CT37" s="2075"/>
      <c r="CU37" s="2075"/>
      <c r="CV37" s="2075"/>
      <c r="CW37" s="2075"/>
      <c r="CX37" s="2075"/>
      <c r="CY37" s="2075"/>
      <c r="CZ37" s="2075"/>
      <c r="DA37" s="2075"/>
      <c r="DB37" s="2075"/>
      <c r="DC37" s="2075"/>
      <c r="DD37" s="2075"/>
      <c r="DE37" s="2075"/>
      <c r="DF37" s="2075"/>
      <c r="DG37" s="2075"/>
      <c r="DH37" s="2075"/>
      <c r="DI37" s="2075"/>
      <c r="DJ37" s="2075"/>
      <c r="DK37" s="2075"/>
      <c r="DL37" s="2075"/>
      <c r="DM37" s="2075"/>
      <c r="DN37" s="2075"/>
      <c r="DO37" s="2075"/>
      <c r="DP37" s="2075"/>
      <c r="DQ37" s="2075"/>
      <c r="DR37" s="2075"/>
      <c r="DS37" s="2075"/>
      <c r="DT37" s="2075"/>
      <c r="DU37" s="2075"/>
      <c r="DV37" s="2075"/>
      <c r="DW37" s="2075"/>
      <c r="DX37" s="2075"/>
      <c r="DY37" s="2075"/>
      <c r="DZ37" s="2075"/>
      <c r="EA37" s="2075"/>
      <c r="EB37" s="2075"/>
      <c r="EC37" s="2075"/>
      <c r="ED37" s="2075"/>
      <c r="EE37" s="2075"/>
      <c r="EF37" s="2075"/>
      <c r="EG37" s="2075"/>
      <c r="EH37" s="2075"/>
      <c r="EI37" s="2075"/>
      <c r="EJ37" s="2075"/>
      <c r="EK37" s="2075"/>
      <c r="EL37" s="2075"/>
      <c r="EM37" s="2075"/>
      <c r="EN37" s="2075"/>
      <c r="EO37" s="2075"/>
      <c r="EP37" s="2075"/>
      <c r="EQ37" s="2075"/>
      <c r="ER37" s="2075"/>
      <c r="ES37" s="2075"/>
      <c r="ET37" s="2075"/>
      <c r="EU37" s="2075"/>
      <c r="EV37" s="2075"/>
      <c r="EW37" s="2075"/>
      <c r="EX37" s="2075"/>
      <c r="EY37" s="2075"/>
      <c r="EZ37" s="2075"/>
      <c r="FA37" s="2075"/>
      <c r="FB37" s="2075"/>
      <c r="FC37" s="2075"/>
      <c r="FD37" s="2075"/>
      <c r="FE37" s="2075"/>
      <c r="FF37" s="2075"/>
      <c r="FG37" s="2075"/>
      <c r="FH37" s="2075"/>
      <c r="FI37" s="2075"/>
      <c r="FJ37" s="2075"/>
      <c r="FK37" s="2075"/>
      <c r="FL37" s="2075"/>
      <c r="FM37" s="2075"/>
      <c r="FN37" s="2075"/>
      <c r="FO37" s="2075"/>
      <c r="FP37" s="2075"/>
      <c r="FQ37" s="2075"/>
      <c r="FR37" s="2075"/>
      <c r="FS37" s="2075"/>
      <c r="FT37" s="2075"/>
      <c r="FU37" s="2075"/>
      <c r="FV37" s="2075"/>
      <c r="FW37" s="2075"/>
      <c r="FX37" s="2075"/>
      <c r="FY37" s="2075"/>
      <c r="FZ37" s="2075"/>
      <c r="GA37" s="2075"/>
      <c r="GB37" s="2075"/>
      <c r="GC37" s="2075"/>
      <c r="GD37" s="2075"/>
      <c r="GE37" s="2075"/>
      <c r="GF37" s="2075"/>
      <c r="GG37" s="2075"/>
      <c r="GH37" s="2075"/>
      <c r="GI37" s="2075"/>
      <c r="GJ37" s="2075"/>
      <c r="GK37" s="2075"/>
      <c r="GL37" s="2075"/>
      <c r="GM37" s="2075"/>
      <c r="GN37" s="2075"/>
      <c r="GO37" s="2075"/>
      <c r="GP37" s="2075"/>
      <c r="GQ37" s="2075"/>
      <c r="GR37" s="2075"/>
      <c r="GS37" s="2075"/>
      <c r="GT37" s="2075"/>
      <c r="GU37" s="2075"/>
      <c r="GV37" s="2075"/>
      <c r="GW37" s="2075"/>
      <c r="GX37" s="2075"/>
      <c r="GY37" s="2075"/>
      <c r="GZ37" s="2075"/>
      <c r="HA37" s="2075"/>
      <c r="HB37" s="2075"/>
      <c r="HC37" s="2075"/>
      <c r="HD37" s="2075"/>
      <c r="HE37" s="2075"/>
      <c r="HF37" s="2075"/>
      <c r="HG37" s="2075"/>
      <c r="HH37" s="2075"/>
      <c r="HI37" s="2075"/>
      <c r="HJ37" s="2075"/>
      <c r="HK37" s="2075"/>
    </row>
    <row r="38" spans="1:219" s="231" customFormat="1" ht="15.75" thickBot="1" x14ac:dyDescent="0.3">
      <c r="A38" s="233" t="s">
        <v>676</v>
      </c>
      <c r="B38" s="252"/>
      <c r="C38" s="253"/>
      <c r="D38" s="252"/>
      <c r="E38" s="271"/>
      <c r="F38" s="272"/>
      <c r="G38" s="281"/>
      <c r="H38" s="2074"/>
      <c r="I38" s="2075"/>
      <c r="J38" s="2075"/>
      <c r="K38" s="2075"/>
      <c r="L38" s="2075"/>
      <c r="M38" s="2075"/>
      <c r="N38" s="2075"/>
      <c r="O38" s="2075"/>
      <c r="P38" s="2075"/>
      <c r="Q38" s="2075"/>
      <c r="R38" s="2075"/>
      <c r="S38" s="2075"/>
      <c r="T38" s="2075"/>
      <c r="U38" s="2075"/>
      <c r="V38" s="2075"/>
      <c r="W38" s="2075"/>
      <c r="X38" s="2075"/>
      <c r="Y38" s="2075"/>
      <c r="Z38" s="2075"/>
      <c r="AA38" s="2075"/>
      <c r="AB38" s="2075"/>
      <c r="AC38" s="2075"/>
      <c r="AD38" s="2075"/>
      <c r="AE38" s="2075"/>
      <c r="AF38" s="2075"/>
      <c r="AG38" s="2075"/>
      <c r="AH38" s="2075"/>
      <c r="AI38" s="2075"/>
      <c r="AJ38" s="2075"/>
      <c r="AK38" s="2075"/>
      <c r="AL38" s="2075"/>
      <c r="AM38" s="2075"/>
      <c r="AN38" s="2075"/>
      <c r="AO38" s="2075"/>
      <c r="AP38" s="2075"/>
      <c r="AQ38" s="2075"/>
      <c r="AR38" s="2075"/>
      <c r="AS38" s="2075"/>
      <c r="AT38" s="2075"/>
      <c r="AU38" s="2075"/>
      <c r="AV38" s="2075"/>
      <c r="AW38" s="2075"/>
      <c r="AX38" s="2075"/>
      <c r="AY38" s="2075"/>
      <c r="AZ38" s="2075"/>
      <c r="BA38" s="2075"/>
      <c r="BB38" s="2075"/>
      <c r="BC38" s="2075"/>
      <c r="BD38" s="2075"/>
      <c r="BE38" s="2075"/>
      <c r="BF38" s="2075"/>
      <c r="BG38" s="2075"/>
      <c r="BH38" s="2075"/>
      <c r="BI38" s="2075"/>
      <c r="BJ38" s="2075"/>
      <c r="BK38" s="2075"/>
      <c r="BL38" s="2075"/>
      <c r="BM38" s="2075"/>
      <c r="BN38" s="2075"/>
      <c r="BO38" s="2075"/>
      <c r="BP38" s="2075"/>
      <c r="BQ38" s="2075"/>
      <c r="BR38" s="2075"/>
      <c r="BS38" s="2075"/>
      <c r="BT38" s="2075"/>
      <c r="BU38" s="2075"/>
      <c r="BV38" s="2075"/>
      <c r="BW38" s="2075"/>
      <c r="BX38" s="2075"/>
      <c r="BY38" s="2075"/>
      <c r="BZ38" s="2075"/>
      <c r="CA38" s="2075"/>
      <c r="CB38" s="2075"/>
      <c r="CC38" s="2075"/>
      <c r="CD38" s="2075"/>
      <c r="CE38" s="2075"/>
      <c r="CF38" s="2075"/>
      <c r="CG38" s="2075"/>
      <c r="CH38" s="2075"/>
      <c r="CI38" s="2075"/>
      <c r="CJ38" s="2075"/>
      <c r="CK38" s="2075"/>
      <c r="CL38" s="2075"/>
      <c r="CM38" s="2075"/>
      <c r="CN38" s="2075"/>
      <c r="CO38" s="2075"/>
      <c r="CP38" s="2075"/>
      <c r="CQ38" s="2075"/>
      <c r="CR38" s="2075"/>
      <c r="CS38" s="2075"/>
      <c r="CT38" s="2075"/>
      <c r="CU38" s="2075"/>
      <c r="CV38" s="2075"/>
      <c r="CW38" s="2075"/>
      <c r="CX38" s="2075"/>
      <c r="CY38" s="2075"/>
      <c r="CZ38" s="2075"/>
      <c r="DA38" s="2075"/>
      <c r="DB38" s="2075"/>
      <c r="DC38" s="2075"/>
      <c r="DD38" s="2075"/>
      <c r="DE38" s="2075"/>
      <c r="DF38" s="2075"/>
      <c r="DG38" s="2075"/>
      <c r="DH38" s="2075"/>
      <c r="DI38" s="2075"/>
      <c r="DJ38" s="2075"/>
      <c r="DK38" s="2075"/>
      <c r="DL38" s="2075"/>
      <c r="DM38" s="2075"/>
      <c r="DN38" s="2075"/>
      <c r="DO38" s="2075"/>
      <c r="DP38" s="2075"/>
      <c r="DQ38" s="2075"/>
      <c r="DR38" s="2075"/>
      <c r="DS38" s="2075"/>
      <c r="DT38" s="2075"/>
      <c r="DU38" s="2075"/>
      <c r="DV38" s="2075"/>
      <c r="DW38" s="2075"/>
      <c r="DX38" s="2075"/>
      <c r="DY38" s="2075"/>
      <c r="DZ38" s="2075"/>
      <c r="EA38" s="2075"/>
      <c r="EB38" s="2075"/>
      <c r="EC38" s="2075"/>
      <c r="ED38" s="2075"/>
      <c r="EE38" s="2075"/>
      <c r="EF38" s="2075"/>
      <c r="EG38" s="2075"/>
      <c r="EH38" s="2075"/>
      <c r="EI38" s="2075"/>
      <c r="EJ38" s="2075"/>
      <c r="EK38" s="2075"/>
      <c r="EL38" s="2075"/>
      <c r="EM38" s="2075"/>
      <c r="EN38" s="2075"/>
      <c r="EO38" s="2075"/>
      <c r="EP38" s="2075"/>
      <c r="EQ38" s="2075"/>
      <c r="ER38" s="2075"/>
      <c r="ES38" s="2075"/>
      <c r="ET38" s="2075"/>
      <c r="EU38" s="2075"/>
      <c r="EV38" s="2075"/>
      <c r="EW38" s="2075"/>
      <c r="EX38" s="2075"/>
      <c r="EY38" s="2075"/>
      <c r="EZ38" s="2075"/>
      <c r="FA38" s="2075"/>
      <c r="FB38" s="2075"/>
      <c r="FC38" s="2075"/>
      <c r="FD38" s="2075"/>
      <c r="FE38" s="2075"/>
      <c r="FF38" s="2075"/>
      <c r="FG38" s="2075"/>
      <c r="FH38" s="2075"/>
      <c r="FI38" s="2075"/>
      <c r="FJ38" s="2075"/>
      <c r="FK38" s="2075"/>
      <c r="FL38" s="2075"/>
      <c r="FM38" s="2075"/>
      <c r="FN38" s="2075"/>
      <c r="FO38" s="2075"/>
      <c r="FP38" s="2075"/>
      <c r="FQ38" s="2075"/>
      <c r="FR38" s="2075"/>
      <c r="FS38" s="2075"/>
      <c r="FT38" s="2075"/>
      <c r="FU38" s="2075"/>
      <c r="FV38" s="2075"/>
      <c r="FW38" s="2075"/>
      <c r="FX38" s="2075"/>
      <c r="FY38" s="2075"/>
      <c r="FZ38" s="2075"/>
      <c r="GA38" s="2075"/>
      <c r="GB38" s="2075"/>
      <c r="GC38" s="2075"/>
      <c r="GD38" s="2075"/>
      <c r="GE38" s="2075"/>
      <c r="GF38" s="2075"/>
      <c r="GG38" s="2075"/>
      <c r="GH38" s="2075"/>
      <c r="GI38" s="2075"/>
      <c r="GJ38" s="2075"/>
      <c r="GK38" s="2075"/>
      <c r="GL38" s="2075"/>
      <c r="GM38" s="2075"/>
      <c r="GN38" s="2075"/>
      <c r="GO38" s="2075"/>
      <c r="GP38" s="2075"/>
      <c r="GQ38" s="2075"/>
      <c r="GR38" s="2075"/>
      <c r="GS38" s="2075"/>
      <c r="GT38" s="2075"/>
      <c r="GU38" s="2075"/>
      <c r="GV38" s="2075"/>
      <c r="GW38" s="2075"/>
      <c r="GX38" s="2075"/>
      <c r="GY38" s="2075"/>
      <c r="GZ38" s="2075"/>
      <c r="HA38" s="2075"/>
      <c r="HB38" s="2075"/>
      <c r="HC38" s="2075"/>
      <c r="HD38" s="2075"/>
      <c r="HE38" s="2075"/>
      <c r="HF38" s="2075"/>
      <c r="HG38" s="2075"/>
      <c r="HH38" s="2075"/>
      <c r="HI38" s="2075"/>
      <c r="HJ38" s="2075"/>
      <c r="HK38" s="2075"/>
    </row>
    <row r="39" spans="1:219" s="231" customFormat="1" ht="15.75" thickBot="1" x14ac:dyDescent="0.3">
      <c r="A39" s="248" t="s">
        <v>677</v>
      </c>
      <c r="B39" s="257"/>
      <c r="C39" s="258"/>
      <c r="D39" s="257"/>
      <c r="E39" s="285"/>
      <c r="F39" s="284"/>
      <c r="G39" s="286"/>
      <c r="H39" s="2074"/>
      <c r="I39" s="2075"/>
      <c r="J39" s="2075"/>
      <c r="K39" s="2075"/>
      <c r="L39" s="2075"/>
      <c r="M39" s="2075"/>
      <c r="N39" s="2075"/>
      <c r="O39" s="2075"/>
      <c r="P39" s="2075"/>
      <c r="Q39" s="2075"/>
      <c r="R39" s="2075"/>
      <c r="S39" s="2075"/>
      <c r="T39" s="2075"/>
      <c r="U39" s="2075"/>
      <c r="V39" s="2075"/>
      <c r="W39" s="2075"/>
      <c r="X39" s="2075"/>
      <c r="Y39" s="2075"/>
      <c r="Z39" s="2075"/>
      <c r="AA39" s="2075"/>
      <c r="AB39" s="2075"/>
      <c r="AC39" s="2075"/>
      <c r="AD39" s="2075"/>
      <c r="AE39" s="2075"/>
      <c r="AF39" s="2075"/>
      <c r="AG39" s="2075"/>
      <c r="AH39" s="2075"/>
      <c r="AI39" s="2075"/>
      <c r="AJ39" s="2075"/>
      <c r="AK39" s="2075"/>
      <c r="AL39" s="2075"/>
      <c r="AM39" s="2075"/>
      <c r="AN39" s="2075"/>
      <c r="AO39" s="2075"/>
      <c r="AP39" s="2075"/>
      <c r="AQ39" s="2075"/>
      <c r="AR39" s="2075"/>
      <c r="AS39" s="2075"/>
      <c r="AT39" s="2075"/>
      <c r="AU39" s="2075"/>
      <c r="AV39" s="2075"/>
      <c r="AW39" s="2075"/>
      <c r="AX39" s="2075"/>
      <c r="AY39" s="2075"/>
      <c r="AZ39" s="2075"/>
      <c r="BA39" s="2075"/>
      <c r="BB39" s="2075"/>
      <c r="BC39" s="2075"/>
      <c r="BD39" s="2075"/>
      <c r="BE39" s="2075"/>
      <c r="BF39" s="2075"/>
      <c r="BG39" s="2075"/>
      <c r="BH39" s="2075"/>
      <c r="BI39" s="2075"/>
      <c r="BJ39" s="2075"/>
      <c r="BK39" s="2075"/>
      <c r="BL39" s="2075"/>
      <c r="BM39" s="2075"/>
      <c r="BN39" s="2075"/>
      <c r="BO39" s="2075"/>
      <c r="BP39" s="2075"/>
      <c r="BQ39" s="2075"/>
      <c r="BR39" s="2075"/>
      <c r="BS39" s="2075"/>
      <c r="BT39" s="2075"/>
      <c r="BU39" s="2075"/>
      <c r="BV39" s="2075"/>
      <c r="BW39" s="2075"/>
      <c r="BX39" s="2075"/>
      <c r="BY39" s="2075"/>
      <c r="BZ39" s="2075"/>
      <c r="CA39" s="2075"/>
      <c r="CB39" s="2075"/>
      <c r="CC39" s="2075"/>
      <c r="CD39" s="2075"/>
      <c r="CE39" s="2075"/>
      <c r="CF39" s="2075"/>
      <c r="CG39" s="2075"/>
      <c r="CH39" s="2075"/>
      <c r="CI39" s="2075"/>
      <c r="CJ39" s="2075"/>
      <c r="CK39" s="2075"/>
      <c r="CL39" s="2075"/>
      <c r="CM39" s="2075"/>
      <c r="CN39" s="2075"/>
      <c r="CO39" s="2075"/>
      <c r="CP39" s="2075"/>
      <c r="CQ39" s="2075"/>
      <c r="CR39" s="2075"/>
      <c r="CS39" s="2075"/>
      <c r="CT39" s="2075"/>
      <c r="CU39" s="2075"/>
      <c r="CV39" s="2075"/>
      <c r="CW39" s="2075"/>
      <c r="CX39" s="2075"/>
      <c r="CY39" s="2075"/>
      <c r="CZ39" s="2075"/>
      <c r="DA39" s="2075"/>
      <c r="DB39" s="2075"/>
      <c r="DC39" s="2075"/>
      <c r="DD39" s="2075"/>
      <c r="DE39" s="2075"/>
      <c r="DF39" s="2075"/>
      <c r="DG39" s="2075"/>
      <c r="DH39" s="2075"/>
      <c r="DI39" s="2075"/>
      <c r="DJ39" s="2075"/>
      <c r="DK39" s="2075"/>
      <c r="DL39" s="2075"/>
      <c r="DM39" s="2075"/>
      <c r="DN39" s="2075"/>
      <c r="DO39" s="2075"/>
      <c r="DP39" s="2075"/>
      <c r="DQ39" s="2075"/>
      <c r="DR39" s="2075"/>
      <c r="DS39" s="2075"/>
      <c r="DT39" s="2075"/>
      <c r="DU39" s="2075"/>
      <c r="DV39" s="2075"/>
      <c r="DW39" s="2075"/>
      <c r="DX39" s="2075"/>
      <c r="DY39" s="2075"/>
      <c r="DZ39" s="2075"/>
      <c r="EA39" s="2075"/>
      <c r="EB39" s="2075"/>
      <c r="EC39" s="2075"/>
      <c r="ED39" s="2075"/>
      <c r="EE39" s="2075"/>
      <c r="EF39" s="2075"/>
      <c r="EG39" s="2075"/>
      <c r="EH39" s="2075"/>
      <c r="EI39" s="2075"/>
      <c r="EJ39" s="2075"/>
      <c r="EK39" s="2075"/>
      <c r="EL39" s="2075"/>
      <c r="EM39" s="2075"/>
      <c r="EN39" s="2075"/>
      <c r="EO39" s="2075"/>
      <c r="EP39" s="2075"/>
      <c r="EQ39" s="2075"/>
      <c r="ER39" s="2075"/>
      <c r="ES39" s="2075"/>
      <c r="ET39" s="2075"/>
      <c r="EU39" s="2075"/>
      <c r="EV39" s="2075"/>
      <c r="EW39" s="2075"/>
      <c r="EX39" s="2075"/>
      <c r="EY39" s="2075"/>
      <c r="EZ39" s="2075"/>
      <c r="FA39" s="2075"/>
      <c r="FB39" s="2075"/>
      <c r="FC39" s="2075"/>
      <c r="FD39" s="2075"/>
      <c r="FE39" s="2075"/>
      <c r="FF39" s="2075"/>
      <c r="FG39" s="2075"/>
      <c r="FH39" s="2075"/>
      <c r="FI39" s="2075"/>
      <c r="FJ39" s="2075"/>
      <c r="FK39" s="2075"/>
      <c r="FL39" s="2075"/>
      <c r="FM39" s="2075"/>
      <c r="FN39" s="2075"/>
      <c r="FO39" s="2075"/>
      <c r="FP39" s="2075"/>
      <c r="FQ39" s="2075"/>
      <c r="FR39" s="2075"/>
      <c r="FS39" s="2075"/>
      <c r="FT39" s="2075"/>
      <c r="FU39" s="2075"/>
      <c r="FV39" s="2075"/>
      <c r="FW39" s="2075"/>
      <c r="FX39" s="2075"/>
      <c r="FY39" s="2075"/>
      <c r="FZ39" s="2075"/>
      <c r="GA39" s="2075"/>
      <c r="GB39" s="2075"/>
      <c r="GC39" s="2075"/>
      <c r="GD39" s="2075"/>
      <c r="GE39" s="2075"/>
      <c r="GF39" s="2075"/>
      <c r="GG39" s="2075"/>
      <c r="GH39" s="2075"/>
      <c r="GI39" s="2075"/>
      <c r="GJ39" s="2075"/>
      <c r="GK39" s="2075"/>
      <c r="GL39" s="2075"/>
      <c r="GM39" s="2075"/>
      <c r="GN39" s="2075"/>
      <c r="GO39" s="2075"/>
      <c r="GP39" s="2075"/>
      <c r="GQ39" s="2075"/>
      <c r="GR39" s="2075"/>
      <c r="GS39" s="2075"/>
      <c r="GT39" s="2075"/>
      <c r="GU39" s="2075"/>
      <c r="GV39" s="2075"/>
      <c r="GW39" s="2075"/>
      <c r="GX39" s="2075"/>
      <c r="GY39" s="2075"/>
      <c r="GZ39" s="2075"/>
      <c r="HA39" s="2075"/>
      <c r="HB39" s="2075"/>
      <c r="HC39" s="2075"/>
      <c r="HD39" s="2075"/>
      <c r="HE39" s="2075"/>
      <c r="HF39" s="2075"/>
      <c r="HG39" s="2075"/>
      <c r="HH39" s="2075"/>
      <c r="HI39" s="2075"/>
      <c r="HJ39" s="2075"/>
      <c r="HK39" s="2075"/>
    </row>
    <row r="40" spans="1:219" s="231" customFormat="1" ht="15.75" thickBot="1" x14ac:dyDescent="0.3">
      <c r="A40" s="233" t="s">
        <v>678</v>
      </c>
      <c r="B40" s="252"/>
      <c r="C40" s="253"/>
      <c r="D40" s="252"/>
      <c r="E40" s="271"/>
      <c r="F40" s="272"/>
      <c r="G40" s="281"/>
      <c r="H40" s="2074"/>
      <c r="I40" s="2075"/>
      <c r="J40" s="2075"/>
      <c r="K40" s="2075"/>
      <c r="L40" s="2075"/>
      <c r="M40" s="2075"/>
      <c r="N40" s="2075"/>
      <c r="O40" s="2075"/>
      <c r="P40" s="2075"/>
      <c r="Q40" s="2075"/>
      <c r="R40" s="2075"/>
      <c r="S40" s="2075"/>
      <c r="T40" s="2075"/>
      <c r="U40" s="2075"/>
      <c r="V40" s="2075"/>
      <c r="W40" s="2075"/>
      <c r="X40" s="2075"/>
      <c r="Y40" s="2075"/>
      <c r="Z40" s="2075"/>
      <c r="AA40" s="2075"/>
      <c r="AB40" s="2075"/>
      <c r="AC40" s="2075"/>
      <c r="AD40" s="2075"/>
      <c r="AE40" s="2075"/>
      <c r="AF40" s="2075"/>
      <c r="AG40" s="2075"/>
      <c r="AH40" s="2075"/>
      <c r="AI40" s="2075"/>
      <c r="AJ40" s="2075"/>
      <c r="AK40" s="2075"/>
      <c r="AL40" s="2075"/>
      <c r="AM40" s="2075"/>
      <c r="AN40" s="2075"/>
      <c r="AO40" s="2075"/>
      <c r="AP40" s="2075"/>
      <c r="AQ40" s="2075"/>
      <c r="AR40" s="2075"/>
      <c r="AS40" s="2075"/>
      <c r="AT40" s="2075"/>
      <c r="AU40" s="2075"/>
      <c r="AV40" s="2075"/>
      <c r="AW40" s="2075"/>
      <c r="AX40" s="2075"/>
      <c r="AY40" s="2075"/>
      <c r="AZ40" s="2075"/>
      <c r="BA40" s="2075"/>
      <c r="BB40" s="2075"/>
      <c r="BC40" s="2075"/>
      <c r="BD40" s="2075"/>
      <c r="BE40" s="2075"/>
      <c r="BF40" s="2075"/>
      <c r="BG40" s="2075"/>
      <c r="BH40" s="2075"/>
      <c r="BI40" s="2075"/>
      <c r="BJ40" s="2075"/>
      <c r="BK40" s="2075"/>
      <c r="BL40" s="2075"/>
      <c r="BM40" s="2075"/>
      <c r="BN40" s="2075"/>
      <c r="BO40" s="2075"/>
      <c r="BP40" s="2075"/>
      <c r="BQ40" s="2075"/>
      <c r="BR40" s="2075"/>
      <c r="BS40" s="2075"/>
      <c r="BT40" s="2075"/>
      <c r="BU40" s="2075"/>
      <c r="BV40" s="2075"/>
      <c r="BW40" s="2075"/>
      <c r="BX40" s="2075"/>
      <c r="BY40" s="2075"/>
      <c r="BZ40" s="2075"/>
      <c r="CA40" s="2075"/>
      <c r="CB40" s="2075"/>
      <c r="CC40" s="2075"/>
      <c r="CD40" s="2075"/>
      <c r="CE40" s="2075"/>
      <c r="CF40" s="2075"/>
      <c r="CG40" s="2075"/>
      <c r="CH40" s="2075"/>
      <c r="CI40" s="2075"/>
      <c r="CJ40" s="2075"/>
      <c r="CK40" s="2075"/>
      <c r="CL40" s="2075"/>
      <c r="CM40" s="2075"/>
      <c r="CN40" s="2075"/>
      <c r="CO40" s="2075"/>
      <c r="CP40" s="2075"/>
      <c r="CQ40" s="2075"/>
      <c r="CR40" s="2075"/>
      <c r="CS40" s="2075"/>
      <c r="CT40" s="2075"/>
      <c r="CU40" s="2075"/>
      <c r="CV40" s="2075"/>
      <c r="CW40" s="2075"/>
      <c r="CX40" s="2075"/>
      <c r="CY40" s="2075"/>
      <c r="CZ40" s="2075"/>
      <c r="DA40" s="2075"/>
      <c r="DB40" s="2075"/>
      <c r="DC40" s="2075"/>
      <c r="DD40" s="2075"/>
      <c r="DE40" s="2075"/>
      <c r="DF40" s="2075"/>
      <c r="DG40" s="2075"/>
      <c r="DH40" s="2075"/>
      <c r="DI40" s="2075"/>
      <c r="DJ40" s="2075"/>
      <c r="DK40" s="2075"/>
      <c r="DL40" s="2075"/>
      <c r="DM40" s="2075"/>
      <c r="DN40" s="2075"/>
      <c r="DO40" s="2075"/>
      <c r="DP40" s="2075"/>
      <c r="DQ40" s="2075"/>
      <c r="DR40" s="2075"/>
      <c r="DS40" s="2075"/>
      <c r="DT40" s="2075"/>
      <c r="DU40" s="2075"/>
      <c r="DV40" s="2075"/>
      <c r="DW40" s="2075"/>
      <c r="DX40" s="2075"/>
      <c r="DY40" s="2075"/>
      <c r="DZ40" s="2075"/>
      <c r="EA40" s="2075"/>
      <c r="EB40" s="2075"/>
      <c r="EC40" s="2075"/>
      <c r="ED40" s="2075"/>
      <c r="EE40" s="2075"/>
      <c r="EF40" s="2075"/>
      <c r="EG40" s="2075"/>
      <c r="EH40" s="2075"/>
      <c r="EI40" s="2075"/>
      <c r="EJ40" s="2075"/>
      <c r="EK40" s="2075"/>
      <c r="EL40" s="2075"/>
      <c r="EM40" s="2075"/>
      <c r="EN40" s="2075"/>
      <c r="EO40" s="2075"/>
      <c r="EP40" s="2075"/>
      <c r="EQ40" s="2075"/>
      <c r="ER40" s="2075"/>
      <c r="ES40" s="2075"/>
      <c r="ET40" s="2075"/>
      <c r="EU40" s="2075"/>
      <c r="EV40" s="2075"/>
      <c r="EW40" s="2075"/>
      <c r="EX40" s="2075"/>
      <c r="EY40" s="2075"/>
      <c r="EZ40" s="2075"/>
      <c r="FA40" s="2075"/>
      <c r="FB40" s="2075"/>
      <c r="FC40" s="2075"/>
      <c r="FD40" s="2075"/>
      <c r="FE40" s="2075"/>
      <c r="FF40" s="2075"/>
      <c r="FG40" s="2075"/>
      <c r="FH40" s="2075"/>
      <c r="FI40" s="2075"/>
      <c r="FJ40" s="2075"/>
      <c r="FK40" s="2075"/>
      <c r="FL40" s="2075"/>
      <c r="FM40" s="2075"/>
      <c r="FN40" s="2075"/>
      <c r="FO40" s="2075"/>
      <c r="FP40" s="2075"/>
      <c r="FQ40" s="2075"/>
      <c r="FR40" s="2075"/>
      <c r="FS40" s="2075"/>
      <c r="FT40" s="2075"/>
      <c r="FU40" s="2075"/>
      <c r="FV40" s="2075"/>
      <c r="FW40" s="2075"/>
      <c r="FX40" s="2075"/>
      <c r="FY40" s="2075"/>
      <c r="FZ40" s="2075"/>
      <c r="GA40" s="2075"/>
      <c r="GB40" s="2075"/>
      <c r="GC40" s="2075"/>
      <c r="GD40" s="2075"/>
      <c r="GE40" s="2075"/>
      <c r="GF40" s="2075"/>
      <c r="GG40" s="2075"/>
      <c r="GH40" s="2075"/>
      <c r="GI40" s="2075"/>
      <c r="GJ40" s="2075"/>
      <c r="GK40" s="2075"/>
      <c r="GL40" s="2075"/>
      <c r="GM40" s="2075"/>
      <c r="GN40" s="2075"/>
      <c r="GO40" s="2075"/>
      <c r="GP40" s="2075"/>
      <c r="GQ40" s="2075"/>
      <c r="GR40" s="2075"/>
      <c r="GS40" s="2075"/>
      <c r="GT40" s="2075"/>
      <c r="GU40" s="2075"/>
      <c r="GV40" s="2075"/>
      <c r="GW40" s="2075"/>
      <c r="GX40" s="2075"/>
      <c r="GY40" s="2075"/>
      <c r="GZ40" s="2075"/>
      <c r="HA40" s="2075"/>
      <c r="HB40" s="2075"/>
      <c r="HC40" s="2075"/>
      <c r="HD40" s="2075"/>
      <c r="HE40" s="2075"/>
      <c r="HF40" s="2075"/>
      <c r="HG40" s="2075"/>
      <c r="HH40" s="2075"/>
      <c r="HI40" s="2075"/>
      <c r="HJ40" s="2075"/>
      <c r="HK40" s="2075"/>
    </row>
    <row r="41" spans="1:219" s="231" customFormat="1" ht="15.75" thickBot="1" x14ac:dyDescent="0.3">
      <c r="A41" s="248" t="s">
        <v>679</v>
      </c>
      <c r="B41" s="257"/>
      <c r="C41" s="258"/>
      <c r="D41" s="257"/>
      <c r="E41" s="956">
        <v>0</v>
      </c>
      <c r="F41" s="957">
        <v>0</v>
      </c>
      <c r="G41" s="958">
        <v>0</v>
      </c>
      <c r="H41" s="2074" t="s">
        <v>695</v>
      </c>
      <c r="I41" s="2075"/>
      <c r="J41" s="2075"/>
      <c r="K41" s="2075"/>
      <c r="L41" s="2075"/>
      <c r="M41" s="2075"/>
      <c r="N41" s="2075"/>
      <c r="O41" s="2075"/>
      <c r="P41" s="2075"/>
      <c r="Q41" s="2075"/>
      <c r="R41" s="2075"/>
      <c r="S41" s="2075"/>
      <c r="T41" s="2075"/>
      <c r="U41" s="2075"/>
      <c r="V41" s="2075"/>
      <c r="W41" s="2075"/>
      <c r="X41" s="2075"/>
      <c r="Y41" s="2075"/>
      <c r="Z41" s="2075"/>
      <c r="AA41" s="2075"/>
      <c r="AB41" s="2075"/>
      <c r="AC41" s="2075"/>
      <c r="AD41" s="2075"/>
      <c r="AE41" s="2075"/>
      <c r="AF41" s="2075"/>
      <c r="AG41" s="2075"/>
      <c r="AH41" s="2075"/>
      <c r="AI41" s="2075"/>
      <c r="AJ41" s="2075"/>
      <c r="AK41" s="2075"/>
      <c r="AL41" s="2075"/>
      <c r="AM41" s="2075"/>
      <c r="AN41" s="2075"/>
      <c r="AO41" s="2075"/>
      <c r="AP41" s="2075"/>
      <c r="AQ41" s="2075"/>
      <c r="AR41" s="2075"/>
      <c r="AS41" s="2075"/>
      <c r="AT41" s="2075"/>
      <c r="AU41" s="2075"/>
      <c r="AV41" s="2075"/>
      <c r="AW41" s="2075"/>
      <c r="AX41" s="2075"/>
      <c r="AY41" s="2075"/>
      <c r="AZ41" s="2075"/>
      <c r="BA41" s="2075"/>
      <c r="BB41" s="2075"/>
      <c r="BC41" s="2075"/>
      <c r="BD41" s="2075"/>
      <c r="BE41" s="2075"/>
      <c r="BF41" s="2075"/>
      <c r="BG41" s="2075"/>
      <c r="BH41" s="2075"/>
      <c r="BI41" s="2075"/>
      <c r="BJ41" s="2075"/>
      <c r="BK41" s="2075"/>
      <c r="BL41" s="2075"/>
      <c r="BM41" s="2075"/>
      <c r="BN41" s="2075"/>
      <c r="BO41" s="2075"/>
      <c r="BP41" s="2075"/>
      <c r="BQ41" s="2075"/>
      <c r="BR41" s="2075"/>
      <c r="BS41" s="2075"/>
      <c r="BT41" s="2075"/>
      <c r="BU41" s="2075"/>
      <c r="BV41" s="2075"/>
      <c r="BW41" s="2075"/>
      <c r="BX41" s="2075"/>
      <c r="BY41" s="2075"/>
      <c r="BZ41" s="2075"/>
      <c r="CA41" s="2075"/>
      <c r="CB41" s="2075"/>
      <c r="CC41" s="2075"/>
      <c r="CD41" s="2075"/>
      <c r="CE41" s="2075"/>
      <c r="CF41" s="2075"/>
      <c r="CG41" s="2075"/>
      <c r="CH41" s="2075"/>
      <c r="CI41" s="2075"/>
      <c r="CJ41" s="2075"/>
      <c r="CK41" s="2075"/>
      <c r="CL41" s="2075"/>
      <c r="CM41" s="2075"/>
      <c r="CN41" s="2075"/>
      <c r="CO41" s="2075"/>
      <c r="CP41" s="2075"/>
      <c r="CQ41" s="2075"/>
      <c r="CR41" s="2075"/>
      <c r="CS41" s="2075"/>
      <c r="CT41" s="2075"/>
      <c r="CU41" s="2075"/>
      <c r="CV41" s="2075"/>
      <c r="CW41" s="2075"/>
      <c r="CX41" s="2075"/>
      <c r="CY41" s="2075"/>
      <c r="CZ41" s="2075"/>
      <c r="DA41" s="2075"/>
      <c r="DB41" s="2075"/>
      <c r="DC41" s="2075"/>
      <c r="DD41" s="2075"/>
      <c r="DE41" s="2075"/>
      <c r="DF41" s="2075"/>
      <c r="DG41" s="2075"/>
      <c r="DH41" s="2075"/>
      <c r="DI41" s="2075"/>
      <c r="DJ41" s="2075"/>
      <c r="DK41" s="2075"/>
      <c r="DL41" s="2075"/>
      <c r="DM41" s="2075"/>
      <c r="DN41" s="2075"/>
      <c r="DO41" s="2075"/>
      <c r="DP41" s="2075"/>
      <c r="DQ41" s="2075"/>
      <c r="DR41" s="2075"/>
      <c r="DS41" s="2075"/>
      <c r="DT41" s="2075"/>
      <c r="DU41" s="2075"/>
      <c r="DV41" s="2075"/>
      <c r="DW41" s="2075"/>
      <c r="DX41" s="2075"/>
      <c r="DY41" s="2075"/>
      <c r="DZ41" s="2075"/>
      <c r="EA41" s="2075"/>
      <c r="EB41" s="2075"/>
      <c r="EC41" s="2075"/>
      <c r="ED41" s="2075"/>
      <c r="EE41" s="2075"/>
      <c r="EF41" s="2075"/>
      <c r="EG41" s="2075"/>
      <c r="EH41" s="2075"/>
      <c r="EI41" s="2075"/>
      <c r="EJ41" s="2075"/>
      <c r="EK41" s="2075"/>
      <c r="EL41" s="2075"/>
      <c r="EM41" s="2075"/>
      <c r="EN41" s="2075"/>
      <c r="EO41" s="2075"/>
      <c r="EP41" s="2075"/>
      <c r="EQ41" s="2075"/>
      <c r="ER41" s="2075"/>
      <c r="ES41" s="2075"/>
      <c r="ET41" s="2075"/>
      <c r="EU41" s="2075"/>
      <c r="EV41" s="2075"/>
      <c r="EW41" s="2075"/>
      <c r="EX41" s="2075"/>
      <c r="EY41" s="2075"/>
      <c r="EZ41" s="2075"/>
      <c r="FA41" s="2075"/>
      <c r="FB41" s="2075"/>
      <c r="FC41" s="2075"/>
      <c r="FD41" s="2075"/>
      <c r="FE41" s="2075"/>
      <c r="FF41" s="2075"/>
      <c r="FG41" s="2075"/>
      <c r="FH41" s="2075"/>
      <c r="FI41" s="2075"/>
      <c r="FJ41" s="2075"/>
      <c r="FK41" s="2075"/>
      <c r="FL41" s="2075"/>
      <c r="FM41" s="2075"/>
      <c r="FN41" s="2075"/>
      <c r="FO41" s="2075"/>
      <c r="FP41" s="2075"/>
      <c r="FQ41" s="2075"/>
      <c r="FR41" s="2075"/>
      <c r="FS41" s="2075"/>
      <c r="FT41" s="2075"/>
      <c r="FU41" s="2075"/>
      <c r="FV41" s="2075"/>
      <c r="FW41" s="2075"/>
      <c r="FX41" s="2075"/>
      <c r="FY41" s="2075"/>
      <c r="FZ41" s="2075"/>
      <c r="GA41" s="2075"/>
      <c r="GB41" s="2075"/>
      <c r="GC41" s="2075"/>
      <c r="GD41" s="2075"/>
      <c r="GE41" s="2075"/>
      <c r="GF41" s="2075"/>
      <c r="GG41" s="2075"/>
      <c r="GH41" s="2075"/>
      <c r="GI41" s="2075"/>
      <c r="GJ41" s="2075"/>
      <c r="GK41" s="2075"/>
      <c r="GL41" s="2075"/>
      <c r="GM41" s="2075"/>
      <c r="GN41" s="2075"/>
      <c r="GO41" s="2075"/>
      <c r="GP41" s="2075"/>
      <c r="GQ41" s="2075"/>
      <c r="GR41" s="2075"/>
      <c r="GS41" s="2075"/>
      <c r="GT41" s="2075"/>
      <c r="GU41" s="2075"/>
      <c r="GV41" s="2075"/>
      <c r="GW41" s="2075"/>
      <c r="GX41" s="2075"/>
      <c r="GY41" s="2075"/>
      <c r="GZ41" s="2075"/>
      <c r="HA41" s="2075"/>
      <c r="HB41" s="2075"/>
      <c r="HC41" s="2075"/>
      <c r="HD41" s="2075"/>
      <c r="HE41" s="2075"/>
      <c r="HF41" s="2075"/>
      <c r="HG41" s="2075"/>
      <c r="HH41" s="2075"/>
      <c r="HI41" s="2075"/>
      <c r="HJ41" s="2075"/>
      <c r="HK41" s="2075"/>
    </row>
    <row r="42" spans="1:219" s="231" customFormat="1" ht="15.75" thickBot="1" x14ac:dyDescent="0.3">
      <c r="A42" s="233" t="s">
        <v>680</v>
      </c>
      <c r="B42" s="252"/>
      <c r="C42" s="253"/>
      <c r="D42" s="252"/>
      <c r="E42" s="271"/>
      <c r="F42" s="272"/>
      <c r="G42" s="281"/>
      <c r="H42" s="2074"/>
      <c r="I42" s="2075"/>
      <c r="J42" s="2075"/>
      <c r="K42" s="2075"/>
      <c r="L42" s="2075"/>
      <c r="M42" s="2075"/>
      <c r="N42" s="2075"/>
      <c r="O42" s="2075"/>
      <c r="P42" s="2075"/>
      <c r="Q42" s="2075"/>
      <c r="R42" s="2075"/>
      <c r="S42" s="2075"/>
      <c r="T42" s="2075"/>
      <c r="U42" s="2075"/>
      <c r="V42" s="2075"/>
      <c r="W42" s="2075"/>
      <c r="X42" s="2075"/>
      <c r="Y42" s="2075"/>
      <c r="Z42" s="2075"/>
      <c r="AA42" s="2075"/>
      <c r="AB42" s="2075"/>
      <c r="AC42" s="2075"/>
      <c r="AD42" s="2075"/>
      <c r="AE42" s="2075"/>
      <c r="AF42" s="2075"/>
      <c r="AG42" s="2075"/>
      <c r="AH42" s="2075"/>
      <c r="AI42" s="2075"/>
      <c r="AJ42" s="2075"/>
      <c r="AK42" s="2075"/>
      <c r="AL42" s="2075"/>
      <c r="AM42" s="2075"/>
      <c r="AN42" s="2075"/>
      <c r="AO42" s="2075"/>
      <c r="AP42" s="2075"/>
      <c r="AQ42" s="2075"/>
      <c r="AR42" s="2075"/>
      <c r="AS42" s="2075"/>
      <c r="AT42" s="2075"/>
      <c r="AU42" s="2075"/>
      <c r="AV42" s="2075"/>
      <c r="AW42" s="2075"/>
      <c r="AX42" s="2075"/>
      <c r="AY42" s="2075"/>
      <c r="AZ42" s="2075"/>
      <c r="BA42" s="2075"/>
      <c r="BB42" s="2075"/>
      <c r="BC42" s="2075"/>
      <c r="BD42" s="2075"/>
      <c r="BE42" s="2075"/>
      <c r="BF42" s="2075"/>
      <c r="BG42" s="2075"/>
      <c r="BH42" s="2075"/>
      <c r="BI42" s="2075"/>
      <c r="BJ42" s="2075"/>
      <c r="BK42" s="2075"/>
      <c r="BL42" s="2075"/>
      <c r="BM42" s="2075"/>
      <c r="BN42" s="2075"/>
      <c r="BO42" s="2075"/>
      <c r="BP42" s="2075"/>
      <c r="BQ42" s="2075"/>
      <c r="BR42" s="2075"/>
      <c r="BS42" s="2075"/>
      <c r="BT42" s="2075"/>
      <c r="BU42" s="2075"/>
      <c r="BV42" s="2075"/>
      <c r="BW42" s="2075"/>
      <c r="BX42" s="2075"/>
      <c r="BY42" s="2075"/>
      <c r="BZ42" s="2075"/>
      <c r="CA42" s="2075"/>
      <c r="CB42" s="2075"/>
      <c r="CC42" s="2075"/>
      <c r="CD42" s="2075"/>
      <c r="CE42" s="2075"/>
      <c r="CF42" s="2075"/>
      <c r="CG42" s="2075"/>
      <c r="CH42" s="2075"/>
      <c r="CI42" s="2075"/>
      <c r="CJ42" s="2075"/>
      <c r="CK42" s="2075"/>
      <c r="CL42" s="2075"/>
      <c r="CM42" s="2075"/>
      <c r="CN42" s="2075"/>
      <c r="CO42" s="2075"/>
      <c r="CP42" s="2075"/>
      <c r="CQ42" s="2075"/>
      <c r="CR42" s="2075"/>
      <c r="CS42" s="2075"/>
      <c r="CT42" s="2075"/>
      <c r="CU42" s="2075"/>
      <c r="CV42" s="2075"/>
      <c r="CW42" s="2075"/>
      <c r="CX42" s="2075"/>
      <c r="CY42" s="2075"/>
      <c r="CZ42" s="2075"/>
      <c r="DA42" s="2075"/>
      <c r="DB42" s="2075"/>
      <c r="DC42" s="2075"/>
      <c r="DD42" s="2075"/>
      <c r="DE42" s="2075"/>
      <c r="DF42" s="2075"/>
      <c r="DG42" s="2075"/>
      <c r="DH42" s="2075"/>
      <c r="DI42" s="2075"/>
      <c r="DJ42" s="2075"/>
      <c r="DK42" s="2075"/>
      <c r="DL42" s="2075"/>
      <c r="DM42" s="2075"/>
      <c r="DN42" s="2075"/>
      <c r="DO42" s="2075"/>
      <c r="DP42" s="2075"/>
      <c r="DQ42" s="2075"/>
      <c r="DR42" s="2075"/>
      <c r="DS42" s="2075"/>
      <c r="DT42" s="2075"/>
      <c r="DU42" s="2075"/>
      <c r="DV42" s="2075"/>
      <c r="DW42" s="2075"/>
      <c r="DX42" s="2075"/>
      <c r="DY42" s="2075"/>
      <c r="DZ42" s="2075"/>
      <c r="EA42" s="2075"/>
      <c r="EB42" s="2075"/>
      <c r="EC42" s="2075"/>
      <c r="ED42" s="2075"/>
      <c r="EE42" s="2075"/>
      <c r="EF42" s="2075"/>
      <c r="EG42" s="2075"/>
      <c r="EH42" s="2075"/>
      <c r="EI42" s="2075"/>
      <c r="EJ42" s="2075"/>
      <c r="EK42" s="2075"/>
      <c r="EL42" s="2075"/>
      <c r="EM42" s="2075"/>
      <c r="EN42" s="2075"/>
      <c r="EO42" s="2075"/>
      <c r="EP42" s="2075"/>
      <c r="EQ42" s="2075"/>
      <c r="ER42" s="2075"/>
      <c r="ES42" s="2075"/>
      <c r="ET42" s="2075"/>
      <c r="EU42" s="2075"/>
      <c r="EV42" s="2075"/>
      <c r="EW42" s="2075"/>
      <c r="EX42" s="2075"/>
      <c r="EY42" s="2075"/>
      <c r="EZ42" s="2075"/>
      <c r="FA42" s="2075"/>
      <c r="FB42" s="2075"/>
      <c r="FC42" s="2075"/>
      <c r="FD42" s="2075"/>
      <c r="FE42" s="2075"/>
      <c r="FF42" s="2075"/>
      <c r="FG42" s="2075"/>
      <c r="FH42" s="2075"/>
      <c r="FI42" s="2075"/>
      <c r="FJ42" s="2075"/>
      <c r="FK42" s="2075"/>
      <c r="FL42" s="2075"/>
      <c r="FM42" s="2075"/>
      <c r="FN42" s="2075"/>
      <c r="FO42" s="2075"/>
      <c r="FP42" s="2075"/>
      <c r="FQ42" s="2075"/>
      <c r="FR42" s="2075"/>
      <c r="FS42" s="2075"/>
      <c r="FT42" s="2075"/>
      <c r="FU42" s="2075"/>
      <c r="FV42" s="2075"/>
      <c r="FW42" s="2075"/>
      <c r="FX42" s="2075"/>
      <c r="FY42" s="2075"/>
      <c r="FZ42" s="2075"/>
      <c r="GA42" s="2075"/>
      <c r="GB42" s="2075"/>
      <c r="GC42" s="2075"/>
      <c r="GD42" s="2075"/>
      <c r="GE42" s="2075"/>
      <c r="GF42" s="2075"/>
      <c r="GG42" s="2075"/>
      <c r="GH42" s="2075"/>
      <c r="GI42" s="2075"/>
      <c r="GJ42" s="2075"/>
      <c r="GK42" s="2075"/>
      <c r="GL42" s="2075"/>
      <c r="GM42" s="2075"/>
      <c r="GN42" s="2075"/>
      <c r="GO42" s="2075"/>
      <c r="GP42" s="2075"/>
      <c r="GQ42" s="2075"/>
      <c r="GR42" s="2075"/>
      <c r="GS42" s="2075"/>
      <c r="GT42" s="2075"/>
      <c r="GU42" s="2075"/>
      <c r="GV42" s="2075"/>
      <c r="GW42" s="2075"/>
      <c r="GX42" s="2075"/>
      <c r="GY42" s="2075"/>
      <c r="GZ42" s="2075"/>
      <c r="HA42" s="2075"/>
      <c r="HB42" s="2075"/>
      <c r="HC42" s="2075"/>
      <c r="HD42" s="2075"/>
      <c r="HE42" s="2075"/>
      <c r="HF42" s="2075"/>
      <c r="HG42" s="2075"/>
      <c r="HH42" s="2075"/>
      <c r="HI42" s="2075"/>
      <c r="HJ42" s="2075"/>
      <c r="HK42" s="2075"/>
    </row>
    <row r="43" spans="1:219" s="231" customFormat="1" ht="15.75" thickBot="1" x14ac:dyDescent="0.3">
      <c r="A43" s="248" t="s">
        <v>681</v>
      </c>
      <c r="B43" s="257"/>
      <c r="C43" s="257"/>
      <c r="D43" s="257"/>
      <c r="E43" s="257">
        <f>'PyG anuales'!B28</f>
        <v>0</v>
      </c>
      <c r="F43" s="257">
        <f>'PyG anuales'!D28</f>
        <v>0</v>
      </c>
      <c r="G43" s="257">
        <f>'PyG anuales'!G28</f>
        <v>0</v>
      </c>
      <c r="H43" s="2074" t="s">
        <v>695</v>
      </c>
      <c r="I43" s="2075"/>
      <c r="J43" s="2075"/>
      <c r="K43" s="2075"/>
      <c r="L43" s="2075"/>
      <c r="M43" s="2075"/>
      <c r="N43" s="2075"/>
      <c r="O43" s="2075"/>
      <c r="P43" s="2075"/>
      <c r="Q43" s="2075"/>
      <c r="R43" s="2075"/>
      <c r="S43" s="2075"/>
      <c r="T43" s="2075"/>
      <c r="U43" s="2075"/>
      <c r="V43" s="2075"/>
      <c r="W43" s="2075"/>
      <c r="X43" s="2075"/>
      <c r="Y43" s="2075"/>
      <c r="Z43" s="2075"/>
      <c r="AA43" s="2075"/>
      <c r="AB43" s="2075"/>
      <c r="AC43" s="2075"/>
      <c r="AD43" s="2075"/>
      <c r="AE43" s="2075"/>
      <c r="AF43" s="2075"/>
      <c r="AG43" s="2075"/>
      <c r="AH43" s="2075"/>
      <c r="AI43" s="2075"/>
      <c r="AJ43" s="2075"/>
      <c r="AK43" s="2075"/>
      <c r="AL43" s="2075"/>
      <c r="AM43" s="2075"/>
      <c r="AN43" s="2075"/>
      <c r="AO43" s="2075"/>
      <c r="AP43" s="2075"/>
      <c r="AQ43" s="2075"/>
      <c r="AR43" s="2075"/>
      <c r="AS43" s="2075"/>
      <c r="AT43" s="2075"/>
      <c r="AU43" s="2075"/>
      <c r="AV43" s="2075"/>
      <c r="AW43" s="2075"/>
      <c r="AX43" s="2075"/>
      <c r="AY43" s="2075"/>
      <c r="AZ43" s="2075"/>
      <c r="BA43" s="2075"/>
      <c r="BB43" s="2075"/>
      <c r="BC43" s="2075"/>
      <c r="BD43" s="2075"/>
      <c r="BE43" s="2075"/>
      <c r="BF43" s="2075"/>
      <c r="BG43" s="2075"/>
      <c r="BH43" s="2075"/>
      <c r="BI43" s="2075"/>
      <c r="BJ43" s="2075"/>
      <c r="BK43" s="2075"/>
      <c r="BL43" s="2075"/>
      <c r="BM43" s="2075"/>
      <c r="BN43" s="2075"/>
      <c r="BO43" s="2075"/>
      <c r="BP43" s="2075"/>
      <c r="BQ43" s="2075"/>
      <c r="BR43" s="2075"/>
      <c r="BS43" s="2075"/>
      <c r="BT43" s="2075"/>
      <c r="BU43" s="2075"/>
      <c r="BV43" s="2075"/>
      <c r="BW43" s="2075"/>
      <c r="BX43" s="2075"/>
      <c r="BY43" s="2075"/>
      <c r="BZ43" s="2075"/>
      <c r="CA43" s="2075"/>
      <c r="CB43" s="2075"/>
      <c r="CC43" s="2075"/>
      <c r="CD43" s="2075"/>
      <c r="CE43" s="2075"/>
      <c r="CF43" s="2075"/>
      <c r="CG43" s="2075"/>
      <c r="CH43" s="2075"/>
      <c r="CI43" s="2075"/>
      <c r="CJ43" s="2075"/>
      <c r="CK43" s="2075"/>
      <c r="CL43" s="2075"/>
      <c r="CM43" s="2075"/>
      <c r="CN43" s="2075"/>
      <c r="CO43" s="2075"/>
      <c r="CP43" s="2075"/>
      <c r="CQ43" s="2075"/>
      <c r="CR43" s="2075"/>
      <c r="CS43" s="2075"/>
      <c r="CT43" s="2075"/>
      <c r="CU43" s="2075"/>
      <c r="CV43" s="2075"/>
      <c r="CW43" s="2075"/>
      <c r="CX43" s="2075"/>
      <c r="CY43" s="2075"/>
      <c r="CZ43" s="2075"/>
      <c r="DA43" s="2075"/>
      <c r="DB43" s="2075"/>
      <c r="DC43" s="2075"/>
      <c r="DD43" s="2075"/>
      <c r="DE43" s="2075"/>
      <c r="DF43" s="2075"/>
      <c r="DG43" s="2075"/>
      <c r="DH43" s="2075"/>
      <c r="DI43" s="2075"/>
      <c r="DJ43" s="2075"/>
      <c r="DK43" s="2075"/>
      <c r="DL43" s="2075"/>
      <c r="DM43" s="2075"/>
      <c r="DN43" s="2075"/>
      <c r="DO43" s="2075"/>
      <c r="DP43" s="2075"/>
      <c r="DQ43" s="2075"/>
      <c r="DR43" s="2075"/>
      <c r="DS43" s="2075"/>
      <c r="DT43" s="2075"/>
      <c r="DU43" s="2075"/>
      <c r="DV43" s="2075"/>
      <c r="DW43" s="2075"/>
      <c r="DX43" s="2075"/>
      <c r="DY43" s="2075"/>
      <c r="DZ43" s="2075"/>
      <c r="EA43" s="2075"/>
      <c r="EB43" s="2075"/>
      <c r="EC43" s="2075"/>
      <c r="ED43" s="2075"/>
      <c r="EE43" s="2075"/>
      <c r="EF43" s="2075"/>
      <c r="EG43" s="2075"/>
      <c r="EH43" s="2075"/>
      <c r="EI43" s="2075"/>
      <c r="EJ43" s="2075"/>
      <c r="EK43" s="2075"/>
      <c r="EL43" s="2075"/>
      <c r="EM43" s="2075"/>
      <c r="EN43" s="2075"/>
      <c r="EO43" s="2075"/>
      <c r="EP43" s="2075"/>
      <c r="EQ43" s="2075"/>
      <c r="ER43" s="2075"/>
      <c r="ES43" s="2075"/>
      <c r="ET43" s="2075"/>
      <c r="EU43" s="2075"/>
      <c r="EV43" s="2075"/>
      <c r="EW43" s="2075"/>
      <c r="EX43" s="2075"/>
      <c r="EY43" s="2075"/>
      <c r="EZ43" s="2075"/>
      <c r="FA43" s="2075"/>
      <c r="FB43" s="2075"/>
      <c r="FC43" s="2075"/>
      <c r="FD43" s="2075"/>
      <c r="FE43" s="2075"/>
      <c r="FF43" s="2075"/>
      <c r="FG43" s="2075"/>
      <c r="FH43" s="2075"/>
      <c r="FI43" s="2075"/>
      <c r="FJ43" s="2075"/>
      <c r="FK43" s="2075"/>
      <c r="FL43" s="2075"/>
      <c r="FM43" s="2075"/>
      <c r="FN43" s="2075"/>
      <c r="FO43" s="2075"/>
      <c r="FP43" s="2075"/>
      <c r="FQ43" s="2075"/>
      <c r="FR43" s="2075"/>
      <c r="FS43" s="2075"/>
      <c r="FT43" s="2075"/>
      <c r="FU43" s="2075"/>
      <c r="FV43" s="2075"/>
      <c r="FW43" s="2075"/>
      <c r="FX43" s="2075"/>
      <c r="FY43" s="2075"/>
      <c r="FZ43" s="2075"/>
      <c r="GA43" s="2075"/>
      <c r="GB43" s="2075"/>
      <c r="GC43" s="2075"/>
      <c r="GD43" s="2075"/>
      <c r="GE43" s="2075"/>
      <c r="GF43" s="2075"/>
      <c r="GG43" s="2075"/>
      <c r="GH43" s="2075"/>
      <c r="GI43" s="2075"/>
      <c r="GJ43" s="2075"/>
      <c r="GK43" s="2075"/>
      <c r="GL43" s="2075"/>
      <c r="GM43" s="2075"/>
      <c r="GN43" s="2075"/>
      <c r="GO43" s="2075"/>
      <c r="GP43" s="2075"/>
      <c r="GQ43" s="2075"/>
      <c r="GR43" s="2075"/>
      <c r="GS43" s="2075"/>
      <c r="GT43" s="2075"/>
      <c r="GU43" s="2075"/>
      <c r="GV43" s="2075"/>
      <c r="GW43" s="2075"/>
      <c r="GX43" s="2075"/>
      <c r="GY43" s="2075"/>
      <c r="GZ43" s="2075"/>
      <c r="HA43" s="2075"/>
      <c r="HB43" s="2075"/>
      <c r="HC43" s="2075"/>
      <c r="HD43" s="2075"/>
      <c r="HE43" s="2075"/>
      <c r="HF43" s="2075"/>
      <c r="HG43" s="2075"/>
      <c r="HH43" s="2075"/>
      <c r="HI43" s="2075"/>
      <c r="HJ43" s="2075"/>
      <c r="HK43" s="2075"/>
    </row>
    <row r="44" spans="1:219" s="231" customFormat="1" ht="15.75" thickBot="1" x14ac:dyDescent="0.3">
      <c r="A44" s="233" t="s">
        <v>682</v>
      </c>
      <c r="B44" s="252"/>
      <c r="C44" s="253"/>
      <c r="D44" s="252"/>
      <c r="E44" s="271"/>
      <c r="F44" s="272"/>
      <c r="G44" s="281"/>
      <c r="H44" s="2074"/>
      <c r="I44" s="2075"/>
      <c r="J44" s="2075"/>
      <c r="K44" s="2075"/>
      <c r="L44" s="2075"/>
      <c r="M44" s="2075"/>
      <c r="N44" s="2075"/>
      <c r="O44" s="2075"/>
      <c r="P44" s="2075"/>
      <c r="Q44" s="2075"/>
      <c r="R44" s="2075"/>
      <c r="S44" s="2075"/>
      <c r="T44" s="2075"/>
      <c r="U44" s="2075"/>
      <c r="V44" s="2075"/>
      <c r="W44" s="2075"/>
      <c r="X44" s="2075"/>
      <c r="Y44" s="2075"/>
      <c r="Z44" s="2075"/>
      <c r="AA44" s="2075"/>
      <c r="AB44" s="2075"/>
      <c r="AC44" s="2075"/>
      <c r="AD44" s="2075"/>
      <c r="AE44" s="2075"/>
      <c r="AF44" s="2075"/>
      <c r="AG44" s="2075"/>
      <c r="AH44" s="2075"/>
      <c r="AI44" s="2075"/>
      <c r="AJ44" s="2075"/>
      <c r="AK44" s="2075"/>
      <c r="AL44" s="2075"/>
      <c r="AM44" s="2075"/>
      <c r="AN44" s="2075"/>
      <c r="AO44" s="2075"/>
      <c r="AP44" s="2075"/>
      <c r="AQ44" s="2075"/>
      <c r="AR44" s="2075"/>
      <c r="AS44" s="2075"/>
      <c r="AT44" s="2075"/>
      <c r="AU44" s="2075"/>
      <c r="AV44" s="2075"/>
      <c r="AW44" s="2075"/>
      <c r="AX44" s="2075"/>
      <c r="AY44" s="2075"/>
      <c r="AZ44" s="2075"/>
      <c r="BA44" s="2075"/>
      <c r="BB44" s="2075"/>
      <c r="BC44" s="2075"/>
      <c r="BD44" s="2075"/>
      <c r="BE44" s="2075"/>
      <c r="BF44" s="2075"/>
      <c r="BG44" s="2075"/>
      <c r="BH44" s="2075"/>
      <c r="BI44" s="2075"/>
      <c r="BJ44" s="2075"/>
      <c r="BK44" s="2075"/>
      <c r="BL44" s="2075"/>
      <c r="BM44" s="2075"/>
      <c r="BN44" s="2075"/>
      <c r="BO44" s="2075"/>
      <c r="BP44" s="2075"/>
      <c r="BQ44" s="2075"/>
      <c r="BR44" s="2075"/>
      <c r="BS44" s="2075"/>
      <c r="BT44" s="2075"/>
      <c r="BU44" s="2075"/>
      <c r="BV44" s="2075"/>
      <c r="BW44" s="2075"/>
      <c r="BX44" s="2075"/>
      <c r="BY44" s="2075"/>
      <c r="BZ44" s="2075"/>
      <c r="CA44" s="2075"/>
      <c r="CB44" s="2075"/>
      <c r="CC44" s="2075"/>
      <c r="CD44" s="2075"/>
      <c r="CE44" s="2075"/>
      <c r="CF44" s="2075"/>
      <c r="CG44" s="2075"/>
      <c r="CH44" s="2075"/>
      <c r="CI44" s="2075"/>
      <c r="CJ44" s="2075"/>
      <c r="CK44" s="2075"/>
      <c r="CL44" s="2075"/>
      <c r="CM44" s="2075"/>
      <c r="CN44" s="2075"/>
      <c r="CO44" s="2075"/>
      <c r="CP44" s="2075"/>
      <c r="CQ44" s="2075"/>
      <c r="CR44" s="2075"/>
      <c r="CS44" s="2075"/>
      <c r="CT44" s="2075"/>
      <c r="CU44" s="2075"/>
      <c r="CV44" s="2075"/>
      <c r="CW44" s="2075"/>
      <c r="CX44" s="2075"/>
      <c r="CY44" s="2075"/>
      <c r="CZ44" s="2075"/>
      <c r="DA44" s="2075"/>
      <c r="DB44" s="2075"/>
      <c r="DC44" s="2075"/>
      <c r="DD44" s="2075"/>
      <c r="DE44" s="2075"/>
      <c r="DF44" s="2075"/>
      <c r="DG44" s="2075"/>
      <c r="DH44" s="2075"/>
      <c r="DI44" s="2075"/>
      <c r="DJ44" s="2075"/>
      <c r="DK44" s="2075"/>
      <c r="DL44" s="2075"/>
      <c r="DM44" s="2075"/>
      <c r="DN44" s="2075"/>
      <c r="DO44" s="2075"/>
      <c r="DP44" s="2075"/>
      <c r="DQ44" s="2075"/>
      <c r="DR44" s="2075"/>
      <c r="DS44" s="2075"/>
      <c r="DT44" s="2075"/>
      <c r="DU44" s="2075"/>
      <c r="DV44" s="2075"/>
      <c r="DW44" s="2075"/>
      <c r="DX44" s="2075"/>
      <c r="DY44" s="2075"/>
      <c r="DZ44" s="2075"/>
      <c r="EA44" s="2075"/>
      <c r="EB44" s="2075"/>
      <c r="EC44" s="2075"/>
      <c r="ED44" s="2075"/>
      <c r="EE44" s="2075"/>
      <c r="EF44" s="2075"/>
      <c r="EG44" s="2075"/>
      <c r="EH44" s="2075"/>
      <c r="EI44" s="2075"/>
      <c r="EJ44" s="2075"/>
      <c r="EK44" s="2075"/>
      <c r="EL44" s="2075"/>
      <c r="EM44" s="2075"/>
      <c r="EN44" s="2075"/>
      <c r="EO44" s="2075"/>
      <c r="EP44" s="2075"/>
      <c r="EQ44" s="2075"/>
      <c r="ER44" s="2075"/>
      <c r="ES44" s="2075"/>
      <c r="ET44" s="2075"/>
      <c r="EU44" s="2075"/>
      <c r="EV44" s="2075"/>
      <c r="EW44" s="2075"/>
      <c r="EX44" s="2075"/>
      <c r="EY44" s="2075"/>
      <c r="EZ44" s="2075"/>
      <c r="FA44" s="2075"/>
      <c r="FB44" s="2075"/>
      <c r="FC44" s="2075"/>
      <c r="FD44" s="2075"/>
      <c r="FE44" s="2075"/>
      <c r="FF44" s="2075"/>
      <c r="FG44" s="2075"/>
      <c r="FH44" s="2075"/>
      <c r="FI44" s="2075"/>
      <c r="FJ44" s="2075"/>
      <c r="FK44" s="2075"/>
      <c r="FL44" s="2075"/>
      <c r="FM44" s="2075"/>
      <c r="FN44" s="2075"/>
      <c r="FO44" s="2075"/>
      <c r="FP44" s="2075"/>
      <c r="FQ44" s="2075"/>
      <c r="FR44" s="2075"/>
      <c r="FS44" s="2075"/>
      <c r="FT44" s="2075"/>
      <c r="FU44" s="2075"/>
      <c r="FV44" s="2075"/>
      <c r="FW44" s="2075"/>
      <c r="FX44" s="2075"/>
      <c r="FY44" s="2075"/>
      <c r="FZ44" s="2075"/>
      <c r="GA44" s="2075"/>
      <c r="GB44" s="2075"/>
      <c r="GC44" s="2075"/>
      <c r="GD44" s="2075"/>
      <c r="GE44" s="2075"/>
      <c r="GF44" s="2075"/>
      <c r="GG44" s="2075"/>
      <c r="GH44" s="2075"/>
      <c r="GI44" s="2075"/>
      <c r="GJ44" s="2075"/>
      <c r="GK44" s="2075"/>
      <c r="GL44" s="2075"/>
      <c r="GM44" s="2075"/>
      <c r="GN44" s="2075"/>
      <c r="GO44" s="2075"/>
      <c r="GP44" s="2075"/>
      <c r="GQ44" s="2075"/>
      <c r="GR44" s="2075"/>
      <c r="GS44" s="2075"/>
      <c r="GT44" s="2075"/>
      <c r="GU44" s="2075"/>
      <c r="GV44" s="2075"/>
      <c r="GW44" s="2075"/>
      <c r="GX44" s="2075"/>
      <c r="GY44" s="2075"/>
      <c r="GZ44" s="2075"/>
      <c r="HA44" s="2075"/>
      <c r="HB44" s="2075"/>
      <c r="HC44" s="2075"/>
      <c r="HD44" s="2075"/>
      <c r="HE44" s="2075"/>
      <c r="HF44" s="2075"/>
      <c r="HG44" s="2075"/>
      <c r="HH44" s="2075"/>
      <c r="HI44" s="2075"/>
      <c r="HJ44" s="2075"/>
      <c r="HK44" s="2075"/>
    </row>
    <row r="45" spans="1:219" s="231" customFormat="1" ht="15.75" thickBot="1" x14ac:dyDescent="0.3">
      <c r="A45" s="248" t="s">
        <v>683</v>
      </c>
      <c r="B45" s="257"/>
      <c r="C45" s="258"/>
      <c r="D45" s="257"/>
      <c r="E45" s="258">
        <f>IF('PyG anuales'!B30&gt;0,'PyG anuales'!B30,0)</f>
        <v>0</v>
      </c>
      <c r="F45" s="257">
        <f>IF('PyG anuales'!D30&gt;0,'PyG anuales'!D30,0)</f>
        <v>0</v>
      </c>
      <c r="G45" s="259">
        <f>IF('PyG anuales'!G30&gt;0,'PyG anuales'!G30,0)</f>
        <v>0</v>
      </c>
      <c r="H45" s="2074" t="s">
        <v>695</v>
      </c>
      <c r="I45" s="2075"/>
      <c r="J45" s="2075"/>
      <c r="K45" s="2075"/>
      <c r="L45" s="2075"/>
      <c r="M45" s="2075"/>
      <c r="N45" s="2075"/>
      <c r="O45" s="2075"/>
      <c r="P45" s="2075"/>
      <c r="Q45" s="2075"/>
      <c r="R45" s="2075"/>
      <c r="S45" s="2075"/>
      <c r="T45" s="2075"/>
      <c r="U45" s="2075"/>
      <c r="V45" s="2075"/>
      <c r="W45" s="2075"/>
      <c r="X45" s="2075"/>
      <c r="Y45" s="2075"/>
      <c r="Z45" s="2075"/>
      <c r="AA45" s="2075"/>
      <c r="AB45" s="2075"/>
      <c r="AC45" s="2075"/>
      <c r="AD45" s="2075"/>
      <c r="AE45" s="2075"/>
      <c r="AF45" s="2075"/>
      <c r="AG45" s="2075"/>
      <c r="AH45" s="2075"/>
      <c r="AI45" s="2075"/>
      <c r="AJ45" s="2075"/>
      <c r="AK45" s="2075"/>
      <c r="AL45" s="2075"/>
      <c r="AM45" s="2075"/>
      <c r="AN45" s="2075"/>
      <c r="AO45" s="2075"/>
      <c r="AP45" s="2075"/>
      <c r="AQ45" s="2075"/>
      <c r="AR45" s="2075"/>
      <c r="AS45" s="2075"/>
      <c r="AT45" s="2075"/>
      <c r="AU45" s="2075"/>
      <c r="AV45" s="2075"/>
      <c r="AW45" s="2075"/>
      <c r="AX45" s="2075"/>
      <c r="AY45" s="2075"/>
      <c r="AZ45" s="2075"/>
      <c r="BA45" s="2075"/>
      <c r="BB45" s="2075"/>
      <c r="BC45" s="2075"/>
      <c r="BD45" s="2075"/>
      <c r="BE45" s="2075"/>
      <c r="BF45" s="2075"/>
      <c r="BG45" s="2075"/>
      <c r="BH45" s="2075"/>
      <c r="BI45" s="2075"/>
      <c r="BJ45" s="2075"/>
      <c r="BK45" s="2075"/>
      <c r="BL45" s="2075"/>
      <c r="BM45" s="2075"/>
      <c r="BN45" s="2075"/>
      <c r="BO45" s="2075"/>
      <c r="BP45" s="2075"/>
      <c r="BQ45" s="2075"/>
      <c r="BR45" s="2075"/>
      <c r="BS45" s="2075"/>
      <c r="BT45" s="2075"/>
      <c r="BU45" s="2075"/>
      <c r="BV45" s="2075"/>
      <c r="BW45" s="2075"/>
      <c r="BX45" s="2075"/>
      <c r="BY45" s="2075"/>
      <c r="BZ45" s="2075"/>
      <c r="CA45" s="2075"/>
      <c r="CB45" s="2075"/>
      <c r="CC45" s="2075"/>
      <c r="CD45" s="2075"/>
      <c r="CE45" s="2075"/>
      <c r="CF45" s="2075"/>
      <c r="CG45" s="2075"/>
      <c r="CH45" s="2075"/>
      <c r="CI45" s="2075"/>
      <c r="CJ45" s="2075"/>
      <c r="CK45" s="2075"/>
      <c r="CL45" s="2075"/>
      <c r="CM45" s="2075"/>
      <c r="CN45" s="2075"/>
      <c r="CO45" s="2075"/>
      <c r="CP45" s="2075"/>
      <c r="CQ45" s="2075"/>
      <c r="CR45" s="2075"/>
      <c r="CS45" s="2075"/>
      <c r="CT45" s="2075"/>
      <c r="CU45" s="2075"/>
      <c r="CV45" s="2075"/>
      <c r="CW45" s="2075"/>
      <c r="CX45" s="2075"/>
      <c r="CY45" s="2075"/>
      <c r="CZ45" s="2075"/>
      <c r="DA45" s="2075"/>
      <c r="DB45" s="2075"/>
      <c r="DC45" s="2075"/>
      <c r="DD45" s="2075"/>
      <c r="DE45" s="2075"/>
      <c r="DF45" s="2075"/>
      <c r="DG45" s="2075"/>
      <c r="DH45" s="2075"/>
      <c r="DI45" s="2075"/>
      <c r="DJ45" s="2075"/>
      <c r="DK45" s="2075"/>
      <c r="DL45" s="2075"/>
      <c r="DM45" s="2075"/>
      <c r="DN45" s="2075"/>
      <c r="DO45" s="2075"/>
      <c r="DP45" s="2075"/>
      <c r="DQ45" s="2075"/>
      <c r="DR45" s="2075"/>
      <c r="DS45" s="2075"/>
      <c r="DT45" s="2075"/>
      <c r="DU45" s="2075"/>
      <c r="DV45" s="2075"/>
      <c r="DW45" s="2075"/>
      <c r="DX45" s="2075"/>
      <c r="DY45" s="2075"/>
      <c r="DZ45" s="2075"/>
      <c r="EA45" s="2075"/>
      <c r="EB45" s="2075"/>
      <c r="EC45" s="2075"/>
      <c r="ED45" s="2075"/>
      <c r="EE45" s="2075"/>
      <c r="EF45" s="2075"/>
      <c r="EG45" s="2075"/>
      <c r="EH45" s="2075"/>
      <c r="EI45" s="2075"/>
      <c r="EJ45" s="2075"/>
      <c r="EK45" s="2075"/>
      <c r="EL45" s="2075"/>
      <c r="EM45" s="2075"/>
      <c r="EN45" s="2075"/>
      <c r="EO45" s="2075"/>
      <c r="EP45" s="2075"/>
      <c r="EQ45" s="2075"/>
      <c r="ER45" s="2075"/>
      <c r="ES45" s="2075"/>
      <c r="ET45" s="2075"/>
      <c r="EU45" s="2075"/>
      <c r="EV45" s="2075"/>
      <c r="EW45" s="2075"/>
      <c r="EX45" s="2075"/>
      <c r="EY45" s="2075"/>
      <c r="EZ45" s="2075"/>
      <c r="FA45" s="2075"/>
      <c r="FB45" s="2075"/>
      <c r="FC45" s="2075"/>
      <c r="FD45" s="2075"/>
      <c r="FE45" s="2075"/>
      <c r="FF45" s="2075"/>
      <c r="FG45" s="2075"/>
      <c r="FH45" s="2075"/>
      <c r="FI45" s="2075"/>
      <c r="FJ45" s="2075"/>
      <c r="FK45" s="2075"/>
      <c r="FL45" s="2075"/>
      <c r="FM45" s="2075"/>
      <c r="FN45" s="2075"/>
      <c r="FO45" s="2075"/>
      <c r="FP45" s="2075"/>
      <c r="FQ45" s="2075"/>
      <c r="FR45" s="2075"/>
      <c r="FS45" s="2075"/>
      <c r="FT45" s="2075"/>
      <c r="FU45" s="2075"/>
      <c r="FV45" s="2075"/>
      <c r="FW45" s="2075"/>
      <c r="FX45" s="2075"/>
      <c r="FY45" s="2075"/>
      <c r="FZ45" s="2075"/>
      <c r="GA45" s="2075"/>
      <c r="GB45" s="2075"/>
      <c r="GC45" s="2075"/>
      <c r="GD45" s="2075"/>
      <c r="GE45" s="2075"/>
      <c r="GF45" s="2075"/>
      <c r="GG45" s="2075"/>
      <c r="GH45" s="2075"/>
      <c r="GI45" s="2075"/>
      <c r="GJ45" s="2075"/>
      <c r="GK45" s="2075"/>
      <c r="GL45" s="2075"/>
      <c r="GM45" s="2075"/>
      <c r="GN45" s="2075"/>
      <c r="GO45" s="2075"/>
      <c r="GP45" s="2075"/>
      <c r="GQ45" s="2075"/>
      <c r="GR45" s="2075"/>
      <c r="GS45" s="2075"/>
      <c r="GT45" s="2075"/>
      <c r="GU45" s="2075"/>
      <c r="GV45" s="2075"/>
      <c r="GW45" s="2075"/>
      <c r="GX45" s="2075"/>
      <c r="GY45" s="2075"/>
      <c r="GZ45" s="2075"/>
      <c r="HA45" s="2075"/>
      <c r="HB45" s="2075"/>
      <c r="HC45" s="2075"/>
      <c r="HD45" s="2075"/>
      <c r="HE45" s="2075"/>
      <c r="HF45" s="2075"/>
      <c r="HG45" s="2075"/>
      <c r="HH45" s="2075"/>
      <c r="HI45" s="2075"/>
      <c r="HJ45" s="2075"/>
      <c r="HK45" s="2075"/>
    </row>
    <row r="46" spans="1:219" s="231" customFormat="1" ht="15.75" thickBot="1" x14ac:dyDescent="0.3">
      <c r="A46" s="233" t="s">
        <v>684</v>
      </c>
      <c r="B46" s="260">
        <f t="shared" ref="B46:G46" si="5">+B13+B17+B20+B21+B25+B30+B35+B36+B37+B38+B39+B40+B41+B42+B43+B44+B45</f>
        <v>0</v>
      </c>
      <c r="C46" s="261">
        <f t="shared" si="5"/>
        <v>0</v>
      </c>
      <c r="D46" s="260">
        <f t="shared" si="5"/>
        <v>0</v>
      </c>
      <c r="E46" s="261">
        <f t="shared" si="5"/>
        <v>16362.959468393694</v>
      </c>
      <c r="F46" s="260">
        <f t="shared" si="5"/>
        <v>18163.530495823823</v>
      </c>
      <c r="G46" s="262">
        <f t="shared" si="5"/>
        <v>21557.95289670378</v>
      </c>
      <c r="H46" s="2074"/>
      <c r="I46" s="2075"/>
      <c r="J46" s="2075"/>
      <c r="K46" s="2075"/>
      <c r="L46" s="2075"/>
      <c r="M46" s="2075"/>
      <c r="N46" s="2075"/>
      <c r="O46" s="2075"/>
      <c r="P46" s="2075"/>
      <c r="Q46" s="2075"/>
      <c r="R46" s="2075"/>
      <c r="S46" s="2075"/>
      <c r="T46" s="2075"/>
      <c r="U46" s="2075"/>
      <c r="V46" s="2075"/>
      <c r="W46" s="2075"/>
      <c r="X46" s="2075"/>
      <c r="Y46" s="2075"/>
      <c r="Z46" s="2075"/>
      <c r="AA46" s="2075"/>
      <c r="AB46" s="2075"/>
      <c r="AC46" s="2075"/>
      <c r="AD46" s="2075"/>
      <c r="AE46" s="2075"/>
      <c r="AF46" s="2075"/>
      <c r="AG46" s="2075"/>
      <c r="AH46" s="2075"/>
      <c r="AI46" s="2075"/>
      <c r="AJ46" s="2075"/>
      <c r="AK46" s="2075"/>
      <c r="AL46" s="2075"/>
      <c r="AM46" s="2075"/>
      <c r="AN46" s="2075"/>
      <c r="AO46" s="2075"/>
      <c r="AP46" s="2075"/>
      <c r="AQ46" s="2075"/>
      <c r="AR46" s="2075"/>
      <c r="AS46" s="2075"/>
      <c r="AT46" s="2075"/>
      <c r="AU46" s="2075"/>
      <c r="AV46" s="2075"/>
      <c r="AW46" s="2075"/>
      <c r="AX46" s="2075"/>
      <c r="AY46" s="2075"/>
      <c r="AZ46" s="2075"/>
      <c r="BA46" s="2075"/>
      <c r="BB46" s="2075"/>
      <c r="BC46" s="2075"/>
      <c r="BD46" s="2075"/>
      <c r="BE46" s="2075"/>
      <c r="BF46" s="2075"/>
      <c r="BG46" s="2075"/>
      <c r="BH46" s="2075"/>
      <c r="BI46" s="2075"/>
      <c r="BJ46" s="2075"/>
      <c r="BK46" s="2075"/>
      <c r="BL46" s="2075"/>
      <c r="BM46" s="2075"/>
      <c r="BN46" s="2075"/>
      <c r="BO46" s="2075"/>
      <c r="BP46" s="2075"/>
      <c r="BQ46" s="2075"/>
      <c r="BR46" s="2075"/>
      <c r="BS46" s="2075"/>
      <c r="BT46" s="2075"/>
      <c r="BU46" s="2075"/>
      <c r="BV46" s="2075"/>
      <c r="BW46" s="2075"/>
      <c r="BX46" s="2075"/>
      <c r="BY46" s="2075"/>
      <c r="BZ46" s="2075"/>
      <c r="CA46" s="2075"/>
      <c r="CB46" s="2075"/>
      <c r="CC46" s="2075"/>
      <c r="CD46" s="2075"/>
      <c r="CE46" s="2075"/>
      <c r="CF46" s="2075"/>
      <c r="CG46" s="2075"/>
      <c r="CH46" s="2075"/>
      <c r="CI46" s="2075"/>
      <c r="CJ46" s="2075"/>
      <c r="CK46" s="2075"/>
      <c r="CL46" s="2075"/>
      <c r="CM46" s="2075"/>
      <c r="CN46" s="2075"/>
      <c r="CO46" s="2075"/>
      <c r="CP46" s="2075"/>
      <c r="CQ46" s="2075"/>
      <c r="CR46" s="2075"/>
      <c r="CS46" s="2075"/>
      <c r="CT46" s="2075"/>
      <c r="CU46" s="2075"/>
      <c r="CV46" s="2075"/>
      <c r="CW46" s="2075"/>
      <c r="CX46" s="2075"/>
      <c r="CY46" s="2075"/>
      <c r="CZ46" s="2075"/>
      <c r="DA46" s="2075"/>
      <c r="DB46" s="2075"/>
      <c r="DC46" s="2075"/>
      <c r="DD46" s="2075"/>
      <c r="DE46" s="2075"/>
      <c r="DF46" s="2075"/>
      <c r="DG46" s="2075"/>
      <c r="DH46" s="2075"/>
      <c r="DI46" s="2075"/>
      <c r="DJ46" s="2075"/>
      <c r="DK46" s="2075"/>
      <c r="DL46" s="2075"/>
      <c r="DM46" s="2075"/>
      <c r="DN46" s="2075"/>
      <c r="DO46" s="2075"/>
      <c r="DP46" s="2075"/>
      <c r="DQ46" s="2075"/>
      <c r="DR46" s="2075"/>
      <c r="DS46" s="2075"/>
      <c r="DT46" s="2075"/>
      <c r="DU46" s="2075"/>
      <c r="DV46" s="2075"/>
      <c r="DW46" s="2075"/>
      <c r="DX46" s="2075"/>
      <c r="DY46" s="2075"/>
      <c r="DZ46" s="2075"/>
      <c r="EA46" s="2075"/>
      <c r="EB46" s="2075"/>
      <c r="EC46" s="2075"/>
      <c r="ED46" s="2075"/>
      <c r="EE46" s="2075"/>
      <c r="EF46" s="2075"/>
      <c r="EG46" s="2075"/>
      <c r="EH46" s="2075"/>
      <c r="EI46" s="2075"/>
      <c r="EJ46" s="2075"/>
      <c r="EK46" s="2075"/>
      <c r="EL46" s="2075"/>
      <c r="EM46" s="2075"/>
      <c r="EN46" s="2075"/>
      <c r="EO46" s="2075"/>
      <c r="EP46" s="2075"/>
      <c r="EQ46" s="2075"/>
      <c r="ER46" s="2075"/>
      <c r="ES46" s="2075"/>
      <c r="ET46" s="2075"/>
      <c r="EU46" s="2075"/>
      <c r="EV46" s="2075"/>
      <c r="EW46" s="2075"/>
      <c r="EX46" s="2075"/>
      <c r="EY46" s="2075"/>
      <c r="EZ46" s="2075"/>
      <c r="FA46" s="2075"/>
      <c r="FB46" s="2075"/>
      <c r="FC46" s="2075"/>
      <c r="FD46" s="2075"/>
      <c r="FE46" s="2075"/>
      <c r="FF46" s="2075"/>
      <c r="FG46" s="2075"/>
      <c r="FH46" s="2075"/>
      <c r="FI46" s="2075"/>
      <c r="FJ46" s="2075"/>
      <c r="FK46" s="2075"/>
      <c r="FL46" s="2075"/>
      <c r="FM46" s="2075"/>
      <c r="FN46" s="2075"/>
      <c r="FO46" s="2075"/>
      <c r="FP46" s="2075"/>
      <c r="FQ46" s="2075"/>
      <c r="FR46" s="2075"/>
      <c r="FS46" s="2075"/>
      <c r="FT46" s="2075"/>
      <c r="FU46" s="2075"/>
      <c r="FV46" s="2075"/>
      <c r="FW46" s="2075"/>
      <c r="FX46" s="2075"/>
      <c r="FY46" s="2075"/>
      <c r="FZ46" s="2075"/>
      <c r="GA46" s="2075"/>
      <c r="GB46" s="2075"/>
      <c r="GC46" s="2075"/>
      <c r="GD46" s="2075"/>
      <c r="GE46" s="2075"/>
      <c r="GF46" s="2075"/>
      <c r="GG46" s="2075"/>
      <c r="GH46" s="2075"/>
      <c r="GI46" s="2075"/>
      <c r="GJ46" s="2075"/>
      <c r="GK46" s="2075"/>
      <c r="GL46" s="2075"/>
      <c r="GM46" s="2075"/>
      <c r="GN46" s="2075"/>
      <c r="GO46" s="2075"/>
      <c r="GP46" s="2075"/>
      <c r="GQ46" s="2075"/>
      <c r="GR46" s="2075"/>
      <c r="GS46" s="2075"/>
      <c r="GT46" s="2075"/>
      <c r="GU46" s="2075"/>
      <c r="GV46" s="2075"/>
      <c r="GW46" s="2075"/>
      <c r="GX46" s="2075"/>
      <c r="GY46" s="2075"/>
      <c r="GZ46" s="2075"/>
      <c r="HA46" s="2075"/>
      <c r="HB46" s="2075"/>
      <c r="HC46" s="2075"/>
      <c r="HD46" s="2075"/>
      <c r="HE46" s="2075"/>
      <c r="HF46" s="2075"/>
      <c r="HG46" s="2075"/>
      <c r="HH46" s="2075"/>
      <c r="HI46" s="2075"/>
      <c r="HJ46" s="2075"/>
      <c r="HK46" s="2075"/>
    </row>
    <row r="47" spans="1:219" s="2071" customFormat="1" x14ac:dyDescent="0.25">
      <c r="H47" s="2074"/>
    </row>
    <row r="48" spans="1:219" s="2071" customFormat="1" x14ac:dyDescent="0.25"/>
    <row r="49" s="2071" customFormat="1" x14ac:dyDescent="0.25"/>
    <row r="50" s="2071" customFormat="1" x14ac:dyDescent="0.25"/>
    <row r="51" s="2071" customFormat="1" x14ac:dyDescent="0.25"/>
    <row r="52" s="2071" customFormat="1" x14ac:dyDescent="0.25"/>
    <row r="53" s="2071" customFormat="1" x14ac:dyDescent="0.25"/>
    <row r="54" s="2071" customFormat="1" x14ac:dyDescent="0.25"/>
    <row r="55" s="2071" customFormat="1" x14ac:dyDescent="0.25"/>
    <row r="56" s="2071" customFormat="1" x14ac:dyDescent="0.25"/>
    <row r="57" s="2071" customFormat="1" x14ac:dyDescent="0.25"/>
    <row r="58" s="2071" customFormat="1" x14ac:dyDescent="0.25"/>
    <row r="59" s="2071" customFormat="1" x14ac:dyDescent="0.25"/>
    <row r="60" s="2071" customFormat="1" x14ac:dyDescent="0.25"/>
    <row r="61" s="2071" customFormat="1" x14ac:dyDescent="0.25"/>
    <row r="62" s="2071" customFormat="1" x14ac:dyDescent="0.25"/>
    <row r="63" s="2071" customFormat="1" x14ac:dyDescent="0.25"/>
    <row r="64" s="2071" customFormat="1" x14ac:dyDescent="0.25"/>
    <row r="65" s="2071" customFormat="1" x14ac:dyDescent="0.25"/>
    <row r="66" s="2071" customFormat="1" x14ac:dyDescent="0.25"/>
    <row r="67" s="2071" customFormat="1" x14ac:dyDescent="0.25"/>
    <row r="68" s="2071" customFormat="1" x14ac:dyDescent="0.25"/>
    <row r="69" s="2071" customFormat="1" x14ac:dyDescent="0.25"/>
    <row r="70" s="2071" customFormat="1" x14ac:dyDescent="0.25"/>
    <row r="71" s="2071" customFormat="1" x14ac:dyDescent="0.25"/>
    <row r="72" s="2071" customFormat="1" x14ac:dyDescent="0.25"/>
    <row r="73" s="2071" customFormat="1" x14ac:dyDescent="0.25"/>
    <row r="74" s="2071" customFormat="1" x14ac:dyDescent="0.25"/>
    <row r="75" s="2071" customFormat="1" x14ac:dyDescent="0.25"/>
    <row r="76" s="2071" customFormat="1" x14ac:dyDescent="0.25"/>
    <row r="77" s="2071" customFormat="1" x14ac:dyDescent="0.25"/>
    <row r="78" s="2071" customFormat="1" x14ac:dyDescent="0.25"/>
    <row r="79" s="2071" customFormat="1" x14ac:dyDescent="0.25"/>
    <row r="80" s="2071" customFormat="1" x14ac:dyDescent="0.25"/>
    <row r="81" s="2071" customFormat="1" x14ac:dyDescent="0.25"/>
    <row r="82" s="2071" customFormat="1" x14ac:dyDescent="0.25"/>
    <row r="83" s="2071" customFormat="1" x14ac:dyDescent="0.25"/>
    <row r="84" s="2071" customFormat="1" x14ac:dyDescent="0.25"/>
    <row r="85" s="2071" customFormat="1" x14ac:dyDescent="0.25"/>
    <row r="86" s="2071" customFormat="1" x14ac:dyDescent="0.25"/>
    <row r="87" s="2071" customFormat="1" x14ac:dyDescent="0.25"/>
    <row r="88" s="2071" customFormat="1" x14ac:dyDescent="0.25"/>
    <row r="89" s="2071" customFormat="1" x14ac:dyDescent="0.25"/>
    <row r="90" s="2071" customFormat="1" x14ac:dyDescent="0.25"/>
    <row r="91" s="2071" customFormat="1" x14ac:dyDescent="0.25"/>
    <row r="92" s="2071" customFormat="1" x14ac:dyDescent="0.25"/>
    <row r="93" s="2071" customFormat="1" x14ac:dyDescent="0.25"/>
    <row r="94" s="2071" customFormat="1" x14ac:dyDescent="0.25"/>
    <row r="95" s="2071" customFormat="1" x14ac:dyDescent="0.25"/>
    <row r="96" s="2071" customFormat="1" x14ac:dyDescent="0.25"/>
    <row r="97" s="2071" customFormat="1" x14ac:dyDescent="0.25"/>
    <row r="98" s="2071" customFormat="1" x14ac:dyDescent="0.25"/>
    <row r="99" s="2071" customFormat="1" x14ac:dyDescent="0.25"/>
    <row r="100" s="2071" customFormat="1" x14ac:dyDescent="0.25"/>
    <row r="101" s="2071" customFormat="1" x14ac:dyDescent="0.25"/>
    <row r="102" s="2071" customFormat="1" x14ac:dyDescent="0.25"/>
    <row r="103" s="2071" customFormat="1" x14ac:dyDescent="0.25"/>
    <row r="104" s="2071" customFormat="1" x14ac:dyDescent="0.25"/>
    <row r="105" s="2071" customFormat="1" x14ac:dyDescent="0.25"/>
    <row r="106" s="2071" customFormat="1" x14ac:dyDescent="0.25"/>
    <row r="107" s="2071" customFormat="1" x14ac:dyDescent="0.25"/>
    <row r="108" s="2071" customFormat="1" x14ac:dyDescent="0.25"/>
    <row r="109" s="2071" customFormat="1" x14ac:dyDescent="0.25"/>
    <row r="110" s="2071" customFormat="1" x14ac:dyDescent="0.25"/>
    <row r="111" s="2071" customFormat="1" x14ac:dyDescent="0.25"/>
    <row r="112" s="2071" customFormat="1" x14ac:dyDescent="0.25"/>
    <row r="113" s="2071" customFormat="1" x14ac:dyDescent="0.25"/>
    <row r="114" s="2071" customFormat="1" x14ac:dyDescent="0.25"/>
    <row r="115" s="2071" customFormat="1" x14ac:dyDescent="0.25"/>
    <row r="116" s="2071" customFormat="1" x14ac:dyDescent="0.25"/>
    <row r="117" s="2071" customFormat="1" x14ac:dyDescent="0.25"/>
    <row r="118" s="2071" customFormat="1" x14ac:dyDescent="0.25"/>
    <row r="119" s="2071" customFormat="1" x14ac:dyDescent="0.25"/>
    <row r="120" s="2071" customFormat="1" x14ac:dyDescent="0.25"/>
    <row r="121" s="2071" customFormat="1" x14ac:dyDescent="0.25"/>
    <row r="122" s="2071" customFormat="1" x14ac:dyDescent="0.25"/>
    <row r="123" s="2071" customFormat="1" x14ac:dyDescent="0.25"/>
    <row r="124" s="2071" customFormat="1" x14ac:dyDescent="0.25"/>
    <row r="125" s="2071" customFormat="1" x14ac:dyDescent="0.25"/>
    <row r="126" s="2071" customFormat="1" x14ac:dyDescent="0.25"/>
    <row r="127" s="2071" customFormat="1" x14ac:dyDescent="0.25"/>
    <row r="128" s="2071" customFormat="1" x14ac:dyDescent="0.25"/>
    <row r="129" s="2071" customFormat="1" x14ac:dyDescent="0.25"/>
    <row r="130" s="2071" customFormat="1" x14ac:dyDescent="0.25"/>
    <row r="131" s="2071" customFormat="1" x14ac:dyDescent="0.25"/>
    <row r="132" s="2071" customFormat="1" x14ac:dyDescent="0.25"/>
    <row r="133" s="2071" customFormat="1" x14ac:dyDescent="0.25"/>
    <row r="134" s="2071" customFormat="1" x14ac:dyDescent="0.25"/>
    <row r="135" s="2071" customFormat="1" x14ac:dyDescent="0.25"/>
    <row r="136" s="2071" customFormat="1" x14ac:dyDescent="0.25"/>
    <row r="137" s="2071" customFormat="1" x14ac:dyDescent="0.25"/>
    <row r="138" s="2071" customFormat="1" x14ac:dyDescent="0.25"/>
    <row r="139" s="2071" customFormat="1" x14ac:dyDescent="0.25"/>
    <row r="140" s="2071" customFormat="1" x14ac:dyDescent="0.25"/>
    <row r="141" s="2071" customFormat="1" x14ac:dyDescent="0.25"/>
    <row r="142" s="2071" customFormat="1" x14ac:dyDescent="0.25"/>
    <row r="143" s="2071" customFormat="1" x14ac:dyDescent="0.25"/>
    <row r="144" s="2071" customFormat="1" x14ac:dyDescent="0.25"/>
    <row r="145" s="2071" customFormat="1" x14ac:dyDescent="0.25"/>
    <row r="146" s="2071" customFormat="1" x14ac:dyDescent="0.25"/>
    <row r="147" s="2071" customFormat="1" x14ac:dyDescent="0.25"/>
    <row r="148" s="2071" customFormat="1" x14ac:dyDescent="0.25"/>
    <row r="149" s="2071" customFormat="1" x14ac:dyDescent="0.25"/>
    <row r="150" s="2071" customFormat="1" x14ac:dyDescent="0.25"/>
    <row r="151" s="2071" customFormat="1" x14ac:dyDescent="0.25"/>
    <row r="152" s="2071" customFormat="1" x14ac:dyDescent="0.25"/>
    <row r="153" s="2071" customFormat="1" x14ac:dyDescent="0.25"/>
    <row r="154" s="2071" customFormat="1" x14ac:dyDescent="0.25"/>
    <row r="155" s="2071" customFormat="1" x14ac:dyDescent="0.25"/>
    <row r="156" s="2071" customFormat="1" x14ac:dyDescent="0.25"/>
    <row r="157" s="2071" customFormat="1" x14ac:dyDescent="0.25"/>
    <row r="158" s="2071" customFormat="1" x14ac:dyDescent="0.25"/>
    <row r="159" s="2071" customFormat="1" x14ac:dyDescent="0.25"/>
    <row r="160" s="2071" customFormat="1" x14ac:dyDescent="0.25"/>
    <row r="161" s="2071" customFormat="1" x14ac:dyDescent="0.25"/>
    <row r="162" s="2071" customFormat="1" x14ac:dyDescent="0.25"/>
    <row r="163" s="2071" customFormat="1" x14ac:dyDescent="0.25"/>
    <row r="164" s="2071" customFormat="1" x14ac:dyDescent="0.25"/>
    <row r="165" s="2071" customFormat="1" x14ac:dyDescent="0.25"/>
    <row r="166" s="2071" customFormat="1" x14ac:dyDescent="0.25"/>
    <row r="167" s="2071" customFormat="1" x14ac:dyDescent="0.25"/>
    <row r="168" s="2071" customFormat="1" x14ac:dyDescent="0.25"/>
    <row r="169" s="2071" customFormat="1" x14ac:dyDescent="0.25"/>
    <row r="170" s="2071" customFormat="1" x14ac:dyDescent="0.25"/>
    <row r="171" s="2071" customFormat="1" x14ac:dyDescent="0.25"/>
    <row r="172" s="2071" customFormat="1" x14ac:dyDescent="0.25"/>
    <row r="173" s="2071" customFormat="1" x14ac:dyDescent="0.25"/>
    <row r="174" s="2071" customFormat="1" x14ac:dyDescent="0.25"/>
    <row r="175" s="2071" customFormat="1" x14ac:dyDescent="0.25"/>
    <row r="176" s="2071" customFormat="1" x14ac:dyDescent="0.25"/>
    <row r="177" s="2071" customFormat="1" x14ac:dyDescent="0.25"/>
    <row r="178" s="2071" customFormat="1" x14ac:dyDescent="0.25"/>
    <row r="179" s="2071" customFormat="1" x14ac:dyDescent="0.25"/>
    <row r="180" s="2071" customFormat="1" x14ac:dyDescent="0.25"/>
    <row r="181" s="2071" customFormat="1" x14ac:dyDescent="0.25"/>
    <row r="182" s="2071" customFormat="1" x14ac:dyDescent="0.25"/>
    <row r="183" s="2071" customFormat="1" x14ac:dyDescent="0.25"/>
    <row r="184" s="2071" customFormat="1" x14ac:dyDescent="0.25"/>
    <row r="185" s="2071" customFormat="1" x14ac:dyDescent="0.25"/>
    <row r="186" s="2071" customFormat="1" x14ac:dyDescent="0.25"/>
    <row r="187" s="2071" customFormat="1" x14ac:dyDescent="0.25"/>
    <row r="188" s="2071" customFormat="1" x14ac:dyDescent="0.25"/>
    <row r="189" s="2071" customFormat="1" x14ac:dyDescent="0.25"/>
    <row r="190" s="2071" customFormat="1" x14ac:dyDescent="0.25"/>
    <row r="191" s="2071" customFormat="1" x14ac:dyDescent="0.25"/>
    <row r="192" s="2071" customFormat="1" x14ac:dyDescent="0.25"/>
    <row r="193" s="2071" customFormat="1" x14ac:dyDescent="0.25"/>
    <row r="194" s="2071" customFormat="1" x14ac:dyDescent="0.25"/>
    <row r="195" s="2071" customFormat="1" x14ac:dyDescent="0.25"/>
    <row r="196" s="2071" customFormat="1" x14ac:dyDescent="0.25"/>
    <row r="197" s="2071" customFormat="1" x14ac:dyDescent="0.25"/>
    <row r="198" s="2071" customFormat="1" x14ac:dyDescent="0.25"/>
    <row r="199" s="2071" customFormat="1" x14ac:dyDescent="0.25"/>
    <row r="200" s="2071" customFormat="1" x14ac:dyDescent="0.25"/>
    <row r="201" s="2071" customFormat="1" x14ac:dyDescent="0.25"/>
    <row r="202" s="2071" customFormat="1" x14ac:dyDescent="0.25"/>
    <row r="203" s="2071" customFormat="1" x14ac:dyDescent="0.25"/>
    <row r="204" s="2071" customFormat="1" x14ac:dyDescent="0.25"/>
    <row r="205" s="2071" customFormat="1" x14ac:dyDescent="0.25"/>
    <row r="206" s="2071" customFormat="1" x14ac:dyDescent="0.25"/>
    <row r="207" s="2071" customFormat="1" x14ac:dyDescent="0.25"/>
    <row r="208" s="2071" customFormat="1" x14ac:dyDescent="0.25"/>
    <row r="209" s="2071" customFormat="1" x14ac:dyDescent="0.25"/>
    <row r="210" s="2071" customFormat="1" x14ac:dyDescent="0.25"/>
    <row r="211" s="2071" customFormat="1" x14ac:dyDescent="0.25"/>
    <row r="212" s="2071" customFormat="1" x14ac:dyDescent="0.25"/>
    <row r="213" s="2071" customFormat="1" x14ac:dyDescent="0.25"/>
    <row r="214" s="2071" customFormat="1" x14ac:dyDescent="0.25"/>
    <row r="215" s="2071" customFormat="1" x14ac:dyDescent="0.25"/>
    <row r="216" s="2071" customFormat="1" x14ac:dyDescent="0.25"/>
    <row r="217" s="2071" customFormat="1" x14ac:dyDescent="0.25"/>
    <row r="218" s="2071" customFormat="1" x14ac:dyDescent="0.25"/>
    <row r="219" s="2071" customFormat="1" x14ac:dyDescent="0.25"/>
    <row r="220" s="2071" customFormat="1" x14ac:dyDescent="0.25"/>
    <row r="221" s="2071" customFormat="1" x14ac:dyDescent="0.25"/>
    <row r="222" s="2071" customFormat="1" x14ac:dyDescent="0.25"/>
    <row r="223" s="2071" customFormat="1" x14ac:dyDescent="0.25"/>
    <row r="224" s="2071" customFormat="1" x14ac:dyDescent="0.25"/>
    <row r="225" s="2071" customFormat="1" x14ac:dyDescent="0.25"/>
    <row r="226" s="2071" customFormat="1" x14ac:dyDescent="0.25"/>
    <row r="227" s="2071" customFormat="1" x14ac:dyDescent="0.25"/>
    <row r="228" s="2071" customFormat="1" x14ac:dyDescent="0.25"/>
    <row r="229" s="2071" customFormat="1" x14ac:dyDescent="0.25"/>
    <row r="230" s="2071" customFormat="1" x14ac:dyDescent="0.25"/>
    <row r="231" s="2071" customFormat="1" x14ac:dyDescent="0.25"/>
    <row r="232" s="2071" customFormat="1" x14ac:dyDescent="0.25"/>
    <row r="233" s="2071" customFormat="1" x14ac:dyDescent="0.25"/>
    <row r="234" s="2071" customFormat="1" x14ac:dyDescent="0.25"/>
    <row r="235" s="2071" customFormat="1" x14ac:dyDescent="0.25"/>
    <row r="236" s="2071" customFormat="1" x14ac:dyDescent="0.25"/>
    <row r="237" s="2071" customFormat="1" x14ac:dyDescent="0.25"/>
    <row r="238" s="2071" customFormat="1" x14ac:dyDescent="0.25"/>
    <row r="239" s="2071" customFormat="1" x14ac:dyDescent="0.25"/>
    <row r="240" s="2071" customFormat="1" x14ac:dyDescent="0.25"/>
    <row r="241" s="2071" customFormat="1" x14ac:dyDescent="0.25"/>
    <row r="242" s="2071" customFormat="1" x14ac:dyDescent="0.25"/>
    <row r="243" s="2071" customFormat="1" x14ac:dyDescent="0.25"/>
    <row r="244" s="2071" customFormat="1" x14ac:dyDescent="0.25"/>
    <row r="245" s="2071" customFormat="1" x14ac:dyDescent="0.25"/>
    <row r="246" s="2071" customFormat="1" x14ac:dyDescent="0.25"/>
    <row r="247" s="2071" customFormat="1" x14ac:dyDescent="0.25"/>
    <row r="248" s="2071" customFormat="1" x14ac:dyDescent="0.25"/>
    <row r="249" s="2071" customFormat="1" x14ac:dyDescent="0.25"/>
    <row r="250" s="2071" customFormat="1" x14ac:dyDescent="0.25"/>
    <row r="251" s="2071" customFormat="1" x14ac:dyDescent="0.25"/>
    <row r="252" s="2071" customFormat="1" x14ac:dyDescent="0.25"/>
    <row r="253" s="2071" customFormat="1" x14ac:dyDescent="0.25"/>
    <row r="254" s="2071" customFormat="1" x14ac:dyDescent="0.25"/>
    <row r="255" s="2071" customFormat="1" x14ac:dyDescent="0.25"/>
    <row r="256" s="2071" customFormat="1" x14ac:dyDescent="0.25"/>
    <row r="257" s="2071" customFormat="1" x14ac:dyDescent="0.25"/>
    <row r="258" s="2071" customFormat="1" x14ac:dyDescent="0.25"/>
    <row r="259" s="2071" customFormat="1" x14ac:dyDescent="0.25"/>
    <row r="260" s="2071" customFormat="1" x14ac:dyDescent="0.25"/>
    <row r="261" s="2071" customFormat="1" x14ac:dyDescent="0.25"/>
    <row r="262" s="2071" customFormat="1" x14ac:dyDescent="0.25"/>
    <row r="263" s="2071" customFormat="1" x14ac:dyDescent="0.25"/>
    <row r="264" s="2071" customFormat="1" x14ac:dyDescent="0.25"/>
    <row r="265" s="2071" customFormat="1" x14ac:dyDescent="0.25"/>
    <row r="266" s="2071" customFormat="1" x14ac:dyDescent="0.25"/>
    <row r="267" s="2071" customFormat="1" x14ac:dyDescent="0.25"/>
    <row r="268" s="2071" customFormat="1" x14ac:dyDescent="0.25"/>
    <row r="269" s="2071" customFormat="1" x14ac:dyDescent="0.25"/>
    <row r="270" s="2071" customFormat="1" x14ac:dyDescent="0.25"/>
    <row r="271" s="2071" customFormat="1" x14ac:dyDescent="0.25"/>
    <row r="272" s="2071" customFormat="1" x14ac:dyDescent="0.25"/>
    <row r="273" s="2071" customFormat="1" x14ac:dyDescent="0.25"/>
    <row r="274" s="2071" customFormat="1" x14ac:dyDescent="0.25"/>
    <row r="275" s="2071" customFormat="1" x14ac:dyDescent="0.25"/>
    <row r="276" s="2071" customFormat="1" x14ac:dyDescent="0.25"/>
    <row r="277" s="2071" customFormat="1" x14ac:dyDescent="0.25"/>
    <row r="278" s="2071" customFormat="1" x14ac:dyDescent="0.25"/>
    <row r="279" s="2071" customFormat="1" x14ac:dyDescent="0.25"/>
    <row r="280" s="2071" customFormat="1" x14ac:dyDescent="0.25"/>
    <row r="281" s="2071" customFormat="1" x14ac:dyDescent="0.25"/>
    <row r="282" s="2071" customFormat="1" x14ac:dyDescent="0.25"/>
    <row r="283" s="2071" customFormat="1" x14ac:dyDescent="0.25"/>
    <row r="284" s="2071" customFormat="1" x14ac:dyDescent="0.25"/>
    <row r="285" s="2071" customFormat="1" x14ac:dyDescent="0.25"/>
    <row r="286" s="2071" customFormat="1" x14ac:dyDescent="0.25"/>
    <row r="287" s="2071" customFormat="1" x14ac:dyDescent="0.25"/>
    <row r="288" s="2071" customFormat="1" x14ac:dyDescent="0.25"/>
    <row r="289" s="2071" customFormat="1" x14ac:dyDescent="0.25"/>
    <row r="290" s="2071" customFormat="1" x14ac:dyDescent="0.25"/>
    <row r="291" s="2071" customFormat="1" x14ac:dyDescent="0.25"/>
    <row r="292" s="2071" customFormat="1" x14ac:dyDescent="0.25"/>
    <row r="293" s="2071" customFormat="1" x14ac:dyDescent="0.25"/>
    <row r="294" s="2071" customFormat="1" x14ac:dyDescent="0.25"/>
    <row r="295" s="2071" customFormat="1" x14ac:dyDescent="0.25"/>
    <row r="296" s="2071" customFormat="1" x14ac:dyDescent="0.25"/>
    <row r="297" s="2071" customFormat="1" x14ac:dyDescent="0.25"/>
    <row r="298" s="2071" customFormat="1" x14ac:dyDescent="0.25"/>
    <row r="299" s="2071" customFormat="1" x14ac:dyDescent="0.25"/>
    <row r="300" s="2071" customFormat="1" x14ac:dyDescent="0.25"/>
    <row r="301" s="2071" customFormat="1" x14ac:dyDescent="0.25"/>
    <row r="302" s="2071" customFormat="1" x14ac:dyDescent="0.25"/>
    <row r="303" s="2071" customFormat="1" x14ac:dyDescent="0.25"/>
    <row r="304" s="2071" customFormat="1" x14ac:dyDescent="0.25"/>
    <row r="305" s="2071" customFormat="1" x14ac:dyDescent="0.25"/>
    <row r="306" s="2071" customFormat="1" x14ac:dyDescent="0.25"/>
    <row r="307" s="2071" customFormat="1" x14ac:dyDescent="0.25"/>
    <row r="308" s="2071" customFormat="1" x14ac:dyDescent="0.25"/>
    <row r="309" s="2071" customFormat="1" x14ac:dyDescent="0.25"/>
    <row r="310" s="2071" customFormat="1" x14ac:dyDescent="0.25"/>
    <row r="311" s="2071" customFormat="1" x14ac:dyDescent="0.25"/>
    <row r="312" s="2071" customFormat="1" x14ac:dyDescent="0.25"/>
    <row r="313" s="2071" customFormat="1" x14ac:dyDescent="0.25"/>
    <row r="314" s="2071" customFormat="1" x14ac:dyDescent="0.25"/>
    <row r="315" s="2071" customFormat="1" x14ac:dyDescent="0.25"/>
    <row r="316" s="2071" customFormat="1" x14ac:dyDescent="0.25"/>
    <row r="317" s="2071" customFormat="1" x14ac:dyDescent="0.25"/>
    <row r="318" s="2071" customFormat="1" x14ac:dyDescent="0.25"/>
    <row r="319" s="2071" customFormat="1" x14ac:dyDescent="0.25"/>
    <row r="320" s="2071" customFormat="1" x14ac:dyDescent="0.25"/>
    <row r="321" s="2071" customFormat="1" x14ac:dyDescent="0.25"/>
    <row r="322" s="2071" customFormat="1" x14ac:dyDescent="0.25"/>
    <row r="323" s="2071" customFormat="1" x14ac:dyDescent="0.25"/>
    <row r="324" s="2071" customFormat="1" x14ac:dyDescent="0.25"/>
    <row r="325" s="2071" customFormat="1" x14ac:dyDescent="0.25"/>
    <row r="326" s="2071" customFormat="1" x14ac:dyDescent="0.25"/>
    <row r="327" s="2071" customFormat="1" x14ac:dyDescent="0.25"/>
    <row r="328" s="2071" customFormat="1" x14ac:dyDescent="0.25"/>
    <row r="329" s="2071" customFormat="1" x14ac:dyDescent="0.25"/>
    <row r="330" s="2071" customFormat="1" x14ac:dyDescent="0.25"/>
    <row r="331" s="2071" customFormat="1" x14ac:dyDescent="0.25"/>
    <row r="332" s="2071" customFormat="1" x14ac:dyDescent="0.25"/>
    <row r="333" s="2071" customFormat="1" x14ac:dyDescent="0.25"/>
    <row r="334" s="2071" customFormat="1" x14ac:dyDescent="0.25"/>
    <row r="335" s="2071" customFormat="1" x14ac:dyDescent="0.25"/>
    <row r="336" s="2071" customFormat="1" x14ac:dyDescent="0.25"/>
    <row r="337" s="2071" customFormat="1" x14ac:dyDescent="0.25"/>
    <row r="338" s="2071" customFormat="1" x14ac:dyDescent="0.25"/>
    <row r="339" s="2071" customFormat="1" x14ac:dyDescent="0.25"/>
    <row r="340" s="2071" customFormat="1" x14ac:dyDescent="0.25"/>
    <row r="341" s="2071" customFormat="1" x14ac:dyDescent="0.25"/>
    <row r="342" s="2071" customFormat="1" x14ac:dyDescent="0.25"/>
    <row r="343" s="2071" customFormat="1" x14ac:dyDescent="0.25"/>
    <row r="344" s="2071" customFormat="1" x14ac:dyDescent="0.25"/>
    <row r="345" s="2071" customFormat="1" x14ac:dyDescent="0.25"/>
    <row r="346" s="2071" customFormat="1" x14ac:dyDescent="0.25"/>
    <row r="347" s="2071" customFormat="1" x14ac:dyDescent="0.25"/>
    <row r="348" s="2071" customFormat="1" x14ac:dyDescent="0.25"/>
    <row r="349" s="2071" customFormat="1" x14ac:dyDescent="0.25"/>
    <row r="350" s="2071" customFormat="1" x14ac:dyDescent="0.25"/>
    <row r="351" s="2071" customFormat="1" x14ac:dyDescent="0.25"/>
    <row r="352" s="2071" customFormat="1" x14ac:dyDescent="0.25"/>
    <row r="353" s="2071" customFormat="1" x14ac:dyDescent="0.25"/>
    <row r="354" s="2071" customFormat="1" x14ac:dyDescent="0.25"/>
    <row r="355" s="2071" customFormat="1" x14ac:dyDescent="0.25"/>
    <row r="356" s="2071" customFormat="1" x14ac:dyDescent="0.25"/>
    <row r="357" s="2071" customFormat="1" x14ac:dyDescent="0.25"/>
    <row r="358" s="2071" customFormat="1" x14ac:dyDescent="0.25"/>
    <row r="359" s="2071" customFormat="1" x14ac:dyDescent="0.25"/>
    <row r="360" s="2071" customFormat="1" x14ac:dyDescent="0.25"/>
    <row r="361" s="2071" customFormat="1" x14ac:dyDescent="0.25"/>
    <row r="362" s="2071" customFormat="1" x14ac:dyDescent="0.25"/>
    <row r="363" s="2071" customFormat="1" x14ac:dyDescent="0.25"/>
    <row r="364" s="2071" customFormat="1" x14ac:dyDescent="0.25"/>
    <row r="365" s="2071" customFormat="1" x14ac:dyDescent="0.25"/>
    <row r="366" s="2071" customFormat="1" x14ac:dyDescent="0.25"/>
    <row r="367" s="2071" customFormat="1" x14ac:dyDescent="0.25"/>
    <row r="368" s="2071" customFormat="1" x14ac:dyDescent="0.25"/>
    <row r="369" s="2071" customFormat="1" x14ac:dyDescent="0.25"/>
    <row r="370" s="2071" customFormat="1" x14ac:dyDescent="0.25"/>
    <row r="371" s="2071" customFormat="1" x14ac:dyDescent="0.25"/>
    <row r="372" s="2071" customFormat="1" x14ac:dyDescent="0.25"/>
    <row r="373" s="2071" customFormat="1" x14ac:dyDescent="0.25"/>
    <row r="374" s="2071" customFormat="1" x14ac:dyDescent="0.25"/>
    <row r="375" s="2071" customFormat="1" x14ac:dyDescent="0.25"/>
    <row r="376" s="2071" customFormat="1" x14ac:dyDescent="0.25"/>
    <row r="377" s="2071" customFormat="1" x14ac:dyDescent="0.25"/>
    <row r="378" s="2071" customFormat="1" x14ac:dyDescent="0.25"/>
    <row r="379" s="2071" customFormat="1" x14ac:dyDescent="0.25"/>
    <row r="380" s="2071" customFormat="1" x14ac:dyDescent="0.25"/>
    <row r="381" s="2071" customFormat="1" x14ac:dyDescent="0.25"/>
    <row r="382" s="2071" customFormat="1" x14ac:dyDescent="0.25"/>
    <row r="383" s="2071" customFormat="1" x14ac:dyDescent="0.25"/>
    <row r="384" s="2071" customFormat="1" x14ac:dyDescent="0.25"/>
    <row r="385" s="2071" customFormat="1" x14ac:dyDescent="0.25"/>
    <row r="386" s="2071" customFormat="1" x14ac:dyDescent="0.25"/>
    <row r="387" s="2071" customFormat="1" x14ac:dyDescent="0.25"/>
    <row r="388" s="2071" customFormat="1" x14ac:dyDescent="0.25"/>
    <row r="389" s="2071" customFormat="1" x14ac:dyDescent="0.25"/>
    <row r="390" s="2071" customFormat="1" x14ac:dyDescent="0.25"/>
    <row r="391" s="2071" customFormat="1" x14ac:dyDescent="0.25"/>
    <row r="392" s="2071" customFormat="1" x14ac:dyDescent="0.25"/>
    <row r="393" s="2071" customFormat="1" x14ac:dyDescent="0.25"/>
    <row r="394" s="2071" customFormat="1" x14ac:dyDescent="0.25"/>
    <row r="395" s="2071" customFormat="1" x14ac:dyDescent="0.25"/>
    <row r="396" s="2071" customFormat="1" x14ac:dyDescent="0.25"/>
    <row r="397" s="2071" customFormat="1" x14ac:dyDescent="0.25"/>
    <row r="398" s="2071" customFormat="1" x14ac:dyDescent="0.25"/>
    <row r="399" s="2071" customFormat="1" x14ac:dyDescent="0.25"/>
    <row r="400" s="2071" customFormat="1" x14ac:dyDescent="0.25"/>
    <row r="401" s="2071" customFormat="1" x14ac:dyDescent="0.25"/>
    <row r="402" s="2071" customFormat="1" x14ac:dyDescent="0.25"/>
    <row r="403" s="2071" customFormat="1" x14ac:dyDescent="0.25"/>
    <row r="404" s="2071" customFormat="1" x14ac:dyDescent="0.25"/>
    <row r="405" s="2071" customFormat="1" x14ac:dyDescent="0.25"/>
    <row r="406" s="2071" customFormat="1" x14ac:dyDescent="0.25"/>
    <row r="407" s="2071" customFormat="1" x14ac:dyDescent="0.25"/>
    <row r="408" s="2071" customFormat="1" x14ac:dyDescent="0.25"/>
    <row r="409" s="2071" customFormat="1" x14ac:dyDescent="0.25"/>
    <row r="410" s="2071" customFormat="1" x14ac:dyDescent="0.25"/>
    <row r="411" s="2071" customFormat="1" x14ac:dyDescent="0.25"/>
    <row r="412" s="2071" customFormat="1" x14ac:dyDescent="0.25"/>
    <row r="413" s="2071" customFormat="1" x14ac:dyDescent="0.25"/>
    <row r="414" s="2071" customFormat="1" x14ac:dyDescent="0.25"/>
    <row r="415" s="2071" customFormat="1" x14ac:dyDescent="0.25"/>
    <row r="416" s="2071" customFormat="1" x14ac:dyDescent="0.25"/>
    <row r="417" s="2071" customFormat="1" x14ac:dyDescent="0.25"/>
    <row r="418" s="2071" customFormat="1" x14ac:dyDescent="0.25"/>
    <row r="419" s="2071" customFormat="1" x14ac:dyDescent="0.25"/>
    <row r="420" s="2071" customFormat="1" x14ac:dyDescent="0.25"/>
    <row r="421" s="2071" customFormat="1" x14ac:dyDescent="0.25"/>
    <row r="422" s="2071" customFormat="1" x14ac:dyDescent="0.25"/>
    <row r="423" s="2071" customFormat="1" x14ac:dyDescent="0.25"/>
    <row r="424" s="2071" customFormat="1" x14ac:dyDescent="0.25"/>
    <row r="425" s="2071" customFormat="1" x14ac:dyDescent="0.25"/>
    <row r="426" s="2071" customFormat="1" x14ac:dyDescent="0.25"/>
    <row r="427" s="2071" customFormat="1" x14ac:dyDescent="0.25"/>
    <row r="428" s="2071" customFormat="1" x14ac:dyDescent="0.25"/>
    <row r="429" s="2071" customFormat="1" x14ac:dyDescent="0.25"/>
    <row r="430" s="2071" customFormat="1" x14ac:dyDescent="0.25"/>
    <row r="431" s="2071" customFormat="1" x14ac:dyDescent="0.25"/>
    <row r="432" s="2071" customFormat="1" x14ac:dyDescent="0.25"/>
    <row r="433" s="2071" customFormat="1" x14ac:dyDescent="0.25"/>
    <row r="434" s="2071" customFormat="1" x14ac:dyDescent="0.25"/>
    <row r="435" s="2071" customFormat="1" x14ac:dyDescent="0.25"/>
    <row r="436" s="2071" customFormat="1" x14ac:dyDescent="0.25"/>
    <row r="437" s="2071" customFormat="1" x14ac:dyDescent="0.25"/>
    <row r="438" s="2071" customFormat="1" x14ac:dyDescent="0.25"/>
    <row r="439" s="2071" customFormat="1" x14ac:dyDescent="0.25"/>
    <row r="440" s="2071" customFormat="1" x14ac:dyDescent="0.25"/>
    <row r="441" s="2071" customFormat="1" x14ac:dyDescent="0.25"/>
    <row r="442" s="2071" customFormat="1" x14ac:dyDescent="0.25"/>
    <row r="443" s="2071" customFormat="1" x14ac:dyDescent="0.25"/>
    <row r="444" s="2071" customFormat="1" x14ac:dyDescent="0.25"/>
    <row r="445" s="2071" customFormat="1" x14ac:dyDescent="0.25"/>
    <row r="446" s="2071" customFormat="1" x14ac:dyDescent="0.25"/>
    <row r="447" s="2071" customFormat="1" x14ac:dyDescent="0.25"/>
    <row r="448" s="2071" customFormat="1" x14ac:dyDescent="0.25"/>
    <row r="449" s="2071" customFormat="1" x14ac:dyDescent="0.25"/>
    <row r="450" s="2071" customFormat="1" x14ac:dyDescent="0.25"/>
    <row r="451" s="2071" customFormat="1" x14ac:dyDescent="0.25"/>
    <row r="452" s="2071" customFormat="1" x14ac:dyDescent="0.25"/>
    <row r="453" s="2071" customFormat="1" x14ac:dyDescent="0.25"/>
    <row r="454" s="2071" customFormat="1" x14ac:dyDescent="0.25"/>
    <row r="455" s="2071" customFormat="1" x14ac:dyDescent="0.25"/>
    <row r="456" s="2071" customFormat="1" x14ac:dyDescent="0.25"/>
    <row r="457" s="2071" customFormat="1" x14ac:dyDescent="0.25"/>
    <row r="458" s="2071" customFormat="1" x14ac:dyDescent="0.25"/>
    <row r="459" s="2071" customFormat="1" x14ac:dyDescent="0.25"/>
    <row r="460" s="2071" customFormat="1" x14ac:dyDescent="0.25"/>
    <row r="461" s="2071" customFormat="1" x14ac:dyDescent="0.25"/>
    <row r="462" s="2071" customFormat="1" x14ac:dyDescent="0.25"/>
    <row r="463" s="2071" customFormat="1" x14ac:dyDescent="0.25"/>
    <row r="464" s="2071" customFormat="1" x14ac:dyDescent="0.25"/>
    <row r="465" s="2071" customFormat="1" x14ac:dyDescent="0.25"/>
    <row r="466" s="2071" customFormat="1" x14ac:dyDescent="0.25"/>
    <row r="467" s="2071" customFormat="1" x14ac:dyDescent="0.25"/>
    <row r="468" s="2071" customFormat="1" x14ac:dyDescent="0.25"/>
    <row r="469" s="2071" customFormat="1" x14ac:dyDescent="0.25"/>
    <row r="470" s="2071" customFormat="1" x14ac:dyDescent="0.25"/>
    <row r="471" s="2071" customFormat="1" x14ac:dyDescent="0.25"/>
    <row r="472" s="2071" customFormat="1" x14ac:dyDescent="0.25"/>
    <row r="473" s="2071" customFormat="1" x14ac:dyDescent="0.25"/>
    <row r="474" s="2071" customFormat="1" x14ac:dyDescent="0.25"/>
    <row r="475" s="2071" customFormat="1" x14ac:dyDescent="0.25"/>
    <row r="476" s="2071" customFormat="1" x14ac:dyDescent="0.25"/>
    <row r="477" s="2071" customFormat="1" x14ac:dyDescent="0.25"/>
    <row r="478" s="2071" customFormat="1" x14ac:dyDescent="0.25"/>
    <row r="479" s="2071" customFormat="1" x14ac:dyDescent="0.25"/>
    <row r="480" s="2071" customFormat="1" x14ac:dyDescent="0.25"/>
    <row r="481" s="2071" customFormat="1" x14ac:dyDescent="0.25"/>
    <row r="482" s="2071" customFormat="1" x14ac:dyDescent="0.25"/>
    <row r="483" s="2071" customFormat="1" x14ac:dyDescent="0.25"/>
    <row r="484" s="2071" customFormat="1" x14ac:dyDescent="0.25"/>
    <row r="485" s="2071" customFormat="1" x14ac:dyDescent="0.25"/>
    <row r="486" s="2071" customFormat="1" x14ac:dyDescent="0.25"/>
    <row r="487" s="2071" customFormat="1" x14ac:dyDescent="0.25"/>
    <row r="488" s="2071" customFormat="1" x14ac:dyDescent="0.25"/>
    <row r="489" s="2071" customFormat="1" x14ac:dyDescent="0.25"/>
    <row r="490" s="2071" customFormat="1" x14ac:dyDescent="0.25"/>
    <row r="491" s="2071" customFormat="1" x14ac:dyDescent="0.25"/>
    <row r="492" s="2071" customFormat="1" x14ac:dyDescent="0.25"/>
    <row r="493" s="2071" customFormat="1" x14ac:dyDescent="0.25"/>
    <row r="494" s="2071" customFormat="1" x14ac:dyDescent="0.25"/>
    <row r="495" s="2071" customFormat="1" x14ac:dyDescent="0.25"/>
    <row r="496" s="2071" customFormat="1" x14ac:dyDescent="0.25"/>
    <row r="497" s="2071" customFormat="1" x14ac:dyDescent="0.25"/>
    <row r="498" s="2071" customFormat="1" x14ac:dyDescent="0.25"/>
    <row r="499" s="2071" customFormat="1" x14ac:dyDescent="0.25"/>
    <row r="500" s="2071" customFormat="1" x14ac:dyDescent="0.25"/>
    <row r="501" s="2071" customFormat="1" x14ac:dyDescent="0.25"/>
    <row r="502" s="2071" customFormat="1" x14ac:dyDescent="0.25"/>
    <row r="503" s="2071" customFormat="1" x14ac:dyDescent="0.25"/>
    <row r="504" s="2071" customFormat="1" x14ac:dyDescent="0.25"/>
    <row r="505" s="2071" customFormat="1" x14ac:dyDescent="0.25"/>
    <row r="506" s="2071" customFormat="1" x14ac:dyDescent="0.25"/>
    <row r="507" s="2071" customFormat="1" x14ac:dyDescent="0.25"/>
    <row r="508" s="2071" customFormat="1" x14ac:dyDescent="0.25"/>
    <row r="509" s="2071" customFormat="1" x14ac:dyDescent="0.25"/>
    <row r="510" s="2071" customFormat="1" x14ac:dyDescent="0.25"/>
    <row r="511" s="2071" customFormat="1" x14ac:dyDescent="0.25"/>
    <row r="512" s="2071" customFormat="1" x14ac:dyDescent="0.25"/>
    <row r="513" s="2071" customFormat="1" x14ac:dyDescent="0.25"/>
    <row r="514" s="2071" customFormat="1" x14ac:dyDescent="0.25"/>
    <row r="515" s="2071" customFormat="1" x14ac:dyDescent="0.25"/>
    <row r="516" s="2071" customFormat="1" x14ac:dyDescent="0.25"/>
    <row r="517" s="2071" customFormat="1" x14ac:dyDescent="0.25"/>
    <row r="518" s="2071" customFormat="1" x14ac:dyDescent="0.25"/>
    <row r="519" s="2071" customFormat="1" x14ac:dyDescent="0.25"/>
    <row r="520" s="2071" customFormat="1" x14ac:dyDescent="0.25"/>
    <row r="521" s="2071" customFormat="1" x14ac:dyDescent="0.25"/>
    <row r="522" s="2071" customFormat="1" x14ac:dyDescent="0.25"/>
    <row r="523" s="2071" customFormat="1" x14ac:dyDescent="0.25"/>
    <row r="524" s="2071" customFormat="1" x14ac:dyDescent="0.25"/>
    <row r="525" s="2071" customFormat="1" x14ac:dyDescent="0.25"/>
    <row r="526" s="2071" customFormat="1" x14ac:dyDescent="0.25"/>
    <row r="527" s="2071" customFormat="1" x14ac:dyDescent="0.25"/>
    <row r="528" s="2071" customFormat="1" x14ac:dyDescent="0.25"/>
    <row r="529" s="2071" customFormat="1" x14ac:dyDescent="0.25"/>
    <row r="530" s="2071" customFormat="1" x14ac:dyDescent="0.25"/>
    <row r="531" s="2071" customFormat="1" x14ac:dyDescent="0.25"/>
    <row r="532" s="2071" customFormat="1" x14ac:dyDescent="0.25"/>
    <row r="533" s="2071" customFormat="1" x14ac:dyDescent="0.25"/>
    <row r="534" s="2071" customFormat="1" x14ac:dyDescent="0.25"/>
    <row r="535" s="2071" customFormat="1" x14ac:dyDescent="0.25"/>
    <row r="536" s="2071" customFormat="1" x14ac:dyDescent="0.25"/>
    <row r="537" s="2071" customFormat="1" x14ac:dyDescent="0.25"/>
    <row r="538" s="2071" customFormat="1" x14ac:dyDescent="0.25"/>
    <row r="539" s="2071" customFormat="1" x14ac:dyDescent="0.25"/>
    <row r="540" s="2071" customFormat="1" x14ac:dyDescent="0.25"/>
    <row r="541" s="2071" customFormat="1" x14ac:dyDescent="0.25"/>
    <row r="542" s="2071" customFormat="1" x14ac:dyDescent="0.25"/>
    <row r="543" s="2071" customFormat="1" x14ac:dyDescent="0.25"/>
    <row r="544" s="2071" customFormat="1" x14ac:dyDescent="0.25"/>
    <row r="545" s="2071" customFormat="1" x14ac:dyDescent="0.25"/>
    <row r="546" s="2071" customFormat="1" x14ac:dyDescent="0.25"/>
    <row r="547" s="2071" customFormat="1" x14ac:dyDescent="0.25"/>
    <row r="548" s="2071" customFormat="1" x14ac:dyDescent="0.25"/>
    <row r="549" s="2071" customFormat="1" x14ac:dyDescent="0.25"/>
    <row r="550" s="2071" customFormat="1" x14ac:dyDescent="0.25"/>
    <row r="551" s="2071" customFormat="1" x14ac:dyDescent="0.25"/>
    <row r="552" s="2071" customFormat="1" x14ac:dyDescent="0.25"/>
    <row r="553" s="2071" customFormat="1" x14ac:dyDescent="0.25"/>
    <row r="554" s="2071" customFormat="1" x14ac:dyDescent="0.25"/>
    <row r="555" s="2071" customFormat="1" x14ac:dyDescent="0.25"/>
    <row r="556" s="2071" customFormat="1" x14ac:dyDescent="0.25"/>
    <row r="557" s="2071" customFormat="1" x14ac:dyDescent="0.25"/>
    <row r="558" s="2071" customFormat="1" x14ac:dyDescent="0.25"/>
    <row r="559" s="2071" customFormat="1" x14ac:dyDescent="0.25"/>
    <row r="560" s="2071" customFormat="1" x14ac:dyDescent="0.25"/>
    <row r="561" s="2071" customFormat="1" x14ac:dyDescent="0.25"/>
    <row r="562" s="2071" customFormat="1" x14ac:dyDescent="0.25"/>
    <row r="563" s="2071" customFormat="1" x14ac:dyDescent="0.25"/>
    <row r="564" s="2071" customFormat="1" x14ac:dyDescent="0.25"/>
    <row r="565" s="2071" customFormat="1" x14ac:dyDescent="0.25"/>
    <row r="566" s="2071" customFormat="1" x14ac:dyDescent="0.25"/>
    <row r="567" s="2071" customFormat="1" x14ac:dyDescent="0.25"/>
    <row r="568" s="2071" customFormat="1" x14ac:dyDescent="0.25"/>
    <row r="569" s="2071" customFormat="1" x14ac:dyDescent="0.25"/>
    <row r="570" s="2071" customFormat="1" x14ac:dyDescent="0.25"/>
    <row r="571" s="2071" customFormat="1" x14ac:dyDescent="0.25"/>
    <row r="572" s="2071" customFormat="1" x14ac:dyDescent="0.25"/>
    <row r="573" s="2071" customFormat="1" x14ac:dyDescent="0.25"/>
    <row r="574" s="2071" customFormat="1" x14ac:dyDescent="0.25"/>
    <row r="575" s="2071" customFormat="1" x14ac:dyDescent="0.25"/>
    <row r="576" s="2071" customFormat="1" x14ac:dyDescent="0.25"/>
    <row r="577" s="2071" customFormat="1" x14ac:dyDescent="0.25"/>
    <row r="578" s="2071" customFormat="1" x14ac:dyDescent="0.25"/>
    <row r="579" s="2071" customFormat="1" x14ac:dyDescent="0.25"/>
    <row r="580" s="2071" customFormat="1" x14ac:dyDescent="0.25"/>
    <row r="581" s="2071" customFormat="1" x14ac:dyDescent="0.25"/>
    <row r="582" s="2071" customFormat="1" x14ac:dyDescent="0.25"/>
    <row r="583" s="2071" customFormat="1" x14ac:dyDescent="0.25"/>
    <row r="584" s="2071" customFormat="1" x14ac:dyDescent="0.25"/>
    <row r="585" s="2071" customFormat="1" x14ac:dyDescent="0.25"/>
    <row r="586" s="2071" customFormat="1" x14ac:dyDescent="0.25"/>
    <row r="587" s="2071" customFormat="1" x14ac:dyDescent="0.25"/>
    <row r="588" s="2071" customFormat="1" x14ac:dyDescent="0.25"/>
    <row r="589" s="2071" customFormat="1" x14ac:dyDescent="0.25"/>
    <row r="590" s="2071" customFormat="1" x14ac:dyDescent="0.25"/>
    <row r="591" s="2071" customFormat="1" x14ac:dyDescent="0.25"/>
    <row r="592" s="2071" customFormat="1" x14ac:dyDescent="0.25"/>
    <row r="593" s="2071" customFormat="1" x14ac:dyDescent="0.25"/>
    <row r="594" s="2071" customFormat="1" x14ac:dyDescent="0.25"/>
    <row r="595" s="2071" customFormat="1" x14ac:dyDescent="0.25"/>
    <row r="596" s="2071" customFormat="1" x14ac:dyDescent="0.25"/>
    <row r="597" s="2071" customFormat="1" x14ac:dyDescent="0.25"/>
    <row r="598" s="2071" customFormat="1" x14ac:dyDescent="0.25"/>
    <row r="599" s="2071" customFormat="1" x14ac:dyDescent="0.25"/>
    <row r="600" s="2071" customFormat="1" x14ac:dyDescent="0.25"/>
    <row r="601" s="2071" customFormat="1" x14ac:dyDescent="0.25"/>
    <row r="602" s="2071" customFormat="1" x14ac:dyDescent="0.25"/>
    <row r="603" s="2071" customFormat="1" x14ac:dyDescent="0.25"/>
    <row r="604" s="2071" customFormat="1" x14ac:dyDescent="0.25"/>
    <row r="605" s="2071" customFormat="1" x14ac:dyDescent="0.25"/>
    <row r="606" s="2071" customFormat="1" x14ac:dyDescent="0.25"/>
    <row r="607" s="2071" customFormat="1" x14ac:dyDescent="0.25"/>
    <row r="608" s="2071" customFormat="1" x14ac:dyDescent="0.25"/>
    <row r="609" s="2071" customFormat="1" x14ac:dyDescent="0.25"/>
    <row r="610" s="2071" customFormat="1" x14ac:dyDescent="0.25"/>
    <row r="611" s="2071" customFormat="1" x14ac:dyDescent="0.25"/>
    <row r="612" s="2071" customFormat="1" x14ac:dyDescent="0.25"/>
    <row r="613" s="2071" customFormat="1" x14ac:dyDescent="0.25"/>
    <row r="614" s="2071" customFormat="1" x14ac:dyDescent="0.25"/>
    <row r="615" s="2071" customFormat="1" x14ac:dyDescent="0.25"/>
    <row r="616" s="2071" customFormat="1" x14ac:dyDescent="0.25"/>
    <row r="617" s="2071" customFormat="1" x14ac:dyDescent="0.25"/>
    <row r="618" s="2071" customFormat="1" x14ac:dyDescent="0.25"/>
    <row r="619" s="2071" customFormat="1" x14ac:dyDescent="0.25"/>
    <row r="620" s="2071" customFormat="1" x14ac:dyDescent="0.25"/>
    <row r="621" s="2071" customFormat="1" x14ac:dyDescent="0.25"/>
    <row r="622" s="2071" customFormat="1" x14ac:dyDescent="0.25"/>
    <row r="623" s="2071" customFormat="1" x14ac:dyDescent="0.25"/>
    <row r="624" s="2071" customFormat="1" x14ac:dyDescent="0.25"/>
    <row r="625" s="2071" customFormat="1" x14ac:dyDescent="0.25"/>
    <row r="626" s="2071" customFormat="1" x14ac:dyDescent="0.25"/>
    <row r="627" s="2071" customFormat="1" x14ac:dyDescent="0.25"/>
    <row r="628" s="2071" customFormat="1" x14ac:dyDescent="0.25"/>
    <row r="629" s="2071" customFormat="1" x14ac:dyDescent="0.25"/>
    <row r="630" s="2071" customFormat="1" x14ac:dyDescent="0.25"/>
    <row r="631" s="2071" customFormat="1" x14ac:dyDescent="0.25"/>
    <row r="632" s="2071" customFormat="1" x14ac:dyDescent="0.25"/>
    <row r="633" s="2071" customFormat="1" x14ac:dyDescent="0.25"/>
    <row r="634" s="2071" customFormat="1" x14ac:dyDescent="0.25"/>
    <row r="635" s="2071" customFormat="1" x14ac:dyDescent="0.25"/>
    <row r="636" s="2071" customFormat="1" x14ac:dyDescent="0.25"/>
    <row r="637" s="2071" customFormat="1" x14ac:dyDescent="0.25"/>
    <row r="638" s="2071" customFormat="1" x14ac:dyDescent="0.25"/>
    <row r="639" s="2071" customFormat="1" x14ac:dyDescent="0.25"/>
    <row r="640" s="2071" customFormat="1" x14ac:dyDescent="0.25"/>
    <row r="641" s="2071" customFormat="1" x14ac:dyDescent="0.25"/>
    <row r="642" s="2071" customFormat="1" x14ac:dyDescent="0.25"/>
    <row r="643" s="2071" customFormat="1" x14ac:dyDescent="0.25"/>
    <row r="644" s="2071" customFormat="1" x14ac:dyDescent="0.25"/>
    <row r="645" s="2071" customFormat="1" x14ac:dyDescent="0.25"/>
    <row r="646" s="2071" customFormat="1" x14ac:dyDescent="0.25"/>
    <row r="647" s="2071" customFormat="1" x14ac:dyDescent="0.25"/>
    <row r="648" s="2071" customFormat="1" x14ac:dyDescent="0.25"/>
    <row r="649" s="2071" customFormat="1" x14ac:dyDescent="0.25"/>
    <row r="650" s="2071" customFormat="1" x14ac:dyDescent="0.25"/>
    <row r="651" s="2071" customFormat="1" x14ac:dyDescent="0.25"/>
    <row r="652" s="2071" customFormat="1" x14ac:dyDescent="0.25"/>
    <row r="653" s="2071" customFormat="1" x14ac:dyDescent="0.25"/>
    <row r="654" s="2071" customFormat="1" x14ac:dyDescent="0.25"/>
    <row r="655" s="2071" customFormat="1" x14ac:dyDescent="0.25"/>
    <row r="656" s="2071" customFormat="1" x14ac:dyDescent="0.25"/>
    <row r="657" s="2071" customFormat="1" x14ac:dyDescent="0.25"/>
    <row r="658" s="2071" customFormat="1" x14ac:dyDescent="0.25"/>
    <row r="659" s="2071" customFormat="1" x14ac:dyDescent="0.25"/>
    <row r="660" s="2071" customFormat="1" x14ac:dyDescent="0.25"/>
    <row r="661" s="2071" customFormat="1" x14ac:dyDescent="0.25"/>
    <row r="662" s="2071" customFormat="1" x14ac:dyDescent="0.25"/>
    <row r="663" s="2071" customFormat="1" x14ac:dyDescent="0.25"/>
    <row r="664" s="2071" customFormat="1" x14ac:dyDescent="0.25"/>
    <row r="665" s="2071" customFormat="1" x14ac:dyDescent="0.25"/>
    <row r="666" s="2071" customFormat="1" x14ac:dyDescent="0.25"/>
    <row r="667" s="2071" customFormat="1" x14ac:dyDescent="0.25"/>
    <row r="668" s="2071" customFormat="1" x14ac:dyDescent="0.25"/>
    <row r="669" s="2071" customFormat="1" x14ac:dyDescent="0.25"/>
    <row r="670" s="2071" customFormat="1" x14ac:dyDescent="0.25"/>
    <row r="671" s="2071" customFormat="1" x14ac:dyDescent="0.25"/>
    <row r="672" s="2071" customFormat="1" x14ac:dyDescent="0.25"/>
    <row r="673" s="2071" customFormat="1" x14ac:dyDescent="0.25"/>
    <row r="674" s="2071" customFormat="1" x14ac:dyDescent="0.25"/>
    <row r="675" s="2071" customFormat="1" x14ac:dyDescent="0.25"/>
    <row r="676" s="2071" customFormat="1" x14ac:dyDescent="0.25"/>
    <row r="677" s="2071" customFormat="1" x14ac:dyDescent="0.25"/>
    <row r="678" s="2071" customFormat="1" x14ac:dyDescent="0.25"/>
    <row r="679" s="2071" customFormat="1" x14ac:dyDescent="0.25"/>
    <row r="680" s="2071" customFormat="1" x14ac:dyDescent="0.25"/>
    <row r="681" s="2071" customFormat="1" x14ac:dyDescent="0.25"/>
    <row r="682" s="2071" customFormat="1" x14ac:dyDescent="0.25"/>
    <row r="683" s="2071" customFormat="1" x14ac:dyDescent="0.25"/>
    <row r="684" s="2071" customFormat="1" x14ac:dyDescent="0.25"/>
    <row r="685" s="2071" customFormat="1" x14ac:dyDescent="0.25"/>
    <row r="686" s="2071" customFormat="1" x14ac:dyDescent="0.25"/>
    <row r="687" s="2071" customFormat="1" x14ac:dyDescent="0.25"/>
    <row r="688" s="2071" customFormat="1" x14ac:dyDescent="0.25"/>
    <row r="689" s="2071" customFormat="1" x14ac:dyDescent="0.25"/>
    <row r="690" s="2071" customFormat="1" x14ac:dyDescent="0.25"/>
    <row r="691" s="2071" customFormat="1" x14ac:dyDescent="0.25"/>
    <row r="692" s="2071" customFormat="1" x14ac:dyDescent="0.25"/>
    <row r="693" s="2071" customFormat="1" x14ac:dyDescent="0.25"/>
    <row r="694" s="2071" customFormat="1" x14ac:dyDescent="0.25"/>
    <row r="695" s="2071" customFormat="1" x14ac:dyDescent="0.25"/>
    <row r="696" s="2071" customFormat="1" x14ac:dyDescent="0.25"/>
    <row r="697" s="2071" customFormat="1" x14ac:dyDescent="0.25"/>
    <row r="698" s="2071" customFormat="1" x14ac:dyDescent="0.25"/>
    <row r="699" s="2071" customFormat="1" x14ac:dyDescent="0.25"/>
    <row r="700" s="2071" customFormat="1" x14ac:dyDescent="0.25"/>
    <row r="701" s="2071" customFormat="1" x14ac:dyDescent="0.25"/>
    <row r="702" s="2071" customFormat="1" x14ac:dyDescent="0.25"/>
    <row r="703" s="2071" customFormat="1" x14ac:dyDescent="0.25"/>
    <row r="704" s="2071" customFormat="1" x14ac:dyDescent="0.25"/>
    <row r="705" s="2071" customFormat="1" x14ac:dyDescent="0.25"/>
    <row r="706" s="2071" customFormat="1" x14ac:dyDescent="0.25"/>
    <row r="707" s="2071" customFormat="1" x14ac:dyDescent="0.25"/>
    <row r="708" s="2071" customFormat="1" x14ac:dyDescent="0.25"/>
    <row r="709" s="2071" customFormat="1" x14ac:dyDescent="0.25"/>
    <row r="710" s="2071" customFormat="1" x14ac:dyDescent="0.25"/>
    <row r="711" s="2071" customFormat="1" x14ac:dyDescent="0.25"/>
    <row r="712" s="2071" customFormat="1" x14ac:dyDescent="0.25"/>
    <row r="713" s="2071" customFormat="1" x14ac:dyDescent="0.25"/>
    <row r="714" s="2071" customFormat="1" x14ac:dyDescent="0.25"/>
    <row r="715" s="2071" customFormat="1" x14ac:dyDescent="0.25"/>
    <row r="716" s="2071" customFormat="1" x14ac:dyDescent="0.25"/>
    <row r="717" s="2071" customFormat="1" x14ac:dyDescent="0.25"/>
    <row r="718" s="2071" customFormat="1" x14ac:dyDescent="0.25"/>
    <row r="719" s="2071" customFormat="1" x14ac:dyDescent="0.25"/>
    <row r="720" s="2071" customFormat="1" x14ac:dyDescent="0.25"/>
    <row r="721" s="2071" customFormat="1" x14ac:dyDescent="0.25"/>
    <row r="722" s="2071" customFormat="1" x14ac:dyDescent="0.25"/>
    <row r="723" s="2071" customFormat="1" x14ac:dyDescent="0.25"/>
    <row r="724" s="2071" customFormat="1" x14ac:dyDescent="0.25"/>
    <row r="725" s="2071" customFormat="1" x14ac:dyDescent="0.25"/>
    <row r="726" s="2071" customFormat="1" x14ac:dyDescent="0.25"/>
    <row r="727" s="2071" customFormat="1" x14ac:dyDescent="0.25"/>
    <row r="728" s="2071" customFormat="1" x14ac:dyDescent="0.25"/>
    <row r="729" s="2071" customFormat="1" x14ac:dyDescent="0.25"/>
    <row r="730" s="2071" customFormat="1" x14ac:dyDescent="0.25"/>
    <row r="731" s="2071" customFormat="1" x14ac:dyDescent="0.25"/>
    <row r="732" s="2071" customFormat="1" x14ac:dyDescent="0.25"/>
    <row r="733" s="2071" customFormat="1" x14ac:dyDescent="0.25"/>
    <row r="734" s="2071" customFormat="1" x14ac:dyDescent="0.25"/>
    <row r="735" s="2071" customFormat="1" x14ac:dyDescent="0.25"/>
    <row r="736" s="2071" customFormat="1" x14ac:dyDescent="0.25"/>
    <row r="737" s="2071" customFormat="1" x14ac:dyDescent="0.25"/>
    <row r="738" s="2071" customFormat="1" x14ac:dyDescent="0.25"/>
    <row r="739" s="2071" customFormat="1" x14ac:dyDescent="0.25"/>
    <row r="740" s="2071" customFormat="1" x14ac:dyDescent="0.25"/>
    <row r="741" s="2071" customFormat="1" x14ac:dyDescent="0.25"/>
    <row r="742" s="2071" customFormat="1" x14ac:dyDescent="0.25"/>
    <row r="743" s="2071" customFormat="1" x14ac:dyDescent="0.25"/>
    <row r="744" s="2071" customFormat="1" x14ac:dyDescent="0.25"/>
    <row r="745" s="2071" customFormat="1" x14ac:dyDescent="0.25"/>
    <row r="746" s="2071" customFormat="1" x14ac:dyDescent="0.25"/>
    <row r="747" s="2071" customFormat="1" x14ac:dyDescent="0.25"/>
    <row r="748" s="2071" customFormat="1" x14ac:dyDescent="0.25"/>
    <row r="749" s="2071" customFormat="1" x14ac:dyDescent="0.25"/>
    <row r="750" s="2071" customFormat="1" x14ac:dyDescent="0.25"/>
    <row r="751" s="2071" customFormat="1" x14ac:dyDescent="0.25"/>
    <row r="752" s="2071" customFormat="1" x14ac:dyDescent="0.25"/>
    <row r="753" s="2071" customFormat="1" x14ac:dyDescent="0.25"/>
    <row r="754" s="2071" customFormat="1" x14ac:dyDescent="0.25"/>
    <row r="755" s="2071" customFormat="1" x14ac:dyDescent="0.25"/>
    <row r="756" s="2071" customFormat="1" x14ac:dyDescent="0.25"/>
    <row r="757" s="2071" customFormat="1" x14ac:dyDescent="0.25"/>
    <row r="758" s="2071" customFormat="1" x14ac:dyDescent="0.25"/>
    <row r="759" s="2071" customFormat="1" x14ac:dyDescent="0.25"/>
    <row r="760" s="2071" customFormat="1" x14ac:dyDescent="0.25"/>
    <row r="761" s="2071" customFormat="1" x14ac:dyDescent="0.25"/>
    <row r="762" s="2071" customFormat="1" x14ac:dyDescent="0.25"/>
    <row r="763" s="2071" customFormat="1" x14ac:dyDescent="0.25"/>
    <row r="764" s="2071" customFormat="1" x14ac:dyDescent="0.25"/>
    <row r="765" s="2071" customFormat="1" x14ac:dyDescent="0.25"/>
    <row r="766" s="2071" customFormat="1" x14ac:dyDescent="0.25"/>
    <row r="767" s="2071" customFormat="1" x14ac:dyDescent="0.25"/>
    <row r="768" s="2071" customFormat="1" x14ac:dyDescent="0.25"/>
    <row r="769" s="2071" customFormat="1" x14ac:dyDescent="0.25"/>
    <row r="770" s="2071" customFormat="1" x14ac:dyDescent="0.25"/>
    <row r="771" s="2071" customFormat="1" x14ac:dyDescent="0.25"/>
    <row r="772" s="2071" customFormat="1" x14ac:dyDescent="0.25"/>
    <row r="773" s="2071" customFormat="1" x14ac:dyDescent="0.25"/>
    <row r="774" s="2071" customFormat="1" x14ac:dyDescent="0.25"/>
    <row r="775" s="2071" customFormat="1" x14ac:dyDescent="0.25"/>
    <row r="776" s="2071" customFormat="1" x14ac:dyDescent="0.25"/>
    <row r="777" s="2071" customFormat="1" x14ac:dyDescent="0.25"/>
    <row r="778" s="2071" customFormat="1" x14ac:dyDescent="0.25"/>
    <row r="779" s="2071" customFormat="1" x14ac:dyDescent="0.25"/>
    <row r="780" s="2071" customFormat="1" x14ac:dyDescent="0.25"/>
    <row r="781" s="2071" customFormat="1" x14ac:dyDescent="0.25"/>
    <row r="782" s="2071" customFormat="1" x14ac:dyDescent="0.25"/>
    <row r="783" s="2071" customFormat="1" x14ac:dyDescent="0.25"/>
    <row r="784" s="2071" customFormat="1" x14ac:dyDescent="0.25"/>
    <row r="785" s="2071" customFormat="1" x14ac:dyDescent="0.25"/>
    <row r="786" s="2071" customFormat="1" x14ac:dyDescent="0.25"/>
    <row r="787" s="2071" customFormat="1" x14ac:dyDescent="0.25"/>
    <row r="788" s="2071" customFormat="1" x14ac:dyDescent="0.25"/>
    <row r="789" s="2071" customFormat="1" x14ac:dyDescent="0.25"/>
    <row r="790" s="2071" customFormat="1" x14ac:dyDescent="0.25"/>
    <row r="791" s="2071" customFormat="1" x14ac:dyDescent="0.25"/>
    <row r="792" s="2071" customFormat="1" x14ac:dyDescent="0.25"/>
    <row r="793" s="2071" customFormat="1" x14ac:dyDescent="0.25"/>
    <row r="794" s="2071" customFormat="1" x14ac:dyDescent="0.25"/>
    <row r="795" s="2071" customFormat="1" x14ac:dyDescent="0.25"/>
    <row r="796" s="2071" customFormat="1" x14ac:dyDescent="0.25"/>
    <row r="797" s="2071" customFormat="1" x14ac:dyDescent="0.25"/>
    <row r="798" s="2071" customFormat="1" x14ac:dyDescent="0.25"/>
    <row r="799" s="2071" customFormat="1" x14ac:dyDescent="0.25"/>
    <row r="800" s="2071" customFormat="1" x14ac:dyDescent="0.25"/>
    <row r="801" s="2071" customFormat="1" x14ac:dyDescent="0.25"/>
    <row r="802" s="2071" customFormat="1" x14ac:dyDescent="0.25"/>
    <row r="803" s="2071" customFormat="1" x14ac:dyDescent="0.25"/>
    <row r="804" s="2071" customFormat="1" x14ac:dyDescent="0.25"/>
    <row r="805" s="2071" customFormat="1" x14ac:dyDescent="0.25"/>
    <row r="806" s="2071" customFormat="1" x14ac:dyDescent="0.25"/>
    <row r="807" s="2071" customFormat="1" x14ac:dyDescent="0.25"/>
    <row r="808" s="2071" customFormat="1" x14ac:dyDescent="0.25"/>
    <row r="809" s="2071" customFormat="1" x14ac:dyDescent="0.25"/>
    <row r="810" s="2071" customFormat="1" x14ac:dyDescent="0.25"/>
    <row r="811" s="2071" customFormat="1" x14ac:dyDescent="0.25"/>
    <row r="812" s="2071" customFormat="1" x14ac:dyDescent="0.25"/>
    <row r="813" s="2071" customFormat="1" x14ac:dyDescent="0.25"/>
    <row r="814" s="2071" customFormat="1" x14ac:dyDescent="0.25"/>
    <row r="815" s="2071" customFormat="1" x14ac:dyDescent="0.25"/>
    <row r="816" s="2071" customFormat="1" x14ac:dyDescent="0.25"/>
    <row r="817" s="2071" customFormat="1" x14ac:dyDescent="0.25"/>
    <row r="818" s="2071" customFormat="1" x14ac:dyDescent="0.25"/>
    <row r="819" s="2071" customFormat="1" x14ac:dyDescent="0.25"/>
    <row r="820" s="2071" customFormat="1" x14ac:dyDescent="0.25"/>
    <row r="821" s="2071" customFormat="1" x14ac:dyDescent="0.25"/>
    <row r="822" s="2071" customFormat="1" x14ac:dyDescent="0.25"/>
    <row r="823" s="2071" customFormat="1" x14ac:dyDescent="0.25"/>
    <row r="824" s="2071" customFormat="1" x14ac:dyDescent="0.25"/>
    <row r="825" s="2071" customFormat="1" x14ac:dyDescent="0.25"/>
    <row r="826" s="2071" customFormat="1" x14ac:dyDescent="0.25"/>
    <row r="827" s="2071" customFormat="1" x14ac:dyDescent="0.25"/>
    <row r="828" s="2071" customFormat="1" x14ac:dyDescent="0.25"/>
    <row r="829" s="2071" customFormat="1" x14ac:dyDescent="0.25"/>
    <row r="830" s="2071" customFormat="1" x14ac:dyDescent="0.25"/>
    <row r="831" s="2071" customFormat="1" x14ac:dyDescent="0.25"/>
    <row r="832" s="2071" customFormat="1" x14ac:dyDescent="0.25"/>
    <row r="833" s="2071" customFormat="1" x14ac:dyDescent="0.25"/>
    <row r="834" s="2071" customFormat="1" x14ac:dyDescent="0.25"/>
    <row r="835" s="2071" customFormat="1" x14ac:dyDescent="0.25"/>
    <row r="836" s="2071" customFormat="1" x14ac:dyDescent="0.25"/>
    <row r="837" s="2071" customFormat="1" x14ac:dyDescent="0.25"/>
    <row r="838" s="2071" customFormat="1" x14ac:dyDescent="0.25"/>
    <row r="839" s="2071" customFormat="1" x14ac:dyDescent="0.25"/>
    <row r="840" s="2071" customFormat="1" x14ac:dyDescent="0.25"/>
    <row r="841" s="2071" customFormat="1" x14ac:dyDescent="0.25"/>
    <row r="842" s="2071" customFormat="1" x14ac:dyDescent="0.25"/>
    <row r="843" s="2071" customFormat="1" x14ac:dyDescent="0.25"/>
    <row r="844" s="2071" customFormat="1" x14ac:dyDescent="0.25"/>
    <row r="845" s="2071" customFormat="1" x14ac:dyDescent="0.25"/>
    <row r="846" s="2071" customFormat="1" x14ac:dyDescent="0.25"/>
    <row r="847" s="2071" customFormat="1" x14ac:dyDescent="0.25"/>
    <row r="848" s="2071" customFormat="1" x14ac:dyDescent="0.25"/>
    <row r="849" s="2071" customFormat="1" x14ac:dyDescent="0.25"/>
    <row r="850" s="2071" customFormat="1" x14ac:dyDescent="0.25"/>
    <row r="851" s="2071" customFormat="1" x14ac:dyDescent="0.25"/>
    <row r="852" s="2071" customFormat="1" x14ac:dyDescent="0.25"/>
    <row r="853" s="2071" customFormat="1" x14ac:dyDescent="0.25"/>
    <row r="854" s="2071" customFormat="1" x14ac:dyDescent="0.25"/>
    <row r="855" s="2071" customFormat="1" x14ac:dyDescent="0.25"/>
    <row r="856" s="2071" customFormat="1" x14ac:dyDescent="0.25"/>
    <row r="857" s="2071" customFormat="1" x14ac:dyDescent="0.25"/>
    <row r="858" s="2071" customFormat="1" x14ac:dyDescent="0.25"/>
    <row r="859" s="2071" customFormat="1" x14ac:dyDescent="0.25"/>
    <row r="860" s="2071" customFormat="1" x14ac:dyDescent="0.25"/>
    <row r="861" s="2071" customFormat="1" x14ac:dyDescent="0.25"/>
    <row r="862" s="2071" customFormat="1" x14ac:dyDescent="0.25"/>
    <row r="863" s="2071" customFormat="1" x14ac:dyDescent="0.25"/>
    <row r="864" s="2071" customFormat="1" x14ac:dyDescent="0.25"/>
    <row r="865" s="2071" customFormat="1" x14ac:dyDescent="0.25"/>
    <row r="866" s="2071" customFormat="1" x14ac:dyDescent="0.25"/>
    <row r="867" s="2071" customFormat="1" x14ac:dyDescent="0.25"/>
    <row r="868" s="2071" customFormat="1" x14ac:dyDescent="0.25"/>
    <row r="869" s="2071" customFormat="1" x14ac:dyDescent="0.25"/>
    <row r="870" s="2071" customFormat="1" x14ac:dyDescent="0.25"/>
    <row r="871" s="2071" customFormat="1" x14ac:dyDescent="0.25"/>
    <row r="872" s="2071" customFormat="1" x14ac:dyDescent="0.25"/>
    <row r="873" s="2071" customFormat="1" x14ac:dyDescent="0.25"/>
    <row r="874" s="2071" customFormat="1" x14ac:dyDescent="0.25"/>
    <row r="875" s="2071" customFormat="1" x14ac:dyDescent="0.25"/>
    <row r="876" s="2071" customFormat="1" x14ac:dyDescent="0.25"/>
    <row r="877" s="2071" customFormat="1" x14ac:dyDescent="0.25"/>
    <row r="878" s="2071" customFormat="1" x14ac:dyDescent="0.25"/>
    <row r="879" s="2071" customFormat="1" x14ac:dyDescent="0.25"/>
    <row r="880" s="2071" customFormat="1" x14ac:dyDescent="0.25"/>
    <row r="881" s="2071" customFormat="1" x14ac:dyDescent="0.25"/>
    <row r="882" s="2071" customFormat="1" x14ac:dyDescent="0.25"/>
    <row r="883" s="2071" customFormat="1" x14ac:dyDescent="0.25"/>
    <row r="884" s="2071" customFormat="1" x14ac:dyDescent="0.25"/>
    <row r="885" s="2071" customFormat="1" x14ac:dyDescent="0.25"/>
    <row r="886" s="2071" customFormat="1" x14ac:dyDescent="0.25"/>
    <row r="887" s="2071" customFormat="1" x14ac:dyDescent="0.25"/>
    <row r="888" s="2071" customFormat="1" x14ac:dyDescent="0.25"/>
    <row r="889" s="2071" customFormat="1" x14ac:dyDescent="0.25"/>
    <row r="890" s="2071" customFormat="1" x14ac:dyDescent="0.25"/>
    <row r="891" s="2071" customFormat="1" x14ac:dyDescent="0.25"/>
    <row r="892" s="2071" customFormat="1" x14ac:dyDescent="0.25"/>
    <row r="893" s="2071" customFormat="1" x14ac:dyDescent="0.25"/>
    <row r="894" s="2071" customFormat="1" x14ac:dyDescent="0.25"/>
    <row r="895" s="2071" customFormat="1" x14ac:dyDescent="0.25"/>
    <row r="896" s="2071" customFormat="1" x14ac:dyDescent="0.25"/>
    <row r="897" s="2071" customFormat="1" x14ac:dyDescent="0.25"/>
    <row r="898" s="2071" customFormat="1" x14ac:dyDescent="0.25"/>
    <row r="899" s="2071" customFormat="1" x14ac:dyDescent="0.25"/>
    <row r="900" s="2071" customFormat="1" x14ac:dyDescent="0.25"/>
    <row r="901" s="2071" customFormat="1" x14ac:dyDescent="0.25"/>
    <row r="902" s="2071" customFormat="1" x14ac:dyDescent="0.25"/>
    <row r="903" s="2071" customFormat="1" x14ac:dyDescent="0.25"/>
    <row r="904" s="2071" customFormat="1" x14ac:dyDescent="0.25"/>
    <row r="905" s="2071" customFormat="1" x14ac:dyDescent="0.25"/>
    <row r="906" s="2071" customFormat="1" x14ac:dyDescent="0.25"/>
    <row r="907" s="2071" customFormat="1" x14ac:dyDescent="0.25"/>
    <row r="908" s="2071" customFormat="1" x14ac:dyDescent="0.25"/>
    <row r="909" s="2071" customFormat="1" x14ac:dyDescent="0.25"/>
    <row r="910" s="2071" customFormat="1" x14ac:dyDescent="0.25"/>
    <row r="911" s="2071" customFormat="1" x14ac:dyDescent="0.25"/>
    <row r="912" s="2071" customFormat="1" x14ac:dyDescent="0.25"/>
    <row r="913" s="2071" customFormat="1" x14ac:dyDescent="0.25"/>
    <row r="914" s="2071" customFormat="1" x14ac:dyDescent="0.25"/>
    <row r="915" s="2071" customFormat="1" x14ac:dyDescent="0.25"/>
    <row r="916" s="2071" customFormat="1" x14ac:dyDescent="0.25"/>
    <row r="917" s="2071" customFormat="1" x14ac:dyDescent="0.25"/>
    <row r="918" s="2071" customFormat="1" x14ac:dyDescent="0.25"/>
    <row r="919" s="2071" customFormat="1" x14ac:dyDescent="0.25"/>
    <row r="920" s="2071" customFormat="1" x14ac:dyDescent="0.25"/>
    <row r="921" s="2071" customFormat="1" x14ac:dyDescent="0.25"/>
    <row r="922" s="2071" customFormat="1" x14ac:dyDescent="0.25"/>
    <row r="923" s="2071" customFormat="1" x14ac:dyDescent="0.25"/>
    <row r="924" s="2071" customFormat="1" x14ac:dyDescent="0.25"/>
    <row r="925" s="2071" customFormat="1" x14ac:dyDescent="0.25"/>
    <row r="926" s="2071" customFormat="1" x14ac:dyDescent="0.25"/>
    <row r="927" s="2071" customFormat="1" x14ac:dyDescent="0.25"/>
    <row r="928" s="2071" customFormat="1" x14ac:dyDescent="0.25"/>
    <row r="929" s="2071" customFormat="1" x14ac:dyDescent="0.25"/>
    <row r="930" s="2071" customFormat="1" x14ac:dyDescent="0.25"/>
    <row r="931" s="2071" customFormat="1" x14ac:dyDescent="0.25"/>
    <row r="932" s="2071" customFormat="1" x14ac:dyDescent="0.25"/>
    <row r="933" s="2071" customFormat="1" x14ac:dyDescent="0.25"/>
    <row r="934" s="2071" customFormat="1" x14ac:dyDescent="0.25"/>
    <row r="935" s="2071" customFormat="1" x14ac:dyDescent="0.25"/>
    <row r="936" s="2071" customFormat="1" x14ac:dyDescent="0.25"/>
    <row r="937" s="2071" customFormat="1" x14ac:dyDescent="0.25"/>
    <row r="938" s="2071" customFormat="1" x14ac:dyDescent="0.25"/>
    <row r="939" s="2071" customFormat="1" x14ac:dyDescent="0.25"/>
    <row r="940" s="2071" customFormat="1" x14ac:dyDescent="0.25"/>
    <row r="941" s="2071" customFormat="1" x14ac:dyDescent="0.25"/>
    <row r="942" s="2071" customFormat="1" x14ac:dyDescent="0.25"/>
    <row r="943" s="2071" customFormat="1" x14ac:dyDescent="0.25"/>
    <row r="944" s="2071" customFormat="1" x14ac:dyDescent="0.25"/>
    <row r="945" s="2071" customFormat="1" x14ac:dyDescent="0.25"/>
    <row r="946" s="2071" customFormat="1" x14ac:dyDescent="0.25"/>
    <row r="947" s="2071" customFormat="1" x14ac:dyDescent="0.25"/>
    <row r="948" s="2071" customFormat="1" x14ac:dyDescent="0.25"/>
    <row r="949" s="2071" customFormat="1" x14ac:dyDescent="0.25"/>
    <row r="950" s="2071" customFormat="1" x14ac:dyDescent="0.25"/>
    <row r="951" s="2071" customFormat="1" x14ac:dyDescent="0.25"/>
    <row r="952" s="2071" customFormat="1" x14ac:dyDescent="0.25"/>
    <row r="953" s="2071" customFormat="1" x14ac:dyDescent="0.25"/>
    <row r="954" s="2071" customFormat="1" x14ac:dyDescent="0.25"/>
    <row r="955" s="2071" customFormat="1" x14ac:dyDescent="0.25"/>
    <row r="956" s="2071" customFormat="1" x14ac:dyDescent="0.25"/>
    <row r="957" s="2071" customFormat="1" x14ac:dyDescent="0.25"/>
    <row r="958" s="2071" customFormat="1" x14ac:dyDescent="0.25"/>
    <row r="959" s="2071" customFormat="1" x14ac:dyDescent="0.25"/>
    <row r="960" s="2071" customFormat="1" x14ac:dyDescent="0.25"/>
    <row r="961" s="2071" customFormat="1" x14ac:dyDescent="0.25"/>
    <row r="962" s="2071" customFormat="1" x14ac:dyDescent="0.25"/>
    <row r="963" s="2071" customFormat="1" x14ac:dyDescent="0.25"/>
    <row r="964" s="2071" customFormat="1" x14ac:dyDescent="0.25"/>
    <row r="965" s="2071" customFormat="1" x14ac:dyDescent="0.25"/>
    <row r="966" s="2071" customFormat="1" x14ac:dyDescent="0.25"/>
    <row r="967" s="2071" customFormat="1" x14ac:dyDescent="0.25"/>
    <row r="968" s="2071" customFormat="1" x14ac:dyDescent="0.25"/>
    <row r="969" s="2071" customFormat="1" x14ac:dyDescent="0.25"/>
    <row r="970" s="2071" customFormat="1" x14ac:dyDescent="0.25"/>
    <row r="971" s="2071" customFormat="1" x14ac:dyDescent="0.25"/>
    <row r="972" s="2071" customFormat="1" x14ac:dyDescent="0.25"/>
    <row r="973" s="2071" customFormat="1" x14ac:dyDescent="0.25"/>
    <row r="974" s="2071" customFormat="1" x14ac:dyDescent="0.25"/>
    <row r="975" s="2071" customFormat="1" x14ac:dyDescent="0.25"/>
    <row r="976" s="2071" customFormat="1" x14ac:dyDescent="0.25"/>
    <row r="977" s="2071" customFormat="1" x14ac:dyDescent="0.25"/>
    <row r="978" s="2071" customFormat="1" x14ac:dyDescent="0.25"/>
    <row r="979" s="2071" customFormat="1" x14ac:dyDescent="0.25"/>
    <row r="980" s="2071" customFormat="1" x14ac:dyDescent="0.25"/>
    <row r="981" s="2071" customFormat="1" x14ac:dyDescent="0.25"/>
    <row r="982" s="2071" customFormat="1" x14ac:dyDescent="0.25"/>
    <row r="983" s="2071" customFormat="1" x14ac:dyDescent="0.25"/>
    <row r="984" s="2071" customFormat="1" x14ac:dyDescent="0.25"/>
    <row r="985" s="2071" customFormat="1" x14ac:dyDescent="0.25"/>
    <row r="986" s="2071" customFormat="1" x14ac:dyDescent="0.25"/>
    <row r="987" s="2071" customFormat="1" x14ac:dyDescent="0.25"/>
    <row r="988" s="2071" customFormat="1" x14ac:dyDescent="0.25"/>
    <row r="989" s="2071" customFormat="1" x14ac:dyDescent="0.25"/>
    <row r="990" s="2071" customFormat="1" x14ac:dyDescent="0.25"/>
    <row r="991" s="2071" customFormat="1" x14ac:dyDescent="0.25"/>
    <row r="992" s="2071" customFormat="1" x14ac:dyDescent="0.25"/>
    <row r="993" s="2071" customFormat="1" x14ac:dyDescent="0.25"/>
    <row r="994" s="2071" customFormat="1" x14ac:dyDescent="0.25"/>
    <row r="995" s="2071" customFormat="1" x14ac:dyDescent="0.25"/>
    <row r="996" s="2071" customFormat="1" x14ac:dyDescent="0.25"/>
    <row r="997" s="2071" customFormat="1" x14ac:dyDescent="0.25"/>
    <row r="998" s="2071" customFormat="1" x14ac:dyDescent="0.25"/>
    <row r="999" s="2071" customFormat="1" x14ac:dyDescent="0.25"/>
    <row r="1000" s="2071" customFormat="1" x14ac:dyDescent="0.25"/>
    <row r="1001" s="2071" customFormat="1" x14ac:dyDescent="0.25"/>
    <row r="1002" s="2071" customFormat="1" x14ac:dyDescent="0.25"/>
    <row r="1003" s="2071" customFormat="1" x14ac:dyDescent="0.25"/>
    <row r="1004" s="2071" customFormat="1" x14ac:dyDescent="0.25"/>
    <row r="1005" s="2071" customFormat="1" x14ac:dyDescent="0.25"/>
    <row r="1006" s="2071" customFormat="1" x14ac:dyDescent="0.25"/>
    <row r="1007" s="2071" customFormat="1" x14ac:dyDescent="0.25"/>
    <row r="1008" s="2071" customFormat="1" x14ac:dyDescent="0.25"/>
    <row r="1009" s="2071" customFormat="1" x14ac:dyDescent="0.25"/>
    <row r="1010" s="2071" customFormat="1" x14ac:dyDescent="0.25"/>
    <row r="1011" s="2071" customFormat="1" x14ac:dyDescent="0.25"/>
    <row r="1012" s="2071" customFormat="1" x14ac:dyDescent="0.25"/>
    <row r="1013" s="2071" customFormat="1" x14ac:dyDescent="0.25"/>
    <row r="1014" s="2071" customFormat="1" x14ac:dyDescent="0.25"/>
    <row r="1015" s="2071" customFormat="1" x14ac:dyDescent="0.25"/>
    <row r="1016" s="2071" customFormat="1" x14ac:dyDescent="0.25"/>
    <row r="1017" s="2071" customFormat="1" x14ac:dyDescent="0.25"/>
    <row r="1018" s="2071" customFormat="1" x14ac:dyDescent="0.25"/>
    <row r="1019" s="2071" customFormat="1" x14ac:dyDescent="0.25"/>
    <row r="1020" s="2071" customFormat="1" x14ac:dyDescent="0.25"/>
    <row r="1021" s="2071" customFormat="1" x14ac:dyDescent="0.25"/>
    <row r="1022" s="2071" customFormat="1" x14ac:dyDescent="0.25"/>
    <row r="1023" s="2071" customFormat="1" x14ac:dyDescent="0.25"/>
    <row r="1024" s="2071" customFormat="1" x14ac:dyDescent="0.25"/>
    <row r="1025" s="2071" customFormat="1" x14ac:dyDescent="0.25"/>
    <row r="1026" s="2071" customFormat="1" x14ac:dyDescent="0.25"/>
    <row r="1027" s="2071" customFormat="1" x14ac:dyDescent="0.25"/>
    <row r="1028" s="2071" customFormat="1" x14ac:dyDescent="0.25"/>
    <row r="1029" s="2071" customFormat="1" x14ac:dyDescent="0.25"/>
    <row r="1030" s="2071" customFormat="1" x14ac:dyDescent="0.25"/>
    <row r="1031" s="2071" customFormat="1" x14ac:dyDescent="0.25"/>
    <row r="1032" s="2071" customFormat="1" x14ac:dyDescent="0.25"/>
    <row r="1033" s="2071" customFormat="1" x14ac:dyDescent="0.25"/>
    <row r="1034" s="2071" customFormat="1" x14ac:dyDescent="0.25"/>
    <row r="1035" s="2071" customFormat="1" x14ac:dyDescent="0.25"/>
    <row r="1036" s="2071" customFormat="1" x14ac:dyDescent="0.25"/>
    <row r="1037" s="2071" customFormat="1" x14ac:dyDescent="0.25"/>
    <row r="1038" s="2071" customFormat="1" x14ac:dyDescent="0.25"/>
    <row r="1039" s="2071" customFormat="1" x14ac:dyDescent="0.25"/>
    <row r="1040" s="2071" customFormat="1" x14ac:dyDescent="0.25"/>
    <row r="1041" s="2071" customFormat="1" x14ac:dyDescent="0.25"/>
    <row r="1042" s="2071" customFormat="1" x14ac:dyDescent="0.25"/>
    <row r="1043" s="2071" customFormat="1" x14ac:dyDescent="0.25"/>
    <row r="1044" s="2071" customFormat="1" x14ac:dyDescent="0.25"/>
    <row r="1045" s="2071" customFormat="1" x14ac:dyDescent="0.25"/>
    <row r="1046" s="2071" customFormat="1" x14ac:dyDescent="0.25"/>
    <row r="1047" s="2071" customFormat="1" x14ac:dyDescent="0.25"/>
    <row r="1048" s="2071" customFormat="1" x14ac:dyDescent="0.25"/>
    <row r="1049" s="2071" customFormat="1" x14ac:dyDescent="0.25"/>
    <row r="1050" s="2071" customFormat="1" x14ac:dyDescent="0.25"/>
    <row r="1051" s="2071" customFormat="1" x14ac:dyDescent="0.25"/>
    <row r="1052" s="2071" customFormat="1" x14ac:dyDescent="0.25"/>
    <row r="1053" s="2071" customFormat="1" x14ac:dyDescent="0.25"/>
    <row r="1054" s="2071" customFormat="1" x14ac:dyDescent="0.25"/>
    <row r="1055" s="2071" customFormat="1" x14ac:dyDescent="0.25"/>
    <row r="1056" s="2071" customFormat="1" x14ac:dyDescent="0.25"/>
    <row r="1057" s="2071" customFormat="1" x14ac:dyDescent="0.25"/>
    <row r="1058" s="2071" customFormat="1" x14ac:dyDescent="0.25"/>
    <row r="1059" s="2071" customFormat="1" x14ac:dyDescent="0.25"/>
    <row r="1060" s="2071" customFormat="1" x14ac:dyDescent="0.25"/>
    <row r="1061" s="2071" customFormat="1" x14ac:dyDescent="0.25"/>
    <row r="1062" s="2071" customFormat="1" x14ac:dyDescent="0.25"/>
    <row r="1063" s="2071" customFormat="1" x14ac:dyDescent="0.25"/>
    <row r="1064" s="2071" customFormat="1" x14ac:dyDescent="0.25"/>
    <row r="1065" s="2071" customFormat="1" x14ac:dyDescent="0.25"/>
    <row r="1066" s="2071" customFormat="1" x14ac:dyDescent="0.25"/>
    <row r="1067" s="2071" customFormat="1" x14ac:dyDescent="0.25"/>
    <row r="1068" s="2071" customFormat="1" x14ac:dyDescent="0.25"/>
    <row r="1069" s="2071" customFormat="1" x14ac:dyDescent="0.25"/>
    <row r="1070" s="2071" customFormat="1" x14ac:dyDescent="0.25"/>
    <row r="1071" s="2071" customFormat="1" x14ac:dyDescent="0.25"/>
    <row r="1072" s="2071" customFormat="1" x14ac:dyDescent="0.25"/>
    <row r="1073" s="2071" customFormat="1" x14ac:dyDescent="0.25"/>
    <row r="1074" s="2071" customFormat="1" x14ac:dyDescent="0.25"/>
    <row r="1075" s="2071" customFormat="1" x14ac:dyDescent="0.25"/>
    <row r="1076" s="2071" customFormat="1" x14ac:dyDescent="0.25"/>
    <row r="1077" s="2071" customFormat="1" x14ac:dyDescent="0.25"/>
  </sheetData>
  <sheetProtection sheet="1" objects="1" scenarios="1" formatCells="0" formatColumns="0"/>
  <mergeCells count="5">
    <mergeCell ref="B11:G11"/>
    <mergeCell ref="E7:E8"/>
    <mergeCell ref="F7:F8"/>
    <mergeCell ref="G7:G8"/>
    <mergeCell ref="B7:D8"/>
  </mergeCells>
  <phoneticPr fontId="2" type="noConversion"/>
  <pageMargins left="0.75" right="0.75" top="1" bottom="1" header="0" footer="0"/>
  <pageSetup paperSize="9" orientation="portrait" r:id="rId1"/>
  <headerFooter alignWithMargins="0"/>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Hoja76">
    <tabColor rgb="FF2F6DB5"/>
  </sheetPr>
  <dimension ref="A1:FO1149"/>
  <sheetViews>
    <sheetView showGridLines="0" workbookViewId="0"/>
  </sheetViews>
  <sheetFormatPr baseColWidth="10" defaultColWidth="10" defaultRowHeight="15" x14ac:dyDescent="0.25"/>
  <cols>
    <col min="1" max="1" width="71.375" style="232" customWidth="1"/>
    <col min="2" max="7" width="16" style="232" customWidth="1"/>
    <col min="8" max="8" width="10" style="2074" customWidth="1"/>
    <col min="9" max="171" width="10" style="2071"/>
    <col min="172" max="16384" width="10" style="232"/>
  </cols>
  <sheetData>
    <row r="1" spans="1:171" ht="27.75" x14ac:dyDescent="0.45">
      <c r="A1" s="2072" t="s">
        <v>1113</v>
      </c>
      <c r="B1" s="2073"/>
      <c r="C1" s="2073"/>
      <c r="D1" s="2073"/>
      <c r="E1" s="2073"/>
      <c r="F1" s="2073"/>
      <c r="G1" s="2073"/>
      <c r="H1" s="2265"/>
    </row>
    <row r="2" spans="1:171" s="2071" customFormat="1" x14ac:dyDescent="0.25">
      <c r="H2" s="2074"/>
    </row>
    <row r="3" spans="1:171" s="2071" customFormat="1" x14ac:dyDescent="0.25">
      <c r="H3" s="2074"/>
    </row>
    <row r="4" spans="1:171" s="2071" customFormat="1" x14ac:dyDescent="0.25">
      <c r="H4" s="2074"/>
    </row>
    <row r="5" spans="1:171" s="2071" customFormat="1" x14ac:dyDescent="0.25">
      <c r="H5" s="2074"/>
    </row>
    <row r="6" spans="1:171" s="2071" customFormat="1" x14ac:dyDescent="0.25">
      <c r="H6" s="2074"/>
    </row>
    <row r="7" spans="1:171" s="2071" customFormat="1" ht="15.75" thickBot="1" x14ac:dyDescent="0.3">
      <c r="A7" s="2075" t="s">
        <v>618</v>
      </c>
      <c r="H7" s="2074"/>
    </row>
    <row r="8" spans="1:171" ht="12.75" customHeight="1" x14ac:dyDescent="0.25">
      <c r="A8" s="2071"/>
      <c r="B8" s="2544" t="s">
        <v>691</v>
      </c>
      <c r="C8" s="2545"/>
      <c r="D8" s="2554"/>
      <c r="E8" s="2540" t="s">
        <v>975</v>
      </c>
      <c r="F8" s="2540" t="s">
        <v>693</v>
      </c>
      <c r="G8" s="2542" t="s">
        <v>694</v>
      </c>
    </row>
    <row r="9" spans="1:171" ht="13.5" customHeight="1" thickBot="1" x14ac:dyDescent="0.3">
      <c r="B9" s="2547"/>
      <c r="C9" s="2548"/>
      <c r="D9" s="2555"/>
      <c r="E9" s="2541"/>
      <c r="F9" s="2541"/>
      <c r="G9" s="2543"/>
    </row>
    <row r="10" spans="1:171" s="2071" customFormat="1" x14ac:dyDescent="0.25">
      <c r="A10" s="2075" t="s">
        <v>619</v>
      </c>
      <c r="H10" s="2074"/>
    </row>
    <row r="11" spans="1:171" s="2071" customFormat="1" ht="15.75" thickBot="1" x14ac:dyDescent="0.3">
      <c r="B11" s="2556" t="s">
        <v>498</v>
      </c>
      <c r="C11" s="2556"/>
      <c r="D11" s="2556"/>
      <c r="E11" s="2556"/>
      <c r="F11" s="2556"/>
      <c r="G11" s="2556"/>
      <c r="H11" s="2074"/>
    </row>
    <row r="12" spans="1:171" ht="15.75" thickBot="1" x14ac:dyDescent="0.3">
      <c r="A12" s="293" t="s">
        <v>499</v>
      </c>
      <c r="B12" s="294" t="s">
        <v>500</v>
      </c>
      <c r="C12" s="295" t="s">
        <v>501</v>
      </c>
      <c r="D12" s="294" t="s">
        <v>502</v>
      </c>
      <c r="E12" s="295" t="s">
        <v>503</v>
      </c>
      <c r="F12" s="294" t="s">
        <v>504</v>
      </c>
      <c r="G12" s="296" t="s">
        <v>505</v>
      </c>
      <c r="J12" s="269"/>
      <c r="K12" s="2071" t="s">
        <v>689</v>
      </c>
    </row>
    <row r="13" spans="1:171" x14ac:dyDescent="0.25">
      <c r="A13" s="236" t="s">
        <v>864</v>
      </c>
      <c r="B13" s="237"/>
      <c r="C13" s="237"/>
      <c r="D13" s="237"/>
      <c r="E13" s="237">
        <f>'PyG anuales'!B7</f>
        <v>0</v>
      </c>
      <c r="F13" s="237">
        <f>'PyG anuales'!D7</f>
        <v>0</v>
      </c>
      <c r="G13" s="237">
        <f>'PyG anuales'!G7</f>
        <v>0</v>
      </c>
      <c r="H13" s="2076" t="s">
        <v>695</v>
      </c>
      <c r="J13" s="232"/>
    </row>
    <row r="14" spans="1:171" x14ac:dyDescent="0.25">
      <c r="A14" s="240" t="s">
        <v>620</v>
      </c>
      <c r="B14" s="241"/>
      <c r="C14" s="241"/>
      <c r="D14" s="241"/>
      <c r="E14" s="274"/>
      <c r="F14" s="274"/>
      <c r="G14" s="274"/>
      <c r="J14" s="267"/>
      <c r="K14" s="2071" t="s">
        <v>690</v>
      </c>
    </row>
    <row r="15" spans="1:171" x14ac:dyDescent="0.25">
      <c r="A15" s="240" t="s">
        <v>621</v>
      </c>
      <c r="B15" s="241"/>
      <c r="C15" s="241"/>
      <c r="D15" s="241"/>
      <c r="E15" s="270"/>
      <c r="F15" s="270"/>
      <c r="G15" s="270"/>
      <c r="J15" s="232"/>
    </row>
    <row r="16" spans="1:171" s="231" customFormat="1" ht="15.75" thickBot="1" x14ac:dyDescent="0.3">
      <c r="A16" s="244" t="s">
        <v>622</v>
      </c>
      <c r="B16" s="245">
        <f t="shared" ref="B16:G16" si="0">SUM(B13:B15)</f>
        <v>0</v>
      </c>
      <c r="C16" s="246">
        <f t="shared" si="0"/>
        <v>0</v>
      </c>
      <c r="D16" s="245">
        <f t="shared" si="0"/>
        <v>0</v>
      </c>
      <c r="E16" s="246">
        <f t="shared" si="0"/>
        <v>0</v>
      </c>
      <c r="F16" s="245">
        <f t="shared" si="0"/>
        <v>0</v>
      </c>
      <c r="G16" s="247">
        <f t="shared" si="0"/>
        <v>0</v>
      </c>
      <c r="H16" s="2077"/>
      <c r="I16" s="2075"/>
      <c r="J16" s="282"/>
      <c r="K16" s="2071" t="s">
        <v>692</v>
      </c>
      <c r="L16" s="2075"/>
      <c r="M16" s="2075"/>
      <c r="N16" s="2075"/>
      <c r="O16" s="2075"/>
      <c r="P16" s="2075"/>
      <c r="Q16" s="2075"/>
      <c r="R16" s="2075"/>
      <c r="S16" s="2075"/>
      <c r="T16" s="2075"/>
      <c r="U16" s="2075"/>
      <c r="V16" s="2075"/>
      <c r="W16" s="2075"/>
      <c r="X16" s="2075"/>
      <c r="Y16" s="2075"/>
      <c r="Z16" s="2075"/>
      <c r="AA16" s="2075"/>
      <c r="AB16" s="2075"/>
      <c r="AC16" s="2075"/>
      <c r="AD16" s="2075"/>
      <c r="AE16" s="2075"/>
      <c r="AF16" s="2075"/>
      <c r="AG16" s="2075"/>
      <c r="AH16" s="2075"/>
      <c r="AI16" s="2075"/>
      <c r="AJ16" s="2075"/>
      <c r="AK16" s="2075"/>
      <c r="AL16" s="2075"/>
      <c r="AM16" s="2075"/>
      <c r="AN16" s="2075"/>
      <c r="AO16" s="2075"/>
      <c r="AP16" s="2075"/>
      <c r="AQ16" s="2075"/>
      <c r="AR16" s="2075"/>
      <c r="AS16" s="2075"/>
      <c r="AT16" s="2075"/>
      <c r="AU16" s="2075"/>
      <c r="AV16" s="2075"/>
      <c r="AW16" s="2075"/>
      <c r="AX16" s="2075"/>
      <c r="AY16" s="2075"/>
      <c r="AZ16" s="2075"/>
      <c r="BA16" s="2075"/>
      <c r="BB16" s="2075"/>
      <c r="BC16" s="2075"/>
      <c r="BD16" s="2075"/>
      <c r="BE16" s="2075"/>
      <c r="BF16" s="2075"/>
      <c r="BG16" s="2075"/>
      <c r="BH16" s="2075"/>
      <c r="BI16" s="2075"/>
      <c r="BJ16" s="2075"/>
      <c r="BK16" s="2075"/>
      <c r="BL16" s="2075"/>
      <c r="BM16" s="2075"/>
      <c r="BN16" s="2075"/>
      <c r="BO16" s="2075"/>
      <c r="BP16" s="2075"/>
      <c r="BQ16" s="2075"/>
      <c r="BR16" s="2075"/>
      <c r="BS16" s="2075"/>
      <c r="BT16" s="2075"/>
      <c r="BU16" s="2075"/>
      <c r="BV16" s="2075"/>
      <c r="BW16" s="2075"/>
      <c r="BX16" s="2075"/>
      <c r="BY16" s="2075"/>
      <c r="BZ16" s="2075"/>
      <c r="CA16" s="2075"/>
      <c r="CB16" s="2075"/>
      <c r="CC16" s="2075"/>
      <c r="CD16" s="2075"/>
      <c r="CE16" s="2075"/>
      <c r="CF16" s="2075"/>
      <c r="CG16" s="2075"/>
      <c r="CH16" s="2075"/>
      <c r="CI16" s="2075"/>
      <c r="CJ16" s="2075"/>
      <c r="CK16" s="2075"/>
      <c r="CL16" s="2075"/>
      <c r="CM16" s="2075"/>
      <c r="CN16" s="2075"/>
      <c r="CO16" s="2075"/>
      <c r="CP16" s="2075"/>
      <c r="CQ16" s="2075"/>
      <c r="CR16" s="2075"/>
      <c r="CS16" s="2075"/>
      <c r="CT16" s="2075"/>
      <c r="CU16" s="2075"/>
      <c r="CV16" s="2075"/>
      <c r="CW16" s="2075"/>
      <c r="CX16" s="2075"/>
      <c r="CY16" s="2075"/>
      <c r="CZ16" s="2075"/>
      <c r="DA16" s="2075"/>
      <c r="DB16" s="2075"/>
      <c r="DC16" s="2075"/>
      <c r="DD16" s="2075"/>
      <c r="DE16" s="2075"/>
      <c r="DF16" s="2075"/>
      <c r="DG16" s="2075"/>
      <c r="DH16" s="2075"/>
      <c r="DI16" s="2075"/>
      <c r="DJ16" s="2075"/>
      <c r="DK16" s="2075"/>
      <c r="DL16" s="2075"/>
      <c r="DM16" s="2075"/>
      <c r="DN16" s="2075"/>
      <c r="DO16" s="2075"/>
      <c r="DP16" s="2075"/>
      <c r="DQ16" s="2075"/>
      <c r="DR16" s="2075"/>
      <c r="DS16" s="2075"/>
      <c r="DT16" s="2075"/>
      <c r="DU16" s="2075"/>
      <c r="DV16" s="2075"/>
      <c r="DW16" s="2075"/>
      <c r="DX16" s="2075"/>
      <c r="DY16" s="2075"/>
      <c r="DZ16" s="2075"/>
      <c r="EA16" s="2075"/>
      <c r="EB16" s="2075"/>
      <c r="EC16" s="2075"/>
      <c r="ED16" s="2075"/>
      <c r="EE16" s="2075"/>
      <c r="EF16" s="2075"/>
      <c r="EG16" s="2075"/>
      <c r="EH16" s="2075"/>
      <c r="EI16" s="2075"/>
      <c r="EJ16" s="2075"/>
      <c r="EK16" s="2075"/>
      <c r="EL16" s="2075"/>
      <c r="EM16" s="2075"/>
      <c r="EN16" s="2075"/>
      <c r="EO16" s="2075"/>
      <c r="EP16" s="2075"/>
      <c r="EQ16" s="2075"/>
      <c r="ER16" s="2075"/>
      <c r="ES16" s="2075"/>
      <c r="ET16" s="2075"/>
      <c r="EU16" s="2075"/>
      <c r="EV16" s="2075"/>
      <c r="EW16" s="2075"/>
      <c r="EX16" s="2075"/>
      <c r="EY16" s="2075"/>
      <c r="EZ16" s="2075"/>
      <c r="FA16" s="2075"/>
      <c r="FB16" s="2075"/>
      <c r="FC16" s="2075"/>
      <c r="FD16" s="2075"/>
      <c r="FE16" s="2075"/>
      <c r="FF16" s="2075"/>
      <c r="FG16" s="2075"/>
      <c r="FH16" s="2075"/>
      <c r="FI16" s="2075"/>
      <c r="FJ16" s="2075"/>
      <c r="FK16" s="2075"/>
      <c r="FL16" s="2075"/>
      <c r="FM16" s="2075"/>
      <c r="FN16" s="2075"/>
      <c r="FO16" s="2075"/>
    </row>
    <row r="17" spans="1:171" s="231" customFormat="1" ht="15.75" thickBot="1" x14ac:dyDescent="0.3">
      <c r="A17" s="248" t="s">
        <v>623</v>
      </c>
      <c r="B17" s="257"/>
      <c r="C17" s="257"/>
      <c r="D17" s="257"/>
      <c r="E17" s="284"/>
      <c r="F17" s="284"/>
      <c r="G17" s="284"/>
      <c r="H17" s="2077"/>
      <c r="I17" s="2075"/>
      <c r="J17" s="232"/>
      <c r="K17" s="2071"/>
      <c r="L17" s="2075"/>
      <c r="M17" s="2075"/>
      <c r="N17" s="2075"/>
      <c r="O17" s="2075"/>
      <c r="P17" s="2075"/>
      <c r="Q17" s="2075"/>
      <c r="R17" s="2075"/>
      <c r="S17" s="2075"/>
      <c r="T17" s="2075"/>
      <c r="U17" s="2075"/>
      <c r="V17" s="2075"/>
      <c r="W17" s="2075"/>
      <c r="X17" s="2075"/>
      <c r="Y17" s="2075"/>
      <c r="Z17" s="2075"/>
      <c r="AA17" s="2075"/>
      <c r="AB17" s="2075"/>
      <c r="AC17" s="2075"/>
      <c r="AD17" s="2075"/>
      <c r="AE17" s="2075"/>
      <c r="AF17" s="2075"/>
      <c r="AG17" s="2075"/>
      <c r="AH17" s="2075"/>
      <c r="AI17" s="2075"/>
      <c r="AJ17" s="2075"/>
      <c r="AK17" s="2075"/>
      <c r="AL17" s="2075"/>
      <c r="AM17" s="2075"/>
      <c r="AN17" s="2075"/>
      <c r="AO17" s="2075"/>
      <c r="AP17" s="2075"/>
      <c r="AQ17" s="2075"/>
      <c r="AR17" s="2075"/>
      <c r="AS17" s="2075"/>
      <c r="AT17" s="2075"/>
      <c r="AU17" s="2075"/>
      <c r="AV17" s="2075"/>
      <c r="AW17" s="2075"/>
      <c r="AX17" s="2075"/>
      <c r="AY17" s="2075"/>
      <c r="AZ17" s="2075"/>
      <c r="BA17" s="2075"/>
      <c r="BB17" s="2075"/>
      <c r="BC17" s="2075"/>
      <c r="BD17" s="2075"/>
      <c r="BE17" s="2075"/>
      <c r="BF17" s="2075"/>
      <c r="BG17" s="2075"/>
      <c r="BH17" s="2075"/>
      <c r="BI17" s="2075"/>
      <c r="BJ17" s="2075"/>
      <c r="BK17" s="2075"/>
      <c r="BL17" s="2075"/>
      <c r="BM17" s="2075"/>
      <c r="BN17" s="2075"/>
      <c r="BO17" s="2075"/>
      <c r="BP17" s="2075"/>
      <c r="BQ17" s="2075"/>
      <c r="BR17" s="2075"/>
      <c r="BS17" s="2075"/>
      <c r="BT17" s="2075"/>
      <c r="BU17" s="2075"/>
      <c r="BV17" s="2075"/>
      <c r="BW17" s="2075"/>
      <c r="BX17" s="2075"/>
      <c r="BY17" s="2075"/>
      <c r="BZ17" s="2075"/>
      <c r="CA17" s="2075"/>
      <c r="CB17" s="2075"/>
      <c r="CC17" s="2075"/>
      <c r="CD17" s="2075"/>
      <c r="CE17" s="2075"/>
      <c r="CF17" s="2075"/>
      <c r="CG17" s="2075"/>
      <c r="CH17" s="2075"/>
      <c r="CI17" s="2075"/>
      <c r="CJ17" s="2075"/>
      <c r="CK17" s="2075"/>
      <c r="CL17" s="2075"/>
      <c r="CM17" s="2075"/>
      <c r="CN17" s="2075"/>
      <c r="CO17" s="2075"/>
      <c r="CP17" s="2075"/>
      <c r="CQ17" s="2075"/>
      <c r="CR17" s="2075"/>
      <c r="CS17" s="2075"/>
      <c r="CT17" s="2075"/>
      <c r="CU17" s="2075"/>
      <c r="CV17" s="2075"/>
      <c r="CW17" s="2075"/>
      <c r="CX17" s="2075"/>
      <c r="CY17" s="2075"/>
      <c r="CZ17" s="2075"/>
      <c r="DA17" s="2075"/>
      <c r="DB17" s="2075"/>
      <c r="DC17" s="2075"/>
      <c r="DD17" s="2075"/>
      <c r="DE17" s="2075"/>
      <c r="DF17" s="2075"/>
      <c r="DG17" s="2075"/>
      <c r="DH17" s="2075"/>
      <c r="DI17" s="2075"/>
      <c r="DJ17" s="2075"/>
      <c r="DK17" s="2075"/>
      <c r="DL17" s="2075"/>
      <c r="DM17" s="2075"/>
      <c r="DN17" s="2075"/>
      <c r="DO17" s="2075"/>
      <c r="DP17" s="2075"/>
      <c r="DQ17" s="2075"/>
      <c r="DR17" s="2075"/>
      <c r="DS17" s="2075"/>
      <c r="DT17" s="2075"/>
      <c r="DU17" s="2075"/>
      <c r="DV17" s="2075"/>
      <c r="DW17" s="2075"/>
      <c r="DX17" s="2075"/>
      <c r="DY17" s="2075"/>
      <c r="DZ17" s="2075"/>
      <c r="EA17" s="2075"/>
      <c r="EB17" s="2075"/>
      <c r="EC17" s="2075"/>
      <c r="ED17" s="2075"/>
      <c r="EE17" s="2075"/>
      <c r="EF17" s="2075"/>
      <c r="EG17" s="2075"/>
      <c r="EH17" s="2075"/>
      <c r="EI17" s="2075"/>
      <c r="EJ17" s="2075"/>
      <c r="EK17" s="2075"/>
      <c r="EL17" s="2075"/>
      <c r="EM17" s="2075"/>
      <c r="EN17" s="2075"/>
      <c r="EO17" s="2075"/>
      <c r="EP17" s="2075"/>
      <c r="EQ17" s="2075"/>
      <c r="ER17" s="2075"/>
      <c r="ES17" s="2075"/>
      <c r="ET17" s="2075"/>
      <c r="EU17" s="2075"/>
      <c r="EV17" s="2075"/>
      <c r="EW17" s="2075"/>
      <c r="EX17" s="2075"/>
      <c r="EY17" s="2075"/>
      <c r="EZ17" s="2075"/>
      <c r="FA17" s="2075"/>
      <c r="FB17" s="2075"/>
      <c r="FC17" s="2075"/>
      <c r="FD17" s="2075"/>
      <c r="FE17" s="2075"/>
      <c r="FF17" s="2075"/>
      <c r="FG17" s="2075"/>
      <c r="FH17" s="2075"/>
      <c r="FI17" s="2075"/>
      <c r="FJ17" s="2075"/>
      <c r="FK17" s="2075"/>
      <c r="FL17" s="2075"/>
      <c r="FM17" s="2075"/>
      <c r="FN17" s="2075"/>
      <c r="FO17" s="2075"/>
    </row>
    <row r="18" spans="1:171" s="231" customFormat="1" ht="15.75" thickBot="1" x14ac:dyDescent="0.3">
      <c r="A18" s="233" t="s">
        <v>624</v>
      </c>
      <c r="B18" s="252"/>
      <c r="C18" s="253"/>
      <c r="D18" s="252"/>
      <c r="E18" s="271"/>
      <c r="F18" s="272"/>
      <c r="G18" s="281"/>
      <c r="H18" s="2077"/>
      <c r="I18" s="2075"/>
      <c r="J18" s="951"/>
      <c r="K18" s="2078" t="s">
        <v>815</v>
      </c>
      <c r="L18" s="2075"/>
      <c r="M18" s="2075"/>
      <c r="N18" s="2075"/>
      <c r="O18" s="2075"/>
      <c r="P18" s="2075"/>
      <c r="Q18" s="2075"/>
      <c r="R18" s="2075"/>
      <c r="S18" s="2075"/>
      <c r="T18" s="2075"/>
      <c r="U18" s="2075"/>
      <c r="V18" s="2075"/>
      <c r="W18" s="2075"/>
      <c r="X18" s="2075"/>
      <c r="Y18" s="2075"/>
      <c r="Z18" s="2075"/>
      <c r="AA18" s="2075"/>
      <c r="AB18" s="2075"/>
      <c r="AC18" s="2075"/>
      <c r="AD18" s="2075"/>
      <c r="AE18" s="2075"/>
      <c r="AF18" s="2075"/>
      <c r="AG18" s="2075"/>
      <c r="AH18" s="2075"/>
      <c r="AI18" s="2075"/>
      <c r="AJ18" s="2075"/>
      <c r="AK18" s="2075"/>
      <c r="AL18" s="2075"/>
      <c r="AM18" s="2075"/>
      <c r="AN18" s="2075"/>
      <c r="AO18" s="2075"/>
      <c r="AP18" s="2075"/>
      <c r="AQ18" s="2075"/>
      <c r="AR18" s="2075"/>
      <c r="AS18" s="2075"/>
      <c r="AT18" s="2075"/>
      <c r="AU18" s="2075"/>
      <c r="AV18" s="2075"/>
      <c r="AW18" s="2075"/>
      <c r="AX18" s="2075"/>
      <c r="AY18" s="2075"/>
      <c r="AZ18" s="2075"/>
      <c r="BA18" s="2075"/>
      <c r="BB18" s="2075"/>
      <c r="BC18" s="2075"/>
      <c r="BD18" s="2075"/>
      <c r="BE18" s="2075"/>
      <c r="BF18" s="2075"/>
      <c r="BG18" s="2075"/>
      <c r="BH18" s="2075"/>
      <c r="BI18" s="2075"/>
      <c r="BJ18" s="2075"/>
      <c r="BK18" s="2075"/>
      <c r="BL18" s="2075"/>
      <c r="BM18" s="2075"/>
      <c r="BN18" s="2075"/>
      <c r="BO18" s="2075"/>
      <c r="BP18" s="2075"/>
      <c r="BQ18" s="2075"/>
      <c r="BR18" s="2075"/>
      <c r="BS18" s="2075"/>
      <c r="BT18" s="2075"/>
      <c r="BU18" s="2075"/>
      <c r="BV18" s="2075"/>
      <c r="BW18" s="2075"/>
      <c r="BX18" s="2075"/>
      <c r="BY18" s="2075"/>
      <c r="BZ18" s="2075"/>
      <c r="CA18" s="2075"/>
      <c r="CB18" s="2075"/>
      <c r="CC18" s="2075"/>
      <c r="CD18" s="2075"/>
      <c r="CE18" s="2075"/>
      <c r="CF18" s="2075"/>
      <c r="CG18" s="2075"/>
      <c r="CH18" s="2075"/>
      <c r="CI18" s="2075"/>
      <c r="CJ18" s="2075"/>
      <c r="CK18" s="2075"/>
      <c r="CL18" s="2075"/>
      <c r="CM18" s="2075"/>
      <c r="CN18" s="2075"/>
      <c r="CO18" s="2075"/>
      <c r="CP18" s="2075"/>
      <c r="CQ18" s="2075"/>
      <c r="CR18" s="2075"/>
      <c r="CS18" s="2075"/>
      <c r="CT18" s="2075"/>
      <c r="CU18" s="2075"/>
      <c r="CV18" s="2075"/>
      <c r="CW18" s="2075"/>
      <c r="CX18" s="2075"/>
      <c r="CY18" s="2075"/>
      <c r="CZ18" s="2075"/>
      <c r="DA18" s="2075"/>
      <c r="DB18" s="2075"/>
      <c r="DC18" s="2075"/>
      <c r="DD18" s="2075"/>
      <c r="DE18" s="2075"/>
      <c r="DF18" s="2075"/>
      <c r="DG18" s="2075"/>
      <c r="DH18" s="2075"/>
      <c r="DI18" s="2075"/>
      <c r="DJ18" s="2075"/>
      <c r="DK18" s="2075"/>
      <c r="DL18" s="2075"/>
      <c r="DM18" s="2075"/>
      <c r="DN18" s="2075"/>
      <c r="DO18" s="2075"/>
      <c r="DP18" s="2075"/>
      <c r="DQ18" s="2075"/>
      <c r="DR18" s="2075"/>
      <c r="DS18" s="2075"/>
      <c r="DT18" s="2075"/>
      <c r="DU18" s="2075"/>
      <c r="DV18" s="2075"/>
      <c r="DW18" s="2075"/>
      <c r="DX18" s="2075"/>
      <c r="DY18" s="2075"/>
      <c r="DZ18" s="2075"/>
      <c r="EA18" s="2075"/>
      <c r="EB18" s="2075"/>
      <c r="EC18" s="2075"/>
      <c r="ED18" s="2075"/>
      <c r="EE18" s="2075"/>
      <c r="EF18" s="2075"/>
      <c r="EG18" s="2075"/>
      <c r="EH18" s="2075"/>
      <c r="EI18" s="2075"/>
      <c r="EJ18" s="2075"/>
      <c r="EK18" s="2075"/>
      <c r="EL18" s="2075"/>
      <c r="EM18" s="2075"/>
      <c r="EN18" s="2075"/>
      <c r="EO18" s="2075"/>
      <c r="EP18" s="2075"/>
      <c r="EQ18" s="2075"/>
      <c r="ER18" s="2075"/>
      <c r="ES18" s="2075"/>
      <c r="ET18" s="2075"/>
      <c r="EU18" s="2075"/>
      <c r="EV18" s="2075"/>
      <c r="EW18" s="2075"/>
      <c r="EX18" s="2075"/>
      <c r="EY18" s="2075"/>
      <c r="EZ18" s="2075"/>
      <c r="FA18" s="2075"/>
      <c r="FB18" s="2075"/>
      <c r="FC18" s="2075"/>
      <c r="FD18" s="2075"/>
      <c r="FE18" s="2075"/>
      <c r="FF18" s="2075"/>
      <c r="FG18" s="2075"/>
      <c r="FH18" s="2075"/>
      <c r="FI18" s="2075"/>
      <c r="FJ18" s="2075"/>
      <c r="FK18" s="2075"/>
      <c r="FL18" s="2075"/>
      <c r="FM18" s="2075"/>
      <c r="FN18" s="2075"/>
      <c r="FO18" s="2075"/>
    </row>
    <row r="19" spans="1:171" x14ac:dyDescent="0.25">
      <c r="A19" s="240" t="s">
        <v>625</v>
      </c>
      <c r="B19" s="241"/>
      <c r="C19" s="242"/>
      <c r="D19" s="241"/>
      <c r="E19" s="269"/>
      <c r="F19" s="270"/>
      <c r="G19" s="280"/>
    </row>
    <row r="20" spans="1:171" x14ac:dyDescent="0.25">
      <c r="A20" s="240" t="s">
        <v>856</v>
      </c>
      <c r="B20" s="241"/>
      <c r="C20" s="241"/>
      <c r="D20" s="241"/>
      <c r="E20" s="270"/>
      <c r="F20" s="270"/>
      <c r="G20" s="270"/>
    </row>
    <row r="21" spans="1:171" x14ac:dyDescent="0.25">
      <c r="A21" s="240" t="s">
        <v>626</v>
      </c>
      <c r="B21" s="241"/>
      <c r="C21" s="242"/>
      <c r="D21" s="241"/>
      <c r="E21" s="269"/>
      <c r="F21" s="270"/>
      <c r="G21" s="280"/>
    </row>
    <row r="22" spans="1:171" s="231" customFormat="1" ht="15.75" thickBot="1" x14ac:dyDescent="0.3">
      <c r="A22" s="248" t="s">
        <v>627</v>
      </c>
      <c r="B22" s="249">
        <f t="shared" ref="B22:G22" si="1">SUM(B19:B21)</f>
        <v>0</v>
      </c>
      <c r="C22" s="250">
        <f t="shared" si="1"/>
        <v>0</v>
      </c>
      <c r="D22" s="249">
        <f t="shared" si="1"/>
        <v>0</v>
      </c>
      <c r="E22" s="250">
        <f t="shared" si="1"/>
        <v>0</v>
      </c>
      <c r="F22" s="249">
        <f t="shared" si="1"/>
        <v>0</v>
      </c>
      <c r="G22" s="251">
        <f t="shared" si="1"/>
        <v>0</v>
      </c>
      <c r="H22" s="2077"/>
      <c r="I22" s="2075"/>
      <c r="J22" s="2075"/>
      <c r="K22" s="2075"/>
      <c r="L22" s="2075"/>
      <c r="M22" s="2075"/>
      <c r="N22" s="2075"/>
      <c r="O22" s="2075"/>
      <c r="P22" s="2075"/>
      <c r="Q22" s="2075"/>
      <c r="R22" s="2075"/>
      <c r="S22" s="2075"/>
      <c r="T22" s="2075"/>
      <c r="U22" s="2075"/>
      <c r="V22" s="2075"/>
      <c r="W22" s="2075"/>
      <c r="X22" s="2075"/>
      <c r="Y22" s="2075"/>
      <c r="Z22" s="2075"/>
      <c r="AA22" s="2075"/>
      <c r="AB22" s="2075"/>
      <c r="AC22" s="2075"/>
      <c r="AD22" s="2075"/>
      <c r="AE22" s="2075"/>
      <c r="AF22" s="2075"/>
      <c r="AG22" s="2075"/>
      <c r="AH22" s="2075"/>
      <c r="AI22" s="2075"/>
      <c r="AJ22" s="2075"/>
      <c r="AK22" s="2075"/>
      <c r="AL22" s="2075"/>
      <c r="AM22" s="2075"/>
      <c r="AN22" s="2075"/>
      <c r="AO22" s="2075"/>
      <c r="AP22" s="2075"/>
      <c r="AQ22" s="2075"/>
      <c r="AR22" s="2075"/>
      <c r="AS22" s="2075"/>
      <c r="AT22" s="2075"/>
      <c r="AU22" s="2075"/>
      <c r="AV22" s="2075"/>
      <c r="AW22" s="2075"/>
      <c r="AX22" s="2075"/>
      <c r="AY22" s="2075"/>
      <c r="AZ22" s="2075"/>
      <c r="BA22" s="2075"/>
      <c r="BB22" s="2075"/>
      <c r="BC22" s="2075"/>
      <c r="BD22" s="2075"/>
      <c r="BE22" s="2075"/>
      <c r="BF22" s="2075"/>
      <c r="BG22" s="2075"/>
      <c r="BH22" s="2075"/>
      <c r="BI22" s="2075"/>
      <c r="BJ22" s="2075"/>
      <c r="BK22" s="2075"/>
      <c r="BL22" s="2075"/>
      <c r="BM22" s="2075"/>
      <c r="BN22" s="2075"/>
      <c r="BO22" s="2075"/>
      <c r="BP22" s="2075"/>
      <c r="BQ22" s="2075"/>
      <c r="BR22" s="2075"/>
      <c r="BS22" s="2075"/>
      <c r="BT22" s="2075"/>
      <c r="BU22" s="2075"/>
      <c r="BV22" s="2075"/>
      <c r="BW22" s="2075"/>
      <c r="BX22" s="2075"/>
      <c r="BY22" s="2075"/>
      <c r="BZ22" s="2075"/>
      <c r="CA22" s="2075"/>
      <c r="CB22" s="2075"/>
      <c r="CC22" s="2075"/>
      <c r="CD22" s="2075"/>
      <c r="CE22" s="2075"/>
      <c r="CF22" s="2075"/>
      <c r="CG22" s="2075"/>
      <c r="CH22" s="2075"/>
      <c r="CI22" s="2075"/>
      <c r="CJ22" s="2075"/>
      <c r="CK22" s="2075"/>
      <c r="CL22" s="2075"/>
      <c r="CM22" s="2075"/>
      <c r="CN22" s="2075"/>
      <c r="CO22" s="2075"/>
      <c r="CP22" s="2075"/>
      <c r="CQ22" s="2075"/>
      <c r="CR22" s="2075"/>
      <c r="CS22" s="2075"/>
      <c r="CT22" s="2075"/>
      <c r="CU22" s="2075"/>
      <c r="CV22" s="2075"/>
      <c r="CW22" s="2075"/>
      <c r="CX22" s="2075"/>
      <c r="CY22" s="2075"/>
      <c r="CZ22" s="2075"/>
      <c r="DA22" s="2075"/>
      <c r="DB22" s="2075"/>
      <c r="DC22" s="2075"/>
      <c r="DD22" s="2075"/>
      <c r="DE22" s="2075"/>
      <c r="DF22" s="2075"/>
      <c r="DG22" s="2075"/>
      <c r="DH22" s="2075"/>
      <c r="DI22" s="2075"/>
      <c r="DJ22" s="2075"/>
      <c r="DK22" s="2075"/>
      <c r="DL22" s="2075"/>
      <c r="DM22" s="2075"/>
      <c r="DN22" s="2075"/>
      <c r="DO22" s="2075"/>
      <c r="DP22" s="2075"/>
      <c r="DQ22" s="2075"/>
      <c r="DR22" s="2075"/>
      <c r="DS22" s="2075"/>
      <c r="DT22" s="2075"/>
      <c r="DU22" s="2075"/>
      <c r="DV22" s="2075"/>
      <c r="DW22" s="2075"/>
      <c r="DX22" s="2075"/>
      <c r="DY22" s="2075"/>
      <c r="DZ22" s="2075"/>
      <c r="EA22" s="2075"/>
      <c r="EB22" s="2075"/>
      <c r="EC22" s="2075"/>
      <c r="ED22" s="2075"/>
      <c r="EE22" s="2075"/>
      <c r="EF22" s="2075"/>
      <c r="EG22" s="2075"/>
      <c r="EH22" s="2075"/>
      <c r="EI22" s="2075"/>
      <c r="EJ22" s="2075"/>
      <c r="EK22" s="2075"/>
      <c r="EL22" s="2075"/>
      <c r="EM22" s="2075"/>
      <c r="EN22" s="2075"/>
      <c r="EO22" s="2075"/>
      <c r="EP22" s="2075"/>
      <c r="EQ22" s="2075"/>
      <c r="ER22" s="2075"/>
      <c r="ES22" s="2075"/>
      <c r="ET22" s="2075"/>
      <c r="EU22" s="2075"/>
      <c r="EV22" s="2075"/>
      <c r="EW22" s="2075"/>
      <c r="EX22" s="2075"/>
      <c r="EY22" s="2075"/>
      <c r="EZ22" s="2075"/>
      <c r="FA22" s="2075"/>
      <c r="FB22" s="2075"/>
      <c r="FC22" s="2075"/>
      <c r="FD22" s="2075"/>
      <c r="FE22" s="2075"/>
      <c r="FF22" s="2075"/>
      <c r="FG22" s="2075"/>
      <c r="FH22" s="2075"/>
      <c r="FI22" s="2075"/>
      <c r="FJ22" s="2075"/>
      <c r="FK22" s="2075"/>
      <c r="FL22" s="2075"/>
      <c r="FM22" s="2075"/>
      <c r="FN22" s="2075"/>
      <c r="FO22" s="2075"/>
    </row>
    <row r="23" spans="1:171" x14ac:dyDescent="0.25">
      <c r="A23" s="236" t="s">
        <v>628</v>
      </c>
      <c r="B23" s="237"/>
      <c r="C23" s="238"/>
      <c r="D23" s="237"/>
      <c r="E23" s="268"/>
      <c r="F23" s="278"/>
      <c r="G23" s="279"/>
    </row>
    <row r="24" spans="1:171" x14ac:dyDescent="0.25">
      <c r="A24" s="240" t="s">
        <v>629</v>
      </c>
      <c r="B24" s="241"/>
      <c r="C24" s="242"/>
      <c r="D24" s="241"/>
      <c r="E24" s="269"/>
      <c r="F24" s="270"/>
      <c r="G24" s="280"/>
    </row>
    <row r="25" spans="1:171" x14ac:dyDescent="0.25">
      <c r="A25" s="240" t="s">
        <v>630</v>
      </c>
      <c r="B25" s="241"/>
      <c r="C25" s="242"/>
      <c r="D25" s="241"/>
      <c r="E25" s="269"/>
      <c r="F25" s="270"/>
      <c r="G25" s="280"/>
    </row>
    <row r="26" spans="1:171" s="231" customFormat="1" ht="15.75" thickBot="1" x14ac:dyDescent="0.3">
      <c r="A26" s="244" t="s">
        <v>631</v>
      </c>
      <c r="B26" s="245">
        <f t="shared" ref="B26:G26" si="2">SUM(B23:B25)</f>
        <v>0</v>
      </c>
      <c r="C26" s="246">
        <f t="shared" si="2"/>
        <v>0</v>
      </c>
      <c r="D26" s="245">
        <f t="shared" si="2"/>
        <v>0</v>
      </c>
      <c r="E26" s="246">
        <f t="shared" si="2"/>
        <v>0</v>
      </c>
      <c r="F26" s="245">
        <f t="shared" si="2"/>
        <v>0</v>
      </c>
      <c r="G26" s="247">
        <f t="shared" si="2"/>
        <v>0</v>
      </c>
      <c r="H26" s="2077"/>
      <c r="I26" s="2075"/>
      <c r="J26" s="2075"/>
      <c r="K26" s="2075"/>
      <c r="L26" s="2075"/>
      <c r="M26" s="2075"/>
      <c r="N26" s="2075"/>
      <c r="O26" s="2075"/>
      <c r="P26" s="2075"/>
      <c r="Q26" s="2075"/>
      <c r="R26" s="2075"/>
      <c r="S26" s="2075"/>
      <c r="T26" s="2075"/>
      <c r="U26" s="2075"/>
      <c r="V26" s="2075"/>
      <c r="W26" s="2075"/>
      <c r="X26" s="2075"/>
      <c r="Y26" s="2075"/>
      <c r="Z26" s="2075"/>
      <c r="AA26" s="2075"/>
      <c r="AB26" s="2075"/>
      <c r="AC26" s="2075"/>
      <c r="AD26" s="2075"/>
      <c r="AE26" s="2075"/>
      <c r="AF26" s="2075"/>
      <c r="AG26" s="2075"/>
      <c r="AH26" s="2075"/>
      <c r="AI26" s="2075"/>
      <c r="AJ26" s="2075"/>
      <c r="AK26" s="2075"/>
      <c r="AL26" s="2075"/>
      <c r="AM26" s="2075"/>
      <c r="AN26" s="2075"/>
      <c r="AO26" s="2075"/>
      <c r="AP26" s="2075"/>
      <c r="AQ26" s="2075"/>
      <c r="AR26" s="2075"/>
      <c r="AS26" s="2075"/>
      <c r="AT26" s="2075"/>
      <c r="AU26" s="2075"/>
      <c r="AV26" s="2075"/>
      <c r="AW26" s="2075"/>
      <c r="AX26" s="2075"/>
      <c r="AY26" s="2075"/>
      <c r="AZ26" s="2075"/>
      <c r="BA26" s="2075"/>
      <c r="BB26" s="2075"/>
      <c r="BC26" s="2075"/>
      <c r="BD26" s="2075"/>
      <c r="BE26" s="2075"/>
      <c r="BF26" s="2075"/>
      <c r="BG26" s="2075"/>
      <c r="BH26" s="2075"/>
      <c r="BI26" s="2075"/>
      <c r="BJ26" s="2075"/>
      <c r="BK26" s="2075"/>
      <c r="BL26" s="2075"/>
      <c r="BM26" s="2075"/>
      <c r="BN26" s="2075"/>
      <c r="BO26" s="2075"/>
      <c r="BP26" s="2075"/>
      <c r="BQ26" s="2075"/>
      <c r="BR26" s="2075"/>
      <c r="BS26" s="2075"/>
      <c r="BT26" s="2075"/>
      <c r="BU26" s="2075"/>
      <c r="BV26" s="2075"/>
      <c r="BW26" s="2075"/>
      <c r="BX26" s="2075"/>
      <c r="BY26" s="2075"/>
      <c r="BZ26" s="2075"/>
      <c r="CA26" s="2075"/>
      <c r="CB26" s="2075"/>
      <c r="CC26" s="2075"/>
      <c r="CD26" s="2075"/>
      <c r="CE26" s="2075"/>
      <c r="CF26" s="2075"/>
      <c r="CG26" s="2075"/>
      <c r="CH26" s="2075"/>
      <c r="CI26" s="2075"/>
      <c r="CJ26" s="2075"/>
      <c r="CK26" s="2075"/>
      <c r="CL26" s="2075"/>
      <c r="CM26" s="2075"/>
      <c r="CN26" s="2075"/>
      <c r="CO26" s="2075"/>
      <c r="CP26" s="2075"/>
      <c r="CQ26" s="2075"/>
      <c r="CR26" s="2075"/>
      <c r="CS26" s="2075"/>
      <c r="CT26" s="2075"/>
      <c r="CU26" s="2075"/>
      <c r="CV26" s="2075"/>
      <c r="CW26" s="2075"/>
      <c r="CX26" s="2075"/>
      <c r="CY26" s="2075"/>
      <c r="CZ26" s="2075"/>
      <c r="DA26" s="2075"/>
      <c r="DB26" s="2075"/>
      <c r="DC26" s="2075"/>
      <c r="DD26" s="2075"/>
      <c r="DE26" s="2075"/>
      <c r="DF26" s="2075"/>
      <c r="DG26" s="2075"/>
      <c r="DH26" s="2075"/>
      <c r="DI26" s="2075"/>
      <c r="DJ26" s="2075"/>
      <c r="DK26" s="2075"/>
      <c r="DL26" s="2075"/>
      <c r="DM26" s="2075"/>
      <c r="DN26" s="2075"/>
      <c r="DO26" s="2075"/>
      <c r="DP26" s="2075"/>
      <c r="DQ26" s="2075"/>
      <c r="DR26" s="2075"/>
      <c r="DS26" s="2075"/>
      <c r="DT26" s="2075"/>
      <c r="DU26" s="2075"/>
      <c r="DV26" s="2075"/>
      <c r="DW26" s="2075"/>
      <c r="DX26" s="2075"/>
      <c r="DY26" s="2075"/>
      <c r="DZ26" s="2075"/>
      <c r="EA26" s="2075"/>
      <c r="EB26" s="2075"/>
      <c r="EC26" s="2075"/>
      <c r="ED26" s="2075"/>
      <c r="EE26" s="2075"/>
      <c r="EF26" s="2075"/>
      <c r="EG26" s="2075"/>
      <c r="EH26" s="2075"/>
      <c r="EI26" s="2075"/>
      <c r="EJ26" s="2075"/>
      <c r="EK26" s="2075"/>
      <c r="EL26" s="2075"/>
      <c r="EM26" s="2075"/>
      <c r="EN26" s="2075"/>
      <c r="EO26" s="2075"/>
      <c r="EP26" s="2075"/>
      <c r="EQ26" s="2075"/>
      <c r="ER26" s="2075"/>
      <c r="ES26" s="2075"/>
      <c r="ET26" s="2075"/>
      <c r="EU26" s="2075"/>
      <c r="EV26" s="2075"/>
      <c r="EW26" s="2075"/>
      <c r="EX26" s="2075"/>
      <c r="EY26" s="2075"/>
      <c r="EZ26" s="2075"/>
      <c r="FA26" s="2075"/>
      <c r="FB26" s="2075"/>
      <c r="FC26" s="2075"/>
      <c r="FD26" s="2075"/>
      <c r="FE26" s="2075"/>
      <c r="FF26" s="2075"/>
      <c r="FG26" s="2075"/>
      <c r="FH26" s="2075"/>
      <c r="FI26" s="2075"/>
      <c r="FJ26" s="2075"/>
      <c r="FK26" s="2075"/>
      <c r="FL26" s="2075"/>
      <c r="FM26" s="2075"/>
      <c r="FN26" s="2075"/>
      <c r="FO26" s="2075"/>
    </row>
    <row r="27" spans="1:171" x14ac:dyDescent="0.25">
      <c r="A27" s="240" t="s">
        <v>632</v>
      </c>
      <c r="B27" s="241"/>
      <c r="C27" s="242"/>
      <c r="D27" s="241"/>
      <c r="E27" s="269"/>
      <c r="F27" s="270"/>
      <c r="G27" s="280"/>
    </row>
    <row r="28" spans="1:171" x14ac:dyDescent="0.25">
      <c r="A28" s="240" t="s">
        <v>633</v>
      </c>
      <c r="B28" s="241"/>
      <c r="C28" s="241"/>
      <c r="D28" s="241"/>
      <c r="E28" s="270"/>
      <c r="F28" s="270"/>
      <c r="G28" s="270"/>
    </row>
    <row r="29" spans="1:171" x14ac:dyDescent="0.25">
      <c r="A29" s="240" t="s">
        <v>634</v>
      </c>
      <c r="B29" s="241"/>
      <c r="C29" s="242"/>
      <c r="D29" s="241"/>
      <c r="E29" s="269"/>
      <c r="F29" s="270"/>
      <c r="G29" s="280"/>
    </row>
    <row r="30" spans="1:171" s="231" customFormat="1" ht="15.75" thickBot="1" x14ac:dyDescent="0.3">
      <c r="A30" s="248" t="s">
        <v>635</v>
      </c>
      <c r="B30" s="249">
        <f t="shared" ref="B30:G30" si="3">SUM(B27:B29)</f>
        <v>0</v>
      </c>
      <c r="C30" s="250">
        <f t="shared" si="3"/>
        <v>0</v>
      </c>
      <c r="D30" s="249">
        <f t="shared" si="3"/>
        <v>0</v>
      </c>
      <c r="E30" s="250">
        <f t="shared" si="3"/>
        <v>0</v>
      </c>
      <c r="F30" s="249">
        <f t="shared" si="3"/>
        <v>0</v>
      </c>
      <c r="G30" s="251">
        <f t="shared" si="3"/>
        <v>0</v>
      </c>
      <c r="H30" s="2077"/>
      <c r="I30" s="2075"/>
      <c r="J30" s="2075"/>
      <c r="K30" s="2075"/>
      <c r="L30" s="2075"/>
      <c r="M30" s="2075"/>
      <c r="N30" s="2075"/>
      <c r="O30" s="2075"/>
      <c r="P30" s="2075"/>
      <c r="Q30" s="2075"/>
      <c r="R30" s="2075"/>
      <c r="S30" s="2075"/>
      <c r="T30" s="2075"/>
      <c r="U30" s="2075"/>
      <c r="V30" s="2075"/>
      <c r="W30" s="2075"/>
      <c r="X30" s="2075"/>
      <c r="Y30" s="2075"/>
      <c r="Z30" s="2075"/>
      <c r="AA30" s="2075"/>
      <c r="AB30" s="2075"/>
      <c r="AC30" s="2075"/>
      <c r="AD30" s="2075"/>
      <c r="AE30" s="2075"/>
      <c r="AF30" s="2075"/>
      <c r="AG30" s="2075"/>
      <c r="AH30" s="2075"/>
      <c r="AI30" s="2075"/>
      <c r="AJ30" s="2075"/>
      <c r="AK30" s="2075"/>
      <c r="AL30" s="2075"/>
      <c r="AM30" s="2075"/>
      <c r="AN30" s="2075"/>
      <c r="AO30" s="2075"/>
      <c r="AP30" s="2075"/>
      <c r="AQ30" s="2075"/>
      <c r="AR30" s="2075"/>
      <c r="AS30" s="2075"/>
      <c r="AT30" s="2075"/>
      <c r="AU30" s="2075"/>
      <c r="AV30" s="2075"/>
      <c r="AW30" s="2075"/>
      <c r="AX30" s="2075"/>
      <c r="AY30" s="2075"/>
      <c r="AZ30" s="2075"/>
      <c r="BA30" s="2075"/>
      <c r="BB30" s="2075"/>
      <c r="BC30" s="2075"/>
      <c r="BD30" s="2075"/>
      <c r="BE30" s="2075"/>
      <c r="BF30" s="2075"/>
      <c r="BG30" s="2075"/>
      <c r="BH30" s="2075"/>
      <c r="BI30" s="2075"/>
      <c r="BJ30" s="2075"/>
      <c r="BK30" s="2075"/>
      <c r="BL30" s="2075"/>
      <c r="BM30" s="2075"/>
      <c r="BN30" s="2075"/>
      <c r="BO30" s="2075"/>
      <c r="BP30" s="2075"/>
      <c r="BQ30" s="2075"/>
      <c r="BR30" s="2075"/>
      <c r="BS30" s="2075"/>
      <c r="BT30" s="2075"/>
      <c r="BU30" s="2075"/>
      <c r="BV30" s="2075"/>
      <c r="BW30" s="2075"/>
      <c r="BX30" s="2075"/>
      <c r="BY30" s="2075"/>
      <c r="BZ30" s="2075"/>
      <c r="CA30" s="2075"/>
      <c r="CB30" s="2075"/>
      <c r="CC30" s="2075"/>
      <c r="CD30" s="2075"/>
      <c r="CE30" s="2075"/>
      <c r="CF30" s="2075"/>
      <c r="CG30" s="2075"/>
      <c r="CH30" s="2075"/>
      <c r="CI30" s="2075"/>
      <c r="CJ30" s="2075"/>
      <c r="CK30" s="2075"/>
      <c r="CL30" s="2075"/>
      <c r="CM30" s="2075"/>
      <c r="CN30" s="2075"/>
      <c r="CO30" s="2075"/>
      <c r="CP30" s="2075"/>
      <c r="CQ30" s="2075"/>
      <c r="CR30" s="2075"/>
      <c r="CS30" s="2075"/>
      <c r="CT30" s="2075"/>
      <c r="CU30" s="2075"/>
      <c r="CV30" s="2075"/>
      <c r="CW30" s="2075"/>
      <c r="CX30" s="2075"/>
      <c r="CY30" s="2075"/>
      <c r="CZ30" s="2075"/>
      <c r="DA30" s="2075"/>
      <c r="DB30" s="2075"/>
      <c r="DC30" s="2075"/>
      <c r="DD30" s="2075"/>
      <c r="DE30" s="2075"/>
      <c r="DF30" s="2075"/>
      <c r="DG30" s="2075"/>
      <c r="DH30" s="2075"/>
      <c r="DI30" s="2075"/>
      <c r="DJ30" s="2075"/>
      <c r="DK30" s="2075"/>
      <c r="DL30" s="2075"/>
      <c r="DM30" s="2075"/>
      <c r="DN30" s="2075"/>
      <c r="DO30" s="2075"/>
      <c r="DP30" s="2075"/>
      <c r="DQ30" s="2075"/>
      <c r="DR30" s="2075"/>
      <c r="DS30" s="2075"/>
      <c r="DT30" s="2075"/>
      <c r="DU30" s="2075"/>
      <c r="DV30" s="2075"/>
      <c r="DW30" s="2075"/>
      <c r="DX30" s="2075"/>
      <c r="DY30" s="2075"/>
      <c r="DZ30" s="2075"/>
      <c r="EA30" s="2075"/>
      <c r="EB30" s="2075"/>
      <c r="EC30" s="2075"/>
      <c r="ED30" s="2075"/>
      <c r="EE30" s="2075"/>
      <c r="EF30" s="2075"/>
      <c r="EG30" s="2075"/>
      <c r="EH30" s="2075"/>
      <c r="EI30" s="2075"/>
      <c r="EJ30" s="2075"/>
      <c r="EK30" s="2075"/>
      <c r="EL30" s="2075"/>
      <c r="EM30" s="2075"/>
      <c r="EN30" s="2075"/>
      <c r="EO30" s="2075"/>
      <c r="EP30" s="2075"/>
      <c r="EQ30" s="2075"/>
      <c r="ER30" s="2075"/>
      <c r="ES30" s="2075"/>
      <c r="ET30" s="2075"/>
      <c r="EU30" s="2075"/>
      <c r="EV30" s="2075"/>
      <c r="EW30" s="2075"/>
      <c r="EX30" s="2075"/>
      <c r="EY30" s="2075"/>
      <c r="EZ30" s="2075"/>
      <c r="FA30" s="2075"/>
      <c r="FB30" s="2075"/>
      <c r="FC30" s="2075"/>
      <c r="FD30" s="2075"/>
      <c r="FE30" s="2075"/>
      <c r="FF30" s="2075"/>
      <c r="FG30" s="2075"/>
      <c r="FH30" s="2075"/>
      <c r="FI30" s="2075"/>
      <c r="FJ30" s="2075"/>
      <c r="FK30" s="2075"/>
      <c r="FL30" s="2075"/>
      <c r="FM30" s="2075"/>
      <c r="FN30" s="2075"/>
      <c r="FO30" s="2075"/>
    </row>
    <row r="31" spans="1:171" x14ac:dyDescent="0.25">
      <c r="A31" s="236" t="s">
        <v>636</v>
      </c>
      <c r="B31" s="237"/>
      <c r="C31" s="238"/>
      <c r="D31" s="237"/>
      <c r="E31" s="268"/>
      <c r="F31" s="278"/>
      <c r="G31" s="279"/>
    </row>
    <row r="32" spans="1:171" x14ac:dyDescent="0.25">
      <c r="A32" s="240" t="s">
        <v>637</v>
      </c>
      <c r="B32" s="241"/>
      <c r="C32" s="242"/>
      <c r="D32" s="241"/>
      <c r="E32" s="269"/>
      <c r="F32" s="270"/>
      <c r="G32" s="280"/>
    </row>
    <row r="33" spans="1:171" x14ac:dyDescent="0.25">
      <c r="A33" s="240" t="s">
        <v>638</v>
      </c>
      <c r="B33" s="241"/>
      <c r="C33" s="241"/>
      <c r="D33" s="241"/>
      <c r="E33" s="241">
        <f>'PyG anuales'!B22</f>
        <v>0</v>
      </c>
      <c r="F33" s="241">
        <f>'PyG anuales'!D22</f>
        <v>0</v>
      </c>
      <c r="G33" s="241">
        <f>'PyG anuales'!G22</f>
        <v>0</v>
      </c>
      <c r="H33" s="2076" t="s">
        <v>695</v>
      </c>
    </row>
    <row r="34" spans="1:171" x14ac:dyDescent="0.25">
      <c r="A34" s="240" t="s">
        <v>639</v>
      </c>
      <c r="B34" s="241"/>
      <c r="C34" s="242"/>
      <c r="D34" s="241"/>
      <c r="E34" s="269"/>
      <c r="F34" s="270"/>
      <c r="G34" s="280"/>
    </row>
    <row r="35" spans="1:171" s="231" customFormat="1" ht="15.75" thickBot="1" x14ac:dyDescent="0.3">
      <c r="A35" s="244" t="s">
        <v>640</v>
      </c>
      <c r="B35" s="245">
        <f t="shared" ref="B35:G35" si="4">SUM(B31:B34)</f>
        <v>0</v>
      </c>
      <c r="C35" s="246">
        <f t="shared" si="4"/>
        <v>0</v>
      </c>
      <c r="D35" s="245">
        <f t="shared" si="4"/>
        <v>0</v>
      </c>
      <c r="E35" s="246">
        <f t="shared" si="4"/>
        <v>0</v>
      </c>
      <c r="F35" s="245">
        <f t="shared" si="4"/>
        <v>0</v>
      </c>
      <c r="G35" s="247">
        <f t="shared" si="4"/>
        <v>0</v>
      </c>
      <c r="H35" s="2077"/>
      <c r="I35" s="2075"/>
      <c r="J35" s="2075"/>
      <c r="K35" s="2075"/>
      <c r="L35" s="2075"/>
      <c r="M35" s="2075"/>
      <c r="N35" s="2075"/>
      <c r="O35" s="2075"/>
      <c r="P35" s="2075"/>
      <c r="Q35" s="2075"/>
      <c r="R35" s="2075"/>
      <c r="S35" s="2075"/>
      <c r="T35" s="2075"/>
      <c r="U35" s="2075"/>
      <c r="V35" s="2075"/>
      <c r="W35" s="2075"/>
      <c r="X35" s="2075"/>
      <c r="Y35" s="2075"/>
      <c r="Z35" s="2075"/>
      <c r="AA35" s="2075"/>
      <c r="AB35" s="2075"/>
      <c r="AC35" s="2075"/>
      <c r="AD35" s="2075"/>
      <c r="AE35" s="2075"/>
      <c r="AF35" s="2075"/>
      <c r="AG35" s="2075"/>
      <c r="AH35" s="2075"/>
      <c r="AI35" s="2075"/>
      <c r="AJ35" s="2075"/>
      <c r="AK35" s="2075"/>
      <c r="AL35" s="2075"/>
      <c r="AM35" s="2075"/>
      <c r="AN35" s="2075"/>
      <c r="AO35" s="2075"/>
      <c r="AP35" s="2075"/>
      <c r="AQ35" s="2075"/>
      <c r="AR35" s="2075"/>
      <c r="AS35" s="2075"/>
      <c r="AT35" s="2075"/>
      <c r="AU35" s="2075"/>
      <c r="AV35" s="2075"/>
      <c r="AW35" s="2075"/>
      <c r="AX35" s="2075"/>
      <c r="AY35" s="2075"/>
      <c r="AZ35" s="2075"/>
      <c r="BA35" s="2075"/>
      <c r="BB35" s="2075"/>
      <c r="BC35" s="2075"/>
      <c r="BD35" s="2075"/>
      <c r="BE35" s="2075"/>
      <c r="BF35" s="2075"/>
      <c r="BG35" s="2075"/>
      <c r="BH35" s="2075"/>
      <c r="BI35" s="2075"/>
      <c r="BJ35" s="2075"/>
      <c r="BK35" s="2075"/>
      <c r="BL35" s="2075"/>
      <c r="BM35" s="2075"/>
      <c r="BN35" s="2075"/>
      <c r="BO35" s="2075"/>
      <c r="BP35" s="2075"/>
      <c r="BQ35" s="2075"/>
      <c r="BR35" s="2075"/>
      <c r="BS35" s="2075"/>
      <c r="BT35" s="2075"/>
      <c r="BU35" s="2075"/>
      <c r="BV35" s="2075"/>
      <c r="BW35" s="2075"/>
      <c r="BX35" s="2075"/>
      <c r="BY35" s="2075"/>
      <c r="BZ35" s="2075"/>
      <c r="CA35" s="2075"/>
      <c r="CB35" s="2075"/>
      <c r="CC35" s="2075"/>
      <c r="CD35" s="2075"/>
      <c r="CE35" s="2075"/>
      <c r="CF35" s="2075"/>
      <c r="CG35" s="2075"/>
      <c r="CH35" s="2075"/>
      <c r="CI35" s="2075"/>
      <c r="CJ35" s="2075"/>
      <c r="CK35" s="2075"/>
      <c r="CL35" s="2075"/>
      <c r="CM35" s="2075"/>
      <c r="CN35" s="2075"/>
      <c r="CO35" s="2075"/>
      <c r="CP35" s="2075"/>
      <c r="CQ35" s="2075"/>
      <c r="CR35" s="2075"/>
      <c r="CS35" s="2075"/>
      <c r="CT35" s="2075"/>
      <c r="CU35" s="2075"/>
      <c r="CV35" s="2075"/>
      <c r="CW35" s="2075"/>
      <c r="CX35" s="2075"/>
      <c r="CY35" s="2075"/>
      <c r="CZ35" s="2075"/>
      <c r="DA35" s="2075"/>
      <c r="DB35" s="2075"/>
      <c r="DC35" s="2075"/>
      <c r="DD35" s="2075"/>
      <c r="DE35" s="2075"/>
      <c r="DF35" s="2075"/>
      <c r="DG35" s="2075"/>
      <c r="DH35" s="2075"/>
      <c r="DI35" s="2075"/>
      <c r="DJ35" s="2075"/>
      <c r="DK35" s="2075"/>
      <c r="DL35" s="2075"/>
      <c r="DM35" s="2075"/>
      <c r="DN35" s="2075"/>
      <c r="DO35" s="2075"/>
      <c r="DP35" s="2075"/>
      <c r="DQ35" s="2075"/>
      <c r="DR35" s="2075"/>
      <c r="DS35" s="2075"/>
      <c r="DT35" s="2075"/>
      <c r="DU35" s="2075"/>
      <c r="DV35" s="2075"/>
      <c r="DW35" s="2075"/>
      <c r="DX35" s="2075"/>
      <c r="DY35" s="2075"/>
      <c r="DZ35" s="2075"/>
      <c r="EA35" s="2075"/>
      <c r="EB35" s="2075"/>
      <c r="EC35" s="2075"/>
      <c r="ED35" s="2075"/>
      <c r="EE35" s="2075"/>
      <c r="EF35" s="2075"/>
      <c r="EG35" s="2075"/>
      <c r="EH35" s="2075"/>
      <c r="EI35" s="2075"/>
      <c r="EJ35" s="2075"/>
      <c r="EK35" s="2075"/>
      <c r="EL35" s="2075"/>
      <c r="EM35" s="2075"/>
      <c r="EN35" s="2075"/>
      <c r="EO35" s="2075"/>
      <c r="EP35" s="2075"/>
      <c r="EQ35" s="2075"/>
      <c r="ER35" s="2075"/>
      <c r="ES35" s="2075"/>
      <c r="ET35" s="2075"/>
      <c r="EU35" s="2075"/>
      <c r="EV35" s="2075"/>
      <c r="EW35" s="2075"/>
      <c r="EX35" s="2075"/>
      <c r="EY35" s="2075"/>
      <c r="EZ35" s="2075"/>
      <c r="FA35" s="2075"/>
      <c r="FB35" s="2075"/>
      <c r="FC35" s="2075"/>
      <c r="FD35" s="2075"/>
      <c r="FE35" s="2075"/>
      <c r="FF35" s="2075"/>
      <c r="FG35" s="2075"/>
      <c r="FH35" s="2075"/>
      <c r="FI35" s="2075"/>
      <c r="FJ35" s="2075"/>
      <c r="FK35" s="2075"/>
      <c r="FL35" s="2075"/>
      <c r="FM35" s="2075"/>
      <c r="FN35" s="2075"/>
      <c r="FO35" s="2075"/>
    </row>
    <row r="36" spans="1:171" s="231" customFormat="1" ht="15.75" thickBot="1" x14ac:dyDescent="0.3">
      <c r="A36" s="248" t="s">
        <v>580</v>
      </c>
      <c r="B36" s="257"/>
      <c r="C36" s="258"/>
      <c r="D36" s="257"/>
      <c r="E36" s="285"/>
      <c r="F36" s="284"/>
      <c r="G36" s="286"/>
      <c r="H36" s="2077"/>
      <c r="I36" s="2075"/>
      <c r="J36" s="2075"/>
      <c r="K36" s="2075"/>
      <c r="L36" s="2075"/>
      <c r="M36" s="2075"/>
      <c r="N36" s="2075"/>
      <c r="O36" s="2075"/>
      <c r="P36" s="2075"/>
      <c r="Q36" s="2075"/>
      <c r="R36" s="2075"/>
      <c r="S36" s="2075"/>
      <c r="T36" s="2075"/>
      <c r="U36" s="2075"/>
      <c r="V36" s="2075"/>
      <c r="W36" s="2075"/>
      <c r="X36" s="2075"/>
      <c r="Y36" s="2075"/>
      <c r="Z36" s="2075"/>
      <c r="AA36" s="2075"/>
      <c r="AB36" s="2075"/>
      <c r="AC36" s="2075"/>
      <c r="AD36" s="2075"/>
      <c r="AE36" s="2075"/>
      <c r="AF36" s="2075"/>
      <c r="AG36" s="2075"/>
      <c r="AH36" s="2075"/>
      <c r="AI36" s="2075"/>
      <c r="AJ36" s="2075"/>
      <c r="AK36" s="2075"/>
      <c r="AL36" s="2075"/>
      <c r="AM36" s="2075"/>
      <c r="AN36" s="2075"/>
      <c r="AO36" s="2075"/>
      <c r="AP36" s="2075"/>
      <c r="AQ36" s="2075"/>
      <c r="AR36" s="2075"/>
      <c r="AS36" s="2075"/>
      <c r="AT36" s="2075"/>
      <c r="AU36" s="2075"/>
      <c r="AV36" s="2075"/>
      <c r="AW36" s="2075"/>
      <c r="AX36" s="2075"/>
      <c r="AY36" s="2075"/>
      <c r="AZ36" s="2075"/>
      <c r="BA36" s="2075"/>
      <c r="BB36" s="2075"/>
      <c r="BC36" s="2075"/>
      <c r="BD36" s="2075"/>
      <c r="BE36" s="2075"/>
      <c r="BF36" s="2075"/>
      <c r="BG36" s="2075"/>
      <c r="BH36" s="2075"/>
      <c r="BI36" s="2075"/>
      <c r="BJ36" s="2075"/>
      <c r="BK36" s="2075"/>
      <c r="BL36" s="2075"/>
      <c r="BM36" s="2075"/>
      <c r="BN36" s="2075"/>
      <c r="BO36" s="2075"/>
      <c r="BP36" s="2075"/>
      <c r="BQ36" s="2075"/>
      <c r="BR36" s="2075"/>
      <c r="BS36" s="2075"/>
      <c r="BT36" s="2075"/>
      <c r="BU36" s="2075"/>
      <c r="BV36" s="2075"/>
      <c r="BW36" s="2075"/>
      <c r="BX36" s="2075"/>
      <c r="BY36" s="2075"/>
      <c r="BZ36" s="2075"/>
      <c r="CA36" s="2075"/>
      <c r="CB36" s="2075"/>
      <c r="CC36" s="2075"/>
      <c r="CD36" s="2075"/>
      <c r="CE36" s="2075"/>
      <c r="CF36" s="2075"/>
      <c r="CG36" s="2075"/>
      <c r="CH36" s="2075"/>
      <c r="CI36" s="2075"/>
      <c r="CJ36" s="2075"/>
      <c r="CK36" s="2075"/>
      <c r="CL36" s="2075"/>
      <c r="CM36" s="2075"/>
      <c r="CN36" s="2075"/>
      <c r="CO36" s="2075"/>
      <c r="CP36" s="2075"/>
      <c r="CQ36" s="2075"/>
      <c r="CR36" s="2075"/>
      <c r="CS36" s="2075"/>
      <c r="CT36" s="2075"/>
      <c r="CU36" s="2075"/>
      <c r="CV36" s="2075"/>
      <c r="CW36" s="2075"/>
      <c r="CX36" s="2075"/>
      <c r="CY36" s="2075"/>
      <c r="CZ36" s="2075"/>
      <c r="DA36" s="2075"/>
      <c r="DB36" s="2075"/>
      <c r="DC36" s="2075"/>
      <c r="DD36" s="2075"/>
      <c r="DE36" s="2075"/>
      <c r="DF36" s="2075"/>
      <c r="DG36" s="2075"/>
      <c r="DH36" s="2075"/>
      <c r="DI36" s="2075"/>
      <c r="DJ36" s="2075"/>
      <c r="DK36" s="2075"/>
      <c r="DL36" s="2075"/>
      <c r="DM36" s="2075"/>
      <c r="DN36" s="2075"/>
      <c r="DO36" s="2075"/>
      <c r="DP36" s="2075"/>
      <c r="DQ36" s="2075"/>
      <c r="DR36" s="2075"/>
      <c r="DS36" s="2075"/>
      <c r="DT36" s="2075"/>
      <c r="DU36" s="2075"/>
      <c r="DV36" s="2075"/>
      <c r="DW36" s="2075"/>
      <c r="DX36" s="2075"/>
      <c r="DY36" s="2075"/>
      <c r="DZ36" s="2075"/>
      <c r="EA36" s="2075"/>
      <c r="EB36" s="2075"/>
      <c r="EC36" s="2075"/>
      <c r="ED36" s="2075"/>
      <c r="EE36" s="2075"/>
      <c r="EF36" s="2075"/>
      <c r="EG36" s="2075"/>
      <c r="EH36" s="2075"/>
      <c r="EI36" s="2075"/>
      <c r="EJ36" s="2075"/>
      <c r="EK36" s="2075"/>
      <c r="EL36" s="2075"/>
      <c r="EM36" s="2075"/>
      <c r="EN36" s="2075"/>
      <c r="EO36" s="2075"/>
      <c r="EP36" s="2075"/>
      <c r="EQ36" s="2075"/>
      <c r="ER36" s="2075"/>
      <c r="ES36" s="2075"/>
      <c r="ET36" s="2075"/>
      <c r="EU36" s="2075"/>
      <c r="EV36" s="2075"/>
      <c r="EW36" s="2075"/>
      <c r="EX36" s="2075"/>
      <c r="EY36" s="2075"/>
      <c r="EZ36" s="2075"/>
      <c r="FA36" s="2075"/>
      <c r="FB36" s="2075"/>
      <c r="FC36" s="2075"/>
      <c r="FD36" s="2075"/>
      <c r="FE36" s="2075"/>
      <c r="FF36" s="2075"/>
      <c r="FG36" s="2075"/>
      <c r="FH36" s="2075"/>
      <c r="FI36" s="2075"/>
      <c r="FJ36" s="2075"/>
      <c r="FK36" s="2075"/>
      <c r="FL36" s="2075"/>
      <c r="FM36" s="2075"/>
      <c r="FN36" s="2075"/>
      <c r="FO36" s="2075"/>
    </row>
    <row r="37" spans="1:171" s="231" customFormat="1" ht="15.75" thickBot="1" x14ac:dyDescent="0.3">
      <c r="A37" s="233" t="s">
        <v>641</v>
      </c>
      <c r="B37" s="252"/>
      <c r="C37" s="253"/>
      <c r="D37" s="252"/>
      <c r="E37" s="271"/>
      <c r="F37" s="272"/>
      <c r="G37" s="281"/>
      <c r="H37" s="2077"/>
      <c r="I37" s="2075"/>
      <c r="J37" s="2075"/>
      <c r="K37" s="2075"/>
      <c r="L37" s="2075"/>
      <c r="M37" s="2075"/>
      <c r="N37" s="2075"/>
      <c r="O37" s="2075"/>
      <c r="P37" s="2075"/>
      <c r="Q37" s="2075"/>
      <c r="R37" s="2075"/>
      <c r="S37" s="2075"/>
      <c r="T37" s="2075"/>
      <c r="U37" s="2075"/>
      <c r="V37" s="2075"/>
      <c r="W37" s="2075"/>
      <c r="X37" s="2075"/>
      <c r="Y37" s="2075"/>
      <c r="Z37" s="2075"/>
      <c r="AA37" s="2075"/>
      <c r="AB37" s="2075"/>
      <c r="AC37" s="2075"/>
      <c r="AD37" s="2075"/>
      <c r="AE37" s="2075"/>
      <c r="AF37" s="2075"/>
      <c r="AG37" s="2075"/>
      <c r="AH37" s="2075"/>
      <c r="AI37" s="2075"/>
      <c r="AJ37" s="2075"/>
      <c r="AK37" s="2075"/>
      <c r="AL37" s="2075"/>
      <c r="AM37" s="2075"/>
      <c r="AN37" s="2075"/>
      <c r="AO37" s="2075"/>
      <c r="AP37" s="2075"/>
      <c r="AQ37" s="2075"/>
      <c r="AR37" s="2075"/>
      <c r="AS37" s="2075"/>
      <c r="AT37" s="2075"/>
      <c r="AU37" s="2075"/>
      <c r="AV37" s="2075"/>
      <c r="AW37" s="2075"/>
      <c r="AX37" s="2075"/>
      <c r="AY37" s="2075"/>
      <c r="AZ37" s="2075"/>
      <c r="BA37" s="2075"/>
      <c r="BB37" s="2075"/>
      <c r="BC37" s="2075"/>
      <c r="BD37" s="2075"/>
      <c r="BE37" s="2075"/>
      <c r="BF37" s="2075"/>
      <c r="BG37" s="2075"/>
      <c r="BH37" s="2075"/>
      <c r="BI37" s="2075"/>
      <c r="BJ37" s="2075"/>
      <c r="BK37" s="2075"/>
      <c r="BL37" s="2075"/>
      <c r="BM37" s="2075"/>
      <c r="BN37" s="2075"/>
      <c r="BO37" s="2075"/>
      <c r="BP37" s="2075"/>
      <c r="BQ37" s="2075"/>
      <c r="BR37" s="2075"/>
      <c r="BS37" s="2075"/>
      <c r="BT37" s="2075"/>
      <c r="BU37" s="2075"/>
      <c r="BV37" s="2075"/>
      <c r="BW37" s="2075"/>
      <c r="BX37" s="2075"/>
      <c r="BY37" s="2075"/>
      <c r="BZ37" s="2075"/>
      <c r="CA37" s="2075"/>
      <c r="CB37" s="2075"/>
      <c r="CC37" s="2075"/>
      <c r="CD37" s="2075"/>
      <c r="CE37" s="2075"/>
      <c r="CF37" s="2075"/>
      <c r="CG37" s="2075"/>
      <c r="CH37" s="2075"/>
      <c r="CI37" s="2075"/>
      <c r="CJ37" s="2075"/>
      <c r="CK37" s="2075"/>
      <c r="CL37" s="2075"/>
      <c r="CM37" s="2075"/>
      <c r="CN37" s="2075"/>
      <c r="CO37" s="2075"/>
      <c r="CP37" s="2075"/>
      <c r="CQ37" s="2075"/>
      <c r="CR37" s="2075"/>
      <c r="CS37" s="2075"/>
      <c r="CT37" s="2075"/>
      <c r="CU37" s="2075"/>
      <c r="CV37" s="2075"/>
      <c r="CW37" s="2075"/>
      <c r="CX37" s="2075"/>
      <c r="CY37" s="2075"/>
      <c r="CZ37" s="2075"/>
      <c r="DA37" s="2075"/>
      <c r="DB37" s="2075"/>
      <c r="DC37" s="2075"/>
      <c r="DD37" s="2075"/>
      <c r="DE37" s="2075"/>
      <c r="DF37" s="2075"/>
      <c r="DG37" s="2075"/>
      <c r="DH37" s="2075"/>
      <c r="DI37" s="2075"/>
      <c r="DJ37" s="2075"/>
      <c r="DK37" s="2075"/>
      <c r="DL37" s="2075"/>
      <c r="DM37" s="2075"/>
      <c r="DN37" s="2075"/>
      <c r="DO37" s="2075"/>
      <c r="DP37" s="2075"/>
      <c r="DQ37" s="2075"/>
      <c r="DR37" s="2075"/>
      <c r="DS37" s="2075"/>
      <c r="DT37" s="2075"/>
      <c r="DU37" s="2075"/>
      <c r="DV37" s="2075"/>
      <c r="DW37" s="2075"/>
      <c r="DX37" s="2075"/>
      <c r="DY37" s="2075"/>
      <c r="DZ37" s="2075"/>
      <c r="EA37" s="2075"/>
      <c r="EB37" s="2075"/>
      <c r="EC37" s="2075"/>
      <c r="ED37" s="2075"/>
      <c r="EE37" s="2075"/>
      <c r="EF37" s="2075"/>
      <c r="EG37" s="2075"/>
      <c r="EH37" s="2075"/>
      <c r="EI37" s="2075"/>
      <c r="EJ37" s="2075"/>
      <c r="EK37" s="2075"/>
      <c r="EL37" s="2075"/>
      <c r="EM37" s="2075"/>
      <c r="EN37" s="2075"/>
      <c r="EO37" s="2075"/>
      <c r="EP37" s="2075"/>
      <c r="EQ37" s="2075"/>
      <c r="ER37" s="2075"/>
      <c r="ES37" s="2075"/>
      <c r="ET37" s="2075"/>
      <c r="EU37" s="2075"/>
      <c r="EV37" s="2075"/>
      <c r="EW37" s="2075"/>
      <c r="EX37" s="2075"/>
      <c r="EY37" s="2075"/>
      <c r="EZ37" s="2075"/>
      <c r="FA37" s="2075"/>
      <c r="FB37" s="2075"/>
      <c r="FC37" s="2075"/>
      <c r="FD37" s="2075"/>
      <c r="FE37" s="2075"/>
      <c r="FF37" s="2075"/>
      <c r="FG37" s="2075"/>
      <c r="FH37" s="2075"/>
      <c r="FI37" s="2075"/>
      <c r="FJ37" s="2075"/>
      <c r="FK37" s="2075"/>
      <c r="FL37" s="2075"/>
      <c r="FM37" s="2075"/>
      <c r="FN37" s="2075"/>
      <c r="FO37" s="2075"/>
    </row>
    <row r="38" spans="1:171" s="231" customFormat="1" ht="15.75" thickBot="1" x14ac:dyDescent="0.3">
      <c r="A38" s="248" t="s">
        <v>642</v>
      </c>
      <c r="B38" s="257"/>
      <c r="C38" s="258"/>
      <c r="D38" s="257"/>
      <c r="E38" s="285"/>
      <c r="F38" s="284"/>
      <c r="G38" s="286"/>
      <c r="H38" s="2077"/>
      <c r="I38" s="2075"/>
      <c r="J38" s="2075"/>
      <c r="K38" s="2075"/>
      <c r="L38" s="2075"/>
      <c r="M38" s="2075"/>
      <c r="N38" s="2075"/>
      <c r="O38" s="2075"/>
      <c r="P38" s="2075"/>
      <c r="Q38" s="2075"/>
      <c r="R38" s="2075"/>
      <c r="S38" s="2075"/>
      <c r="T38" s="2075"/>
      <c r="U38" s="2075"/>
      <c r="V38" s="2075"/>
      <c r="W38" s="2075"/>
      <c r="X38" s="2075"/>
      <c r="Y38" s="2075"/>
      <c r="Z38" s="2075"/>
      <c r="AA38" s="2075"/>
      <c r="AB38" s="2075"/>
      <c r="AC38" s="2075"/>
      <c r="AD38" s="2075"/>
      <c r="AE38" s="2075"/>
      <c r="AF38" s="2075"/>
      <c r="AG38" s="2075"/>
      <c r="AH38" s="2075"/>
      <c r="AI38" s="2075"/>
      <c r="AJ38" s="2075"/>
      <c r="AK38" s="2075"/>
      <c r="AL38" s="2075"/>
      <c r="AM38" s="2075"/>
      <c r="AN38" s="2075"/>
      <c r="AO38" s="2075"/>
      <c r="AP38" s="2075"/>
      <c r="AQ38" s="2075"/>
      <c r="AR38" s="2075"/>
      <c r="AS38" s="2075"/>
      <c r="AT38" s="2075"/>
      <c r="AU38" s="2075"/>
      <c r="AV38" s="2075"/>
      <c r="AW38" s="2075"/>
      <c r="AX38" s="2075"/>
      <c r="AY38" s="2075"/>
      <c r="AZ38" s="2075"/>
      <c r="BA38" s="2075"/>
      <c r="BB38" s="2075"/>
      <c r="BC38" s="2075"/>
      <c r="BD38" s="2075"/>
      <c r="BE38" s="2075"/>
      <c r="BF38" s="2075"/>
      <c r="BG38" s="2075"/>
      <c r="BH38" s="2075"/>
      <c r="BI38" s="2075"/>
      <c r="BJ38" s="2075"/>
      <c r="BK38" s="2075"/>
      <c r="BL38" s="2075"/>
      <c r="BM38" s="2075"/>
      <c r="BN38" s="2075"/>
      <c r="BO38" s="2075"/>
      <c r="BP38" s="2075"/>
      <c r="BQ38" s="2075"/>
      <c r="BR38" s="2075"/>
      <c r="BS38" s="2075"/>
      <c r="BT38" s="2075"/>
      <c r="BU38" s="2075"/>
      <c r="BV38" s="2075"/>
      <c r="BW38" s="2075"/>
      <c r="BX38" s="2075"/>
      <c r="BY38" s="2075"/>
      <c r="BZ38" s="2075"/>
      <c r="CA38" s="2075"/>
      <c r="CB38" s="2075"/>
      <c r="CC38" s="2075"/>
      <c r="CD38" s="2075"/>
      <c r="CE38" s="2075"/>
      <c r="CF38" s="2075"/>
      <c r="CG38" s="2075"/>
      <c r="CH38" s="2075"/>
      <c r="CI38" s="2075"/>
      <c r="CJ38" s="2075"/>
      <c r="CK38" s="2075"/>
      <c r="CL38" s="2075"/>
      <c r="CM38" s="2075"/>
      <c r="CN38" s="2075"/>
      <c r="CO38" s="2075"/>
      <c r="CP38" s="2075"/>
      <c r="CQ38" s="2075"/>
      <c r="CR38" s="2075"/>
      <c r="CS38" s="2075"/>
      <c r="CT38" s="2075"/>
      <c r="CU38" s="2075"/>
      <c r="CV38" s="2075"/>
      <c r="CW38" s="2075"/>
      <c r="CX38" s="2075"/>
      <c r="CY38" s="2075"/>
      <c r="CZ38" s="2075"/>
      <c r="DA38" s="2075"/>
      <c r="DB38" s="2075"/>
      <c r="DC38" s="2075"/>
      <c r="DD38" s="2075"/>
      <c r="DE38" s="2075"/>
      <c r="DF38" s="2075"/>
      <c r="DG38" s="2075"/>
      <c r="DH38" s="2075"/>
      <c r="DI38" s="2075"/>
      <c r="DJ38" s="2075"/>
      <c r="DK38" s="2075"/>
      <c r="DL38" s="2075"/>
      <c r="DM38" s="2075"/>
      <c r="DN38" s="2075"/>
      <c r="DO38" s="2075"/>
      <c r="DP38" s="2075"/>
      <c r="DQ38" s="2075"/>
      <c r="DR38" s="2075"/>
      <c r="DS38" s="2075"/>
      <c r="DT38" s="2075"/>
      <c r="DU38" s="2075"/>
      <c r="DV38" s="2075"/>
      <c r="DW38" s="2075"/>
      <c r="DX38" s="2075"/>
      <c r="DY38" s="2075"/>
      <c r="DZ38" s="2075"/>
      <c r="EA38" s="2075"/>
      <c r="EB38" s="2075"/>
      <c r="EC38" s="2075"/>
      <c r="ED38" s="2075"/>
      <c r="EE38" s="2075"/>
      <c r="EF38" s="2075"/>
      <c r="EG38" s="2075"/>
      <c r="EH38" s="2075"/>
      <c r="EI38" s="2075"/>
      <c r="EJ38" s="2075"/>
      <c r="EK38" s="2075"/>
      <c r="EL38" s="2075"/>
      <c r="EM38" s="2075"/>
      <c r="EN38" s="2075"/>
      <c r="EO38" s="2075"/>
      <c r="EP38" s="2075"/>
      <c r="EQ38" s="2075"/>
      <c r="ER38" s="2075"/>
      <c r="ES38" s="2075"/>
      <c r="ET38" s="2075"/>
      <c r="EU38" s="2075"/>
      <c r="EV38" s="2075"/>
      <c r="EW38" s="2075"/>
      <c r="EX38" s="2075"/>
      <c r="EY38" s="2075"/>
      <c r="EZ38" s="2075"/>
      <c r="FA38" s="2075"/>
      <c r="FB38" s="2075"/>
      <c r="FC38" s="2075"/>
      <c r="FD38" s="2075"/>
      <c r="FE38" s="2075"/>
      <c r="FF38" s="2075"/>
      <c r="FG38" s="2075"/>
      <c r="FH38" s="2075"/>
      <c r="FI38" s="2075"/>
      <c r="FJ38" s="2075"/>
      <c r="FK38" s="2075"/>
      <c r="FL38" s="2075"/>
      <c r="FM38" s="2075"/>
      <c r="FN38" s="2075"/>
      <c r="FO38" s="2075"/>
    </row>
    <row r="39" spans="1:171" s="231" customFormat="1" ht="15.75" thickBot="1" x14ac:dyDescent="0.3">
      <c r="A39" s="233" t="s">
        <v>643</v>
      </c>
      <c r="B39" s="252"/>
      <c r="C39" s="252"/>
      <c r="D39" s="252"/>
      <c r="E39" s="252">
        <f>IF('PyG 0'!N6&gt;0,'PyG 0'!N6,0)</f>
        <v>0</v>
      </c>
      <c r="F39" s="252">
        <f>IF('PyG 1'!N6&gt;0,'PyG 1'!N6,0)</f>
        <v>0</v>
      </c>
      <c r="G39" s="252">
        <f>IF('PyG 2'!N6&gt;0,'PyG 2'!N6,0)</f>
        <v>0</v>
      </c>
      <c r="H39" s="2076" t="s">
        <v>695</v>
      </c>
      <c r="I39" s="2075"/>
      <c r="J39" s="2075"/>
      <c r="K39" s="2075"/>
      <c r="L39" s="2075"/>
      <c r="M39" s="2075"/>
      <c r="N39" s="2075"/>
      <c r="O39" s="2075"/>
      <c r="P39" s="2075"/>
      <c r="Q39" s="2075"/>
      <c r="R39" s="2075"/>
      <c r="S39" s="2075"/>
      <c r="T39" s="2075"/>
      <c r="U39" s="2075"/>
      <c r="V39" s="2075"/>
      <c r="W39" s="2075"/>
      <c r="X39" s="2075"/>
      <c r="Y39" s="2075"/>
      <c r="Z39" s="2075"/>
      <c r="AA39" s="2075"/>
      <c r="AB39" s="2075"/>
      <c r="AC39" s="2075"/>
      <c r="AD39" s="2075"/>
      <c r="AE39" s="2075"/>
      <c r="AF39" s="2075"/>
      <c r="AG39" s="2075"/>
      <c r="AH39" s="2075"/>
      <c r="AI39" s="2075"/>
      <c r="AJ39" s="2075"/>
      <c r="AK39" s="2075"/>
      <c r="AL39" s="2075"/>
      <c r="AM39" s="2075"/>
      <c r="AN39" s="2075"/>
      <c r="AO39" s="2075"/>
      <c r="AP39" s="2075"/>
      <c r="AQ39" s="2075"/>
      <c r="AR39" s="2075"/>
      <c r="AS39" s="2075"/>
      <c r="AT39" s="2075"/>
      <c r="AU39" s="2075"/>
      <c r="AV39" s="2075"/>
      <c r="AW39" s="2075"/>
      <c r="AX39" s="2075"/>
      <c r="AY39" s="2075"/>
      <c r="AZ39" s="2075"/>
      <c r="BA39" s="2075"/>
      <c r="BB39" s="2075"/>
      <c r="BC39" s="2075"/>
      <c r="BD39" s="2075"/>
      <c r="BE39" s="2075"/>
      <c r="BF39" s="2075"/>
      <c r="BG39" s="2075"/>
      <c r="BH39" s="2075"/>
      <c r="BI39" s="2075"/>
      <c r="BJ39" s="2075"/>
      <c r="BK39" s="2075"/>
      <c r="BL39" s="2075"/>
      <c r="BM39" s="2075"/>
      <c r="BN39" s="2075"/>
      <c r="BO39" s="2075"/>
      <c r="BP39" s="2075"/>
      <c r="BQ39" s="2075"/>
      <c r="BR39" s="2075"/>
      <c r="BS39" s="2075"/>
      <c r="BT39" s="2075"/>
      <c r="BU39" s="2075"/>
      <c r="BV39" s="2075"/>
      <c r="BW39" s="2075"/>
      <c r="BX39" s="2075"/>
      <c r="BY39" s="2075"/>
      <c r="BZ39" s="2075"/>
      <c r="CA39" s="2075"/>
      <c r="CB39" s="2075"/>
      <c r="CC39" s="2075"/>
      <c r="CD39" s="2075"/>
      <c r="CE39" s="2075"/>
      <c r="CF39" s="2075"/>
      <c r="CG39" s="2075"/>
      <c r="CH39" s="2075"/>
      <c r="CI39" s="2075"/>
      <c r="CJ39" s="2075"/>
      <c r="CK39" s="2075"/>
      <c r="CL39" s="2075"/>
      <c r="CM39" s="2075"/>
      <c r="CN39" s="2075"/>
      <c r="CO39" s="2075"/>
      <c r="CP39" s="2075"/>
      <c r="CQ39" s="2075"/>
      <c r="CR39" s="2075"/>
      <c r="CS39" s="2075"/>
      <c r="CT39" s="2075"/>
      <c r="CU39" s="2075"/>
      <c r="CV39" s="2075"/>
      <c r="CW39" s="2075"/>
      <c r="CX39" s="2075"/>
      <c r="CY39" s="2075"/>
      <c r="CZ39" s="2075"/>
      <c r="DA39" s="2075"/>
      <c r="DB39" s="2075"/>
      <c r="DC39" s="2075"/>
      <c r="DD39" s="2075"/>
      <c r="DE39" s="2075"/>
      <c r="DF39" s="2075"/>
      <c r="DG39" s="2075"/>
      <c r="DH39" s="2075"/>
      <c r="DI39" s="2075"/>
      <c r="DJ39" s="2075"/>
      <c r="DK39" s="2075"/>
      <c r="DL39" s="2075"/>
      <c r="DM39" s="2075"/>
      <c r="DN39" s="2075"/>
      <c r="DO39" s="2075"/>
      <c r="DP39" s="2075"/>
      <c r="DQ39" s="2075"/>
      <c r="DR39" s="2075"/>
      <c r="DS39" s="2075"/>
      <c r="DT39" s="2075"/>
      <c r="DU39" s="2075"/>
      <c r="DV39" s="2075"/>
      <c r="DW39" s="2075"/>
      <c r="DX39" s="2075"/>
      <c r="DY39" s="2075"/>
      <c r="DZ39" s="2075"/>
      <c r="EA39" s="2075"/>
      <c r="EB39" s="2075"/>
      <c r="EC39" s="2075"/>
      <c r="ED39" s="2075"/>
      <c r="EE39" s="2075"/>
      <c r="EF39" s="2075"/>
      <c r="EG39" s="2075"/>
      <c r="EH39" s="2075"/>
      <c r="EI39" s="2075"/>
      <c r="EJ39" s="2075"/>
      <c r="EK39" s="2075"/>
      <c r="EL39" s="2075"/>
      <c r="EM39" s="2075"/>
      <c r="EN39" s="2075"/>
      <c r="EO39" s="2075"/>
      <c r="EP39" s="2075"/>
      <c r="EQ39" s="2075"/>
      <c r="ER39" s="2075"/>
      <c r="ES39" s="2075"/>
      <c r="ET39" s="2075"/>
      <c r="EU39" s="2075"/>
      <c r="EV39" s="2075"/>
      <c r="EW39" s="2075"/>
      <c r="EX39" s="2075"/>
      <c r="EY39" s="2075"/>
      <c r="EZ39" s="2075"/>
      <c r="FA39" s="2075"/>
      <c r="FB39" s="2075"/>
      <c r="FC39" s="2075"/>
      <c r="FD39" s="2075"/>
      <c r="FE39" s="2075"/>
      <c r="FF39" s="2075"/>
      <c r="FG39" s="2075"/>
      <c r="FH39" s="2075"/>
      <c r="FI39" s="2075"/>
      <c r="FJ39" s="2075"/>
      <c r="FK39" s="2075"/>
      <c r="FL39" s="2075"/>
      <c r="FM39" s="2075"/>
      <c r="FN39" s="2075"/>
      <c r="FO39" s="2075"/>
    </row>
    <row r="40" spans="1:171" s="231" customFormat="1" ht="15.75" thickBot="1" x14ac:dyDescent="0.3">
      <c r="A40" s="248" t="s">
        <v>154</v>
      </c>
      <c r="B40" s="257"/>
      <c r="C40" s="258"/>
      <c r="D40" s="257"/>
      <c r="E40" s="956"/>
      <c r="F40" s="957"/>
      <c r="G40" s="958"/>
      <c r="H40" s="2077"/>
      <c r="I40" s="2075"/>
      <c r="J40" s="2075"/>
      <c r="K40" s="2075"/>
      <c r="L40" s="2075"/>
      <c r="M40" s="2075"/>
      <c r="N40" s="2075"/>
      <c r="O40" s="2075"/>
      <c r="P40" s="2075"/>
      <c r="Q40" s="2075"/>
      <c r="R40" s="2075"/>
      <c r="S40" s="2075"/>
      <c r="T40" s="2075"/>
      <c r="U40" s="2075"/>
      <c r="V40" s="2075"/>
      <c r="W40" s="2075"/>
      <c r="X40" s="2075"/>
      <c r="Y40" s="2075"/>
      <c r="Z40" s="2075"/>
      <c r="AA40" s="2075"/>
      <c r="AB40" s="2075"/>
      <c r="AC40" s="2075"/>
      <c r="AD40" s="2075"/>
      <c r="AE40" s="2075"/>
      <c r="AF40" s="2075"/>
      <c r="AG40" s="2075"/>
      <c r="AH40" s="2075"/>
      <c r="AI40" s="2075"/>
      <c r="AJ40" s="2075"/>
      <c r="AK40" s="2075"/>
      <c r="AL40" s="2075"/>
      <c r="AM40" s="2075"/>
      <c r="AN40" s="2075"/>
      <c r="AO40" s="2075"/>
      <c r="AP40" s="2075"/>
      <c r="AQ40" s="2075"/>
      <c r="AR40" s="2075"/>
      <c r="AS40" s="2075"/>
      <c r="AT40" s="2075"/>
      <c r="AU40" s="2075"/>
      <c r="AV40" s="2075"/>
      <c r="AW40" s="2075"/>
      <c r="AX40" s="2075"/>
      <c r="AY40" s="2075"/>
      <c r="AZ40" s="2075"/>
      <c r="BA40" s="2075"/>
      <c r="BB40" s="2075"/>
      <c r="BC40" s="2075"/>
      <c r="BD40" s="2075"/>
      <c r="BE40" s="2075"/>
      <c r="BF40" s="2075"/>
      <c r="BG40" s="2075"/>
      <c r="BH40" s="2075"/>
      <c r="BI40" s="2075"/>
      <c r="BJ40" s="2075"/>
      <c r="BK40" s="2075"/>
      <c r="BL40" s="2075"/>
      <c r="BM40" s="2075"/>
      <c r="BN40" s="2075"/>
      <c r="BO40" s="2075"/>
      <c r="BP40" s="2075"/>
      <c r="BQ40" s="2075"/>
      <c r="BR40" s="2075"/>
      <c r="BS40" s="2075"/>
      <c r="BT40" s="2075"/>
      <c r="BU40" s="2075"/>
      <c r="BV40" s="2075"/>
      <c r="BW40" s="2075"/>
      <c r="BX40" s="2075"/>
      <c r="BY40" s="2075"/>
      <c r="BZ40" s="2075"/>
      <c r="CA40" s="2075"/>
      <c r="CB40" s="2075"/>
      <c r="CC40" s="2075"/>
      <c r="CD40" s="2075"/>
      <c r="CE40" s="2075"/>
      <c r="CF40" s="2075"/>
      <c r="CG40" s="2075"/>
      <c r="CH40" s="2075"/>
      <c r="CI40" s="2075"/>
      <c r="CJ40" s="2075"/>
      <c r="CK40" s="2075"/>
      <c r="CL40" s="2075"/>
      <c r="CM40" s="2075"/>
      <c r="CN40" s="2075"/>
      <c r="CO40" s="2075"/>
      <c r="CP40" s="2075"/>
      <c r="CQ40" s="2075"/>
      <c r="CR40" s="2075"/>
      <c r="CS40" s="2075"/>
      <c r="CT40" s="2075"/>
      <c r="CU40" s="2075"/>
      <c r="CV40" s="2075"/>
      <c r="CW40" s="2075"/>
      <c r="CX40" s="2075"/>
      <c r="CY40" s="2075"/>
      <c r="CZ40" s="2075"/>
      <c r="DA40" s="2075"/>
      <c r="DB40" s="2075"/>
      <c r="DC40" s="2075"/>
      <c r="DD40" s="2075"/>
      <c r="DE40" s="2075"/>
      <c r="DF40" s="2075"/>
      <c r="DG40" s="2075"/>
      <c r="DH40" s="2075"/>
      <c r="DI40" s="2075"/>
      <c r="DJ40" s="2075"/>
      <c r="DK40" s="2075"/>
      <c r="DL40" s="2075"/>
      <c r="DM40" s="2075"/>
      <c r="DN40" s="2075"/>
      <c r="DO40" s="2075"/>
      <c r="DP40" s="2075"/>
      <c r="DQ40" s="2075"/>
      <c r="DR40" s="2075"/>
      <c r="DS40" s="2075"/>
      <c r="DT40" s="2075"/>
      <c r="DU40" s="2075"/>
      <c r="DV40" s="2075"/>
      <c r="DW40" s="2075"/>
      <c r="DX40" s="2075"/>
      <c r="DY40" s="2075"/>
      <c r="DZ40" s="2075"/>
      <c r="EA40" s="2075"/>
      <c r="EB40" s="2075"/>
      <c r="EC40" s="2075"/>
      <c r="ED40" s="2075"/>
      <c r="EE40" s="2075"/>
      <c r="EF40" s="2075"/>
      <c r="EG40" s="2075"/>
      <c r="EH40" s="2075"/>
      <c r="EI40" s="2075"/>
      <c r="EJ40" s="2075"/>
      <c r="EK40" s="2075"/>
      <c r="EL40" s="2075"/>
      <c r="EM40" s="2075"/>
      <c r="EN40" s="2075"/>
      <c r="EO40" s="2075"/>
      <c r="EP40" s="2075"/>
      <c r="EQ40" s="2075"/>
      <c r="ER40" s="2075"/>
      <c r="ES40" s="2075"/>
      <c r="ET40" s="2075"/>
      <c r="EU40" s="2075"/>
      <c r="EV40" s="2075"/>
      <c r="EW40" s="2075"/>
      <c r="EX40" s="2075"/>
      <c r="EY40" s="2075"/>
      <c r="EZ40" s="2075"/>
      <c r="FA40" s="2075"/>
      <c r="FB40" s="2075"/>
      <c r="FC40" s="2075"/>
      <c r="FD40" s="2075"/>
      <c r="FE40" s="2075"/>
      <c r="FF40" s="2075"/>
      <c r="FG40" s="2075"/>
      <c r="FH40" s="2075"/>
      <c r="FI40" s="2075"/>
      <c r="FJ40" s="2075"/>
      <c r="FK40" s="2075"/>
      <c r="FL40" s="2075"/>
      <c r="FM40" s="2075"/>
      <c r="FN40" s="2075"/>
      <c r="FO40" s="2075"/>
    </row>
    <row r="41" spans="1:171" s="231" customFormat="1" ht="15.75" thickBot="1" x14ac:dyDescent="0.3">
      <c r="A41" s="233" t="s">
        <v>644</v>
      </c>
      <c r="B41" s="252"/>
      <c r="C41" s="252"/>
      <c r="D41" s="252"/>
      <c r="E41" s="272"/>
      <c r="F41" s="272"/>
      <c r="G41" s="272"/>
      <c r="H41" s="2077"/>
      <c r="I41" s="2075"/>
      <c r="J41" s="2075"/>
      <c r="K41" s="2075"/>
      <c r="L41" s="2075"/>
      <c r="M41" s="2075"/>
      <c r="N41" s="2075"/>
      <c r="O41" s="2075"/>
      <c r="P41" s="2075"/>
      <c r="Q41" s="2075"/>
      <c r="R41" s="2075"/>
      <c r="S41" s="2075"/>
      <c r="T41" s="2075"/>
      <c r="U41" s="2075"/>
      <c r="V41" s="2075"/>
      <c r="W41" s="2075"/>
      <c r="X41" s="2075"/>
      <c r="Y41" s="2075"/>
      <c r="Z41" s="2075"/>
      <c r="AA41" s="2075"/>
      <c r="AB41" s="2075"/>
      <c r="AC41" s="2075"/>
      <c r="AD41" s="2075"/>
      <c r="AE41" s="2075"/>
      <c r="AF41" s="2075"/>
      <c r="AG41" s="2075"/>
      <c r="AH41" s="2075"/>
      <c r="AI41" s="2075"/>
      <c r="AJ41" s="2075"/>
      <c r="AK41" s="2075"/>
      <c r="AL41" s="2075"/>
      <c r="AM41" s="2075"/>
      <c r="AN41" s="2075"/>
      <c r="AO41" s="2075"/>
      <c r="AP41" s="2075"/>
      <c r="AQ41" s="2075"/>
      <c r="AR41" s="2075"/>
      <c r="AS41" s="2075"/>
      <c r="AT41" s="2075"/>
      <c r="AU41" s="2075"/>
      <c r="AV41" s="2075"/>
      <c r="AW41" s="2075"/>
      <c r="AX41" s="2075"/>
      <c r="AY41" s="2075"/>
      <c r="AZ41" s="2075"/>
      <c r="BA41" s="2075"/>
      <c r="BB41" s="2075"/>
      <c r="BC41" s="2075"/>
      <c r="BD41" s="2075"/>
      <c r="BE41" s="2075"/>
      <c r="BF41" s="2075"/>
      <c r="BG41" s="2075"/>
      <c r="BH41" s="2075"/>
      <c r="BI41" s="2075"/>
      <c r="BJ41" s="2075"/>
      <c r="BK41" s="2075"/>
      <c r="BL41" s="2075"/>
      <c r="BM41" s="2075"/>
      <c r="BN41" s="2075"/>
      <c r="BO41" s="2075"/>
      <c r="BP41" s="2075"/>
      <c r="BQ41" s="2075"/>
      <c r="BR41" s="2075"/>
      <c r="BS41" s="2075"/>
      <c r="BT41" s="2075"/>
      <c r="BU41" s="2075"/>
      <c r="BV41" s="2075"/>
      <c r="BW41" s="2075"/>
      <c r="BX41" s="2075"/>
      <c r="BY41" s="2075"/>
      <c r="BZ41" s="2075"/>
      <c r="CA41" s="2075"/>
      <c r="CB41" s="2075"/>
      <c r="CC41" s="2075"/>
      <c r="CD41" s="2075"/>
      <c r="CE41" s="2075"/>
      <c r="CF41" s="2075"/>
      <c r="CG41" s="2075"/>
      <c r="CH41" s="2075"/>
      <c r="CI41" s="2075"/>
      <c r="CJ41" s="2075"/>
      <c r="CK41" s="2075"/>
      <c r="CL41" s="2075"/>
      <c r="CM41" s="2075"/>
      <c r="CN41" s="2075"/>
      <c r="CO41" s="2075"/>
      <c r="CP41" s="2075"/>
      <c r="CQ41" s="2075"/>
      <c r="CR41" s="2075"/>
      <c r="CS41" s="2075"/>
      <c r="CT41" s="2075"/>
      <c r="CU41" s="2075"/>
      <c r="CV41" s="2075"/>
      <c r="CW41" s="2075"/>
      <c r="CX41" s="2075"/>
      <c r="CY41" s="2075"/>
      <c r="CZ41" s="2075"/>
      <c r="DA41" s="2075"/>
      <c r="DB41" s="2075"/>
      <c r="DC41" s="2075"/>
      <c r="DD41" s="2075"/>
      <c r="DE41" s="2075"/>
      <c r="DF41" s="2075"/>
      <c r="DG41" s="2075"/>
      <c r="DH41" s="2075"/>
      <c r="DI41" s="2075"/>
      <c r="DJ41" s="2075"/>
      <c r="DK41" s="2075"/>
      <c r="DL41" s="2075"/>
      <c r="DM41" s="2075"/>
      <c r="DN41" s="2075"/>
      <c r="DO41" s="2075"/>
      <c r="DP41" s="2075"/>
      <c r="DQ41" s="2075"/>
      <c r="DR41" s="2075"/>
      <c r="DS41" s="2075"/>
      <c r="DT41" s="2075"/>
      <c r="DU41" s="2075"/>
      <c r="DV41" s="2075"/>
      <c r="DW41" s="2075"/>
      <c r="DX41" s="2075"/>
      <c r="DY41" s="2075"/>
      <c r="DZ41" s="2075"/>
      <c r="EA41" s="2075"/>
      <c r="EB41" s="2075"/>
      <c r="EC41" s="2075"/>
      <c r="ED41" s="2075"/>
      <c r="EE41" s="2075"/>
      <c r="EF41" s="2075"/>
      <c r="EG41" s="2075"/>
      <c r="EH41" s="2075"/>
      <c r="EI41" s="2075"/>
      <c r="EJ41" s="2075"/>
      <c r="EK41" s="2075"/>
      <c r="EL41" s="2075"/>
      <c r="EM41" s="2075"/>
      <c r="EN41" s="2075"/>
      <c r="EO41" s="2075"/>
      <c r="EP41" s="2075"/>
      <c r="EQ41" s="2075"/>
      <c r="ER41" s="2075"/>
      <c r="ES41" s="2075"/>
      <c r="ET41" s="2075"/>
      <c r="EU41" s="2075"/>
      <c r="EV41" s="2075"/>
      <c r="EW41" s="2075"/>
      <c r="EX41" s="2075"/>
      <c r="EY41" s="2075"/>
      <c r="EZ41" s="2075"/>
      <c r="FA41" s="2075"/>
      <c r="FB41" s="2075"/>
      <c r="FC41" s="2075"/>
      <c r="FD41" s="2075"/>
      <c r="FE41" s="2075"/>
      <c r="FF41" s="2075"/>
      <c r="FG41" s="2075"/>
      <c r="FH41" s="2075"/>
      <c r="FI41" s="2075"/>
      <c r="FJ41" s="2075"/>
      <c r="FK41" s="2075"/>
      <c r="FL41" s="2075"/>
      <c r="FM41" s="2075"/>
      <c r="FN41" s="2075"/>
      <c r="FO41" s="2075"/>
    </row>
    <row r="42" spans="1:171" s="231" customFormat="1" ht="15.75" thickBot="1" x14ac:dyDescent="0.3">
      <c r="A42" s="248" t="s">
        <v>645</v>
      </c>
      <c r="B42" s="257"/>
      <c r="C42" s="258"/>
      <c r="D42" s="257"/>
      <c r="E42" s="258">
        <f>IF('PyG anuales'!B30&lt;0,-'PyG anuales'!B30,0)</f>
        <v>16362.959468393694</v>
      </c>
      <c r="F42" s="257">
        <f>IF('PyG anuales'!D30&lt;0,-'PyG anuales'!D30,0)</f>
        <v>18163.530495823823</v>
      </c>
      <c r="G42" s="259">
        <f>IF('PyG anuales'!G30&lt;0,-'PyG anuales'!G30,0)</f>
        <v>21557.95289670378</v>
      </c>
      <c r="H42" s="2076" t="s">
        <v>695</v>
      </c>
      <c r="I42" s="2075"/>
      <c r="J42" s="2075"/>
      <c r="K42" s="2075"/>
      <c r="L42" s="2075"/>
      <c r="M42" s="2075"/>
      <c r="N42" s="2075"/>
      <c r="O42" s="2075"/>
      <c r="P42" s="2075"/>
      <c r="Q42" s="2075"/>
      <c r="R42" s="2075"/>
      <c r="S42" s="2075"/>
      <c r="T42" s="2075"/>
      <c r="U42" s="2075"/>
      <c r="V42" s="2075"/>
      <c r="W42" s="2075"/>
      <c r="X42" s="2075"/>
      <c r="Y42" s="2075"/>
      <c r="Z42" s="2075"/>
      <c r="AA42" s="2075"/>
      <c r="AB42" s="2075"/>
      <c r="AC42" s="2075"/>
      <c r="AD42" s="2075"/>
      <c r="AE42" s="2075"/>
      <c r="AF42" s="2075"/>
      <c r="AG42" s="2075"/>
      <c r="AH42" s="2075"/>
      <c r="AI42" s="2075"/>
      <c r="AJ42" s="2075"/>
      <c r="AK42" s="2075"/>
      <c r="AL42" s="2075"/>
      <c r="AM42" s="2075"/>
      <c r="AN42" s="2075"/>
      <c r="AO42" s="2075"/>
      <c r="AP42" s="2075"/>
      <c r="AQ42" s="2075"/>
      <c r="AR42" s="2075"/>
      <c r="AS42" s="2075"/>
      <c r="AT42" s="2075"/>
      <c r="AU42" s="2075"/>
      <c r="AV42" s="2075"/>
      <c r="AW42" s="2075"/>
      <c r="AX42" s="2075"/>
      <c r="AY42" s="2075"/>
      <c r="AZ42" s="2075"/>
      <c r="BA42" s="2075"/>
      <c r="BB42" s="2075"/>
      <c r="BC42" s="2075"/>
      <c r="BD42" s="2075"/>
      <c r="BE42" s="2075"/>
      <c r="BF42" s="2075"/>
      <c r="BG42" s="2075"/>
      <c r="BH42" s="2075"/>
      <c r="BI42" s="2075"/>
      <c r="BJ42" s="2075"/>
      <c r="BK42" s="2075"/>
      <c r="BL42" s="2075"/>
      <c r="BM42" s="2075"/>
      <c r="BN42" s="2075"/>
      <c r="BO42" s="2075"/>
      <c r="BP42" s="2075"/>
      <c r="BQ42" s="2075"/>
      <c r="BR42" s="2075"/>
      <c r="BS42" s="2075"/>
      <c r="BT42" s="2075"/>
      <c r="BU42" s="2075"/>
      <c r="BV42" s="2075"/>
      <c r="BW42" s="2075"/>
      <c r="BX42" s="2075"/>
      <c r="BY42" s="2075"/>
      <c r="BZ42" s="2075"/>
      <c r="CA42" s="2075"/>
      <c r="CB42" s="2075"/>
      <c r="CC42" s="2075"/>
      <c r="CD42" s="2075"/>
      <c r="CE42" s="2075"/>
      <c r="CF42" s="2075"/>
      <c r="CG42" s="2075"/>
      <c r="CH42" s="2075"/>
      <c r="CI42" s="2075"/>
      <c r="CJ42" s="2075"/>
      <c r="CK42" s="2075"/>
      <c r="CL42" s="2075"/>
      <c r="CM42" s="2075"/>
      <c r="CN42" s="2075"/>
      <c r="CO42" s="2075"/>
      <c r="CP42" s="2075"/>
      <c r="CQ42" s="2075"/>
      <c r="CR42" s="2075"/>
      <c r="CS42" s="2075"/>
      <c r="CT42" s="2075"/>
      <c r="CU42" s="2075"/>
      <c r="CV42" s="2075"/>
      <c r="CW42" s="2075"/>
      <c r="CX42" s="2075"/>
      <c r="CY42" s="2075"/>
      <c r="CZ42" s="2075"/>
      <c r="DA42" s="2075"/>
      <c r="DB42" s="2075"/>
      <c r="DC42" s="2075"/>
      <c r="DD42" s="2075"/>
      <c r="DE42" s="2075"/>
      <c r="DF42" s="2075"/>
      <c r="DG42" s="2075"/>
      <c r="DH42" s="2075"/>
      <c r="DI42" s="2075"/>
      <c r="DJ42" s="2075"/>
      <c r="DK42" s="2075"/>
      <c r="DL42" s="2075"/>
      <c r="DM42" s="2075"/>
      <c r="DN42" s="2075"/>
      <c r="DO42" s="2075"/>
      <c r="DP42" s="2075"/>
      <c r="DQ42" s="2075"/>
      <c r="DR42" s="2075"/>
      <c r="DS42" s="2075"/>
      <c r="DT42" s="2075"/>
      <c r="DU42" s="2075"/>
      <c r="DV42" s="2075"/>
      <c r="DW42" s="2075"/>
      <c r="DX42" s="2075"/>
      <c r="DY42" s="2075"/>
      <c r="DZ42" s="2075"/>
      <c r="EA42" s="2075"/>
      <c r="EB42" s="2075"/>
      <c r="EC42" s="2075"/>
      <c r="ED42" s="2075"/>
      <c r="EE42" s="2075"/>
      <c r="EF42" s="2075"/>
      <c r="EG42" s="2075"/>
      <c r="EH42" s="2075"/>
      <c r="EI42" s="2075"/>
      <c r="EJ42" s="2075"/>
      <c r="EK42" s="2075"/>
      <c r="EL42" s="2075"/>
      <c r="EM42" s="2075"/>
      <c r="EN42" s="2075"/>
      <c r="EO42" s="2075"/>
      <c r="EP42" s="2075"/>
      <c r="EQ42" s="2075"/>
      <c r="ER42" s="2075"/>
      <c r="ES42" s="2075"/>
      <c r="ET42" s="2075"/>
      <c r="EU42" s="2075"/>
      <c r="EV42" s="2075"/>
      <c r="EW42" s="2075"/>
      <c r="EX42" s="2075"/>
      <c r="EY42" s="2075"/>
      <c r="EZ42" s="2075"/>
      <c r="FA42" s="2075"/>
      <c r="FB42" s="2075"/>
      <c r="FC42" s="2075"/>
      <c r="FD42" s="2075"/>
      <c r="FE42" s="2075"/>
      <c r="FF42" s="2075"/>
      <c r="FG42" s="2075"/>
      <c r="FH42" s="2075"/>
      <c r="FI42" s="2075"/>
      <c r="FJ42" s="2075"/>
      <c r="FK42" s="2075"/>
      <c r="FL42" s="2075"/>
      <c r="FM42" s="2075"/>
      <c r="FN42" s="2075"/>
      <c r="FO42" s="2075"/>
    </row>
    <row r="43" spans="1:171" s="231" customFormat="1" ht="15.75" thickBot="1" x14ac:dyDescent="0.3">
      <c r="A43" s="233" t="s">
        <v>646</v>
      </c>
      <c r="B43" s="260">
        <f t="shared" ref="B43:G43" si="5">B16+B17+B18+B22+B26+B30+B35+B36+B37+B38+B39+B40+B41+B42</f>
        <v>0</v>
      </c>
      <c r="C43" s="261">
        <f t="shared" si="5"/>
        <v>0</v>
      </c>
      <c r="D43" s="260">
        <f t="shared" si="5"/>
        <v>0</v>
      </c>
      <c r="E43" s="261">
        <f t="shared" si="5"/>
        <v>16362.959468393694</v>
      </c>
      <c r="F43" s="260">
        <f t="shared" si="5"/>
        <v>18163.530495823823</v>
      </c>
      <c r="G43" s="262">
        <f t="shared" si="5"/>
        <v>21557.95289670378</v>
      </c>
      <c r="H43" s="2077"/>
      <c r="I43" s="2075"/>
      <c r="J43" s="2075"/>
      <c r="K43" s="2075"/>
      <c r="L43" s="2075"/>
      <c r="M43" s="2075"/>
      <c r="N43" s="2075"/>
      <c r="O43" s="2075"/>
      <c r="P43" s="2075"/>
      <c r="Q43" s="2075"/>
      <c r="R43" s="2075"/>
      <c r="S43" s="2075"/>
      <c r="T43" s="2075"/>
      <c r="U43" s="2075"/>
      <c r="V43" s="2075"/>
      <c r="W43" s="2075"/>
      <c r="X43" s="2075"/>
      <c r="Y43" s="2075"/>
      <c r="Z43" s="2075"/>
      <c r="AA43" s="2075"/>
      <c r="AB43" s="2075"/>
      <c r="AC43" s="2075"/>
      <c r="AD43" s="2075"/>
      <c r="AE43" s="2075"/>
      <c r="AF43" s="2075"/>
      <c r="AG43" s="2075"/>
      <c r="AH43" s="2075"/>
      <c r="AI43" s="2075"/>
      <c r="AJ43" s="2075"/>
      <c r="AK43" s="2075"/>
      <c r="AL43" s="2075"/>
      <c r="AM43" s="2075"/>
      <c r="AN43" s="2075"/>
      <c r="AO43" s="2075"/>
      <c r="AP43" s="2075"/>
      <c r="AQ43" s="2075"/>
      <c r="AR43" s="2075"/>
      <c r="AS43" s="2075"/>
      <c r="AT43" s="2075"/>
      <c r="AU43" s="2075"/>
      <c r="AV43" s="2075"/>
      <c r="AW43" s="2075"/>
      <c r="AX43" s="2075"/>
      <c r="AY43" s="2075"/>
      <c r="AZ43" s="2075"/>
      <c r="BA43" s="2075"/>
      <c r="BB43" s="2075"/>
      <c r="BC43" s="2075"/>
      <c r="BD43" s="2075"/>
      <c r="BE43" s="2075"/>
      <c r="BF43" s="2075"/>
      <c r="BG43" s="2075"/>
      <c r="BH43" s="2075"/>
      <c r="BI43" s="2075"/>
      <c r="BJ43" s="2075"/>
      <c r="BK43" s="2075"/>
      <c r="BL43" s="2075"/>
      <c r="BM43" s="2075"/>
      <c r="BN43" s="2075"/>
      <c r="BO43" s="2075"/>
      <c r="BP43" s="2075"/>
      <c r="BQ43" s="2075"/>
      <c r="BR43" s="2075"/>
      <c r="BS43" s="2075"/>
      <c r="BT43" s="2075"/>
      <c r="BU43" s="2075"/>
      <c r="BV43" s="2075"/>
      <c r="BW43" s="2075"/>
      <c r="BX43" s="2075"/>
      <c r="BY43" s="2075"/>
      <c r="BZ43" s="2075"/>
      <c r="CA43" s="2075"/>
      <c r="CB43" s="2075"/>
      <c r="CC43" s="2075"/>
      <c r="CD43" s="2075"/>
      <c r="CE43" s="2075"/>
      <c r="CF43" s="2075"/>
      <c r="CG43" s="2075"/>
      <c r="CH43" s="2075"/>
      <c r="CI43" s="2075"/>
      <c r="CJ43" s="2075"/>
      <c r="CK43" s="2075"/>
      <c r="CL43" s="2075"/>
      <c r="CM43" s="2075"/>
      <c r="CN43" s="2075"/>
      <c r="CO43" s="2075"/>
      <c r="CP43" s="2075"/>
      <c r="CQ43" s="2075"/>
      <c r="CR43" s="2075"/>
      <c r="CS43" s="2075"/>
      <c r="CT43" s="2075"/>
      <c r="CU43" s="2075"/>
      <c r="CV43" s="2075"/>
      <c r="CW43" s="2075"/>
      <c r="CX43" s="2075"/>
      <c r="CY43" s="2075"/>
      <c r="CZ43" s="2075"/>
      <c r="DA43" s="2075"/>
      <c r="DB43" s="2075"/>
      <c r="DC43" s="2075"/>
      <c r="DD43" s="2075"/>
      <c r="DE43" s="2075"/>
      <c r="DF43" s="2075"/>
      <c r="DG43" s="2075"/>
      <c r="DH43" s="2075"/>
      <c r="DI43" s="2075"/>
      <c r="DJ43" s="2075"/>
      <c r="DK43" s="2075"/>
      <c r="DL43" s="2075"/>
      <c r="DM43" s="2075"/>
      <c r="DN43" s="2075"/>
      <c r="DO43" s="2075"/>
      <c r="DP43" s="2075"/>
      <c r="DQ43" s="2075"/>
      <c r="DR43" s="2075"/>
      <c r="DS43" s="2075"/>
      <c r="DT43" s="2075"/>
      <c r="DU43" s="2075"/>
      <c r="DV43" s="2075"/>
      <c r="DW43" s="2075"/>
      <c r="DX43" s="2075"/>
      <c r="DY43" s="2075"/>
      <c r="DZ43" s="2075"/>
      <c r="EA43" s="2075"/>
      <c r="EB43" s="2075"/>
      <c r="EC43" s="2075"/>
      <c r="ED43" s="2075"/>
      <c r="EE43" s="2075"/>
      <c r="EF43" s="2075"/>
      <c r="EG43" s="2075"/>
      <c r="EH43" s="2075"/>
      <c r="EI43" s="2075"/>
      <c r="EJ43" s="2075"/>
      <c r="EK43" s="2075"/>
      <c r="EL43" s="2075"/>
      <c r="EM43" s="2075"/>
      <c r="EN43" s="2075"/>
      <c r="EO43" s="2075"/>
      <c r="EP43" s="2075"/>
      <c r="EQ43" s="2075"/>
      <c r="ER43" s="2075"/>
      <c r="ES43" s="2075"/>
      <c r="ET43" s="2075"/>
      <c r="EU43" s="2075"/>
      <c r="EV43" s="2075"/>
      <c r="EW43" s="2075"/>
      <c r="EX43" s="2075"/>
      <c r="EY43" s="2075"/>
      <c r="EZ43" s="2075"/>
      <c r="FA43" s="2075"/>
      <c r="FB43" s="2075"/>
      <c r="FC43" s="2075"/>
      <c r="FD43" s="2075"/>
      <c r="FE43" s="2075"/>
      <c r="FF43" s="2075"/>
      <c r="FG43" s="2075"/>
      <c r="FH43" s="2075"/>
      <c r="FI43" s="2075"/>
      <c r="FJ43" s="2075"/>
      <c r="FK43" s="2075"/>
      <c r="FL43" s="2075"/>
      <c r="FM43" s="2075"/>
      <c r="FN43" s="2075"/>
      <c r="FO43" s="2075"/>
    </row>
    <row r="44" spans="1:171" s="2071" customFormat="1" x14ac:dyDescent="0.25">
      <c r="H44" s="2074"/>
    </row>
    <row r="45" spans="1:171" s="2071" customFormat="1" x14ac:dyDescent="0.25">
      <c r="A45" s="2075"/>
      <c r="H45" s="2074"/>
    </row>
    <row r="46" spans="1:171" s="2071" customFormat="1" x14ac:dyDescent="0.25">
      <c r="E46" s="2075"/>
      <c r="F46" s="2075"/>
      <c r="G46" s="2075"/>
      <c r="H46" s="2074"/>
    </row>
    <row r="47" spans="1:171" s="2071" customFormat="1" x14ac:dyDescent="0.25">
      <c r="A47" s="2075"/>
      <c r="B47" s="2075"/>
      <c r="H47" s="2074"/>
    </row>
    <row r="48" spans="1:171" s="2071" customFormat="1" x14ac:dyDescent="0.25">
      <c r="H48" s="2074"/>
    </row>
    <row r="49" spans="1:8" s="2071" customFormat="1" x14ac:dyDescent="0.25">
      <c r="H49" s="2074"/>
    </row>
    <row r="50" spans="1:8" s="2071" customFormat="1" x14ac:dyDescent="0.25">
      <c r="E50" s="2075"/>
      <c r="F50" s="2075"/>
      <c r="G50" s="2075"/>
      <c r="H50" s="2074"/>
    </row>
    <row r="51" spans="1:8" s="2071" customFormat="1" x14ac:dyDescent="0.25">
      <c r="H51" s="2074"/>
    </row>
    <row r="52" spans="1:8" s="2071" customFormat="1" x14ac:dyDescent="0.25">
      <c r="H52" s="2074"/>
    </row>
    <row r="53" spans="1:8" s="2071" customFormat="1" x14ac:dyDescent="0.25">
      <c r="C53" s="232"/>
      <c r="H53" s="2074"/>
    </row>
    <row r="54" spans="1:8" s="2071" customFormat="1" x14ac:dyDescent="0.25">
      <c r="A54" s="2075"/>
      <c r="H54" s="2074"/>
    </row>
    <row r="55" spans="1:8" s="2071" customFormat="1" x14ac:dyDescent="0.25">
      <c r="H55" s="2074"/>
    </row>
    <row r="56" spans="1:8" s="2071" customFormat="1" x14ac:dyDescent="0.25">
      <c r="H56" s="2074"/>
    </row>
    <row r="57" spans="1:8" s="2071" customFormat="1" x14ac:dyDescent="0.25">
      <c r="B57" s="2075"/>
      <c r="H57" s="2074"/>
    </row>
    <row r="58" spans="1:8" s="2071" customFormat="1" x14ac:dyDescent="0.25">
      <c r="H58" s="2074"/>
    </row>
    <row r="59" spans="1:8" s="2071" customFormat="1" x14ac:dyDescent="0.25">
      <c r="H59" s="2074"/>
    </row>
    <row r="60" spans="1:8" s="2071" customFormat="1" x14ac:dyDescent="0.25">
      <c r="H60" s="2074"/>
    </row>
    <row r="61" spans="1:8" s="2071" customFormat="1" x14ac:dyDescent="0.25">
      <c r="H61" s="2074"/>
    </row>
    <row r="62" spans="1:8" s="2071" customFormat="1" x14ac:dyDescent="0.25">
      <c r="H62" s="2074"/>
    </row>
    <row r="63" spans="1:8" s="2071" customFormat="1" x14ac:dyDescent="0.25">
      <c r="H63" s="2074"/>
    </row>
    <row r="64" spans="1:8" s="2071" customFormat="1" x14ac:dyDescent="0.25">
      <c r="H64" s="2074"/>
    </row>
    <row r="65" spans="8:8" s="2071" customFormat="1" x14ac:dyDescent="0.25">
      <c r="H65" s="2074"/>
    </row>
    <row r="66" spans="8:8" s="2071" customFormat="1" x14ac:dyDescent="0.25">
      <c r="H66" s="2074"/>
    </row>
    <row r="67" spans="8:8" s="2071" customFormat="1" x14ac:dyDescent="0.25">
      <c r="H67" s="2074"/>
    </row>
    <row r="68" spans="8:8" s="2071" customFormat="1" x14ac:dyDescent="0.25">
      <c r="H68" s="2074"/>
    </row>
    <row r="69" spans="8:8" s="2071" customFormat="1" x14ac:dyDescent="0.25">
      <c r="H69" s="2074"/>
    </row>
    <row r="70" spans="8:8" s="2071" customFormat="1" x14ac:dyDescent="0.25">
      <c r="H70" s="2074"/>
    </row>
    <row r="71" spans="8:8" s="2071" customFormat="1" x14ac:dyDescent="0.25">
      <c r="H71" s="2074"/>
    </row>
    <row r="72" spans="8:8" s="2071" customFormat="1" x14ac:dyDescent="0.25">
      <c r="H72" s="2074"/>
    </row>
    <row r="73" spans="8:8" s="2071" customFormat="1" x14ac:dyDescent="0.25">
      <c r="H73" s="2074"/>
    </row>
    <row r="74" spans="8:8" s="2071" customFormat="1" x14ac:dyDescent="0.25">
      <c r="H74" s="2074"/>
    </row>
    <row r="75" spans="8:8" s="2071" customFormat="1" x14ac:dyDescent="0.25">
      <c r="H75" s="2074"/>
    </row>
    <row r="76" spans="8:8" s="2071" customFormat="1" x14ac:dyDescent="0.25">
      <c r="H76" s="2074"/>
    </row>
    <row r="77" spans="8:8" s="2071" customFormat="1" x14ac:dyDescent="0.25">
      <c r="H77" s="2074"/>
    </row>
    <row r="78" spans="8:8" s="2071" customFormat="1" x14ac:dyDescent="0.25">
      <c r="H78" s="2074"/>
    </row>
    <row r="79" spans="8:8" s="2071" customFormat="1" x14ac:dyDescent="0.25">
      <c r="H79" s="2074"/>
    </row>
    <row r="80" spans="8:8" s="2071" customFormat="1" x14ac:dyDescent="0.25">
      <c r="H80" s="2074"/>
    </row>
    <row r="81" spans="8:8" s="2071" customFormat="1" x14ac:dyDescent="0.25">
      <c r="H81" s="2074"/>
    </row>
    <row r="82" spans="8:8" s="2071" customFormat="1" x14ac:dyDescent="0.25">
      <c r="H82" s="2074"/>
    </row>
    <row r="83" spans="8:8" s="2071" customFormat="1" x14ac:dyDescent="0.25">
      <c r="H83" s="2074"/>
    </row>
    <row r="84" spans="8:8" s="2071" customFormat="1" x14ac:dyDescent="0.25">
      <c r="H84" s="2074"/>
    </row>
    <row r="85" spans="8:8" s="2071" customFormat="1" x14ac:dyDescent="0.25">
      <c r="H85" s="2074"/>
    </row>
    <row r="86" spans="8:8" s="2071" customFormat="1" x14ac:dyDescent="0.25">
      <c r="H86" s="2074"/>
    </row>
    <row r="87" spans="8:8" s="2071" customFormat="1" x14ac:dyDescent="0.25">
      <c r="H87" s="2074"/>
    </row>
    <row r="88" spans="8:8" s="2071" customFormat="1" x14ac:dyDescent="0.25">
      <c r="H88" s="2074"/>
    </row>
    <row r="89" spans="8:8" s="2071" customFormat="1" x14ac:dyDescent="0.25">
      <c r="H89" s="2074"/>
    </row>
    <row r="90" spans="8:8" s="2071" customFormat="1" x14ac:dyDescent="0.25">
      <c r="H90" s="2074"/>
    </row>
    <row r="91" spans="8:8" s="2071" customFormat="1" x14ac:dyDescent="0.25">
      <c r="H91" s="2074"/>
    </row>
    <row r="92" spans="8:8" s="2071" customFormat="1" x14ac:dyDescent="0.25">
      <c r="H92" s="2074"/>
    </row>
    <row r="93" spans="8:8" s="2071" customFormat="1" x14ac:dyDescent="0.25">
      <c r="H93" s="2074"/>
    </row>
    <row r="94" spans="8:8" s="2071" customFormat="1" x14ac:dyDescent="0.25">
      <c r="H94" s="2074"/>
    </row>
    <row r="95" spans="8:8" s="2071" customFormat="1" x14ac:dyDescent="0.25">
      <c r="H95" s="2074"/>
    </row>
    <row r="96" spans="8:8" s="2071" customFormat="1" x14ac:dyDescent="0.25">
      <c r="H96" s="2074"/>
    </row>
    <row r="97" spans="8:8" s="2071" customFormat="1" x14ac:dyDescent="0.25">
      <c r="H97" s="2074"/>
    </row>
    <row r="98" spans="8:8" s="2071" customFormat="1" x14ac:dyDescent="0.25">
      <c r="H98" s="2074"/>
    </row>
    <row r="99" spans="8:8" s="2071" customFormat="1" x14ac:dyDescent="0.25">
      <c r="H99" s="2074"/>
    </row>
    <row r="100" spans="8:8" s="2071" customFormat="1" x14ac:dyDescent="0.25">
      <c r="H100" s="2074"/>
    </row>
    <row r="101" spans="8:8" s="2071" customFormat="1" x14ac:dyDescent="0.25">
      <c r="H101" s="2074"/>
    </row>
    <row r="102" spans="8:8" s="2071" customFormat="1" x14ac:dyDescent="0.25">
      <c r="H102" s="2074"/>
    </row>
    <row r="103" spans="8:8" s="2071" customFormat="1" x14ac:dyDescent="0.25">
      <c r="H103" s="2074"/>
    </row>
    <row r="104" spans="8:8" s="2071" customFormat="1" x14ac:dyDescent="0.25">
      <c r="H104" s="2074"/>
    </row>
    <row r="105" spans="8:8" s="2071" customFormat="1" x14ac:dyDescent="0.25">
      <c r="H105" s="2074"/>
    </row>
    <row r="106" spans="8:8" s="2071" customFormat="1" x14ac:dyDescent="0.25">
      <c r="H106" s="2074"/>
    </row>
    <row r="107" spans="8:8" s="2071" customFormat="1" x14ac:dyDescent="0.25">
      <c r="H107" s="2074"/>
    </row>
    <row r="108" spans="8:8" s="2071" customFormat="1" x14ac:dyDescent="0.25">
      <c r="H108" s="2074"/>
    </row>
    <row r="109" spans="8:8" s="2071" customFormat="1" x14ac:dyDescent="0.25">
      <c r="H109" s="2074"/>
    </row>
    <row r="110" spans="8:8" s="2071" customFormat="1" x14ac:dyDescent="0.25">
      <c r="H110" s="2074"/>
    </row>
    <row r="111" spans="8:8" s="2071" customFormat="1" x14ac:dyDescent="0.25">
      <c r="H111" s="2074"/>
    </row>
    <row r="112" spans="8:8" s="2071" customFormat="1" x14ac:dyDescent="0.25">
      <c r="H112" s="2074"/>
    </row>
    <row r="113" spans="8:8" s="2071" customFormat="1" x14ac:dyDescent="0.25">
      <c r="H113" s="2074"/>
    </row>
    <row r="114" spans="8:8" s="2071" customFormat="1" x14ac:dyDescent="0.25">
      <c r="H114" s="2074"/>
    </row>
    <row r="115" spans="8:8" s="2071" customFormat="1" x14ac:dyDescent="0.25">
      <c r="H115" s="2074"/>
    </row>
    <row r="116" spans="8:8" s="2071" customFormat="1" x14ac:dyDescent="0.25">
      <c r="H116" s="2074"/>
    </row>
    <row r="117" spans="8:8" s="2071" customFormat="1" x14ac:dyDescent="0.25">
      <c r="H117" s="2074"/>
    </row>
    <row r="118" spans="8:8" s="2071" customFormat="1" x14ac:dyDescent="0.25">
      <c r="H118" s="2074"/>
    </row>
    <row r="119" spans="8:8" s="2071" customFormat="1" x14ac:dyDescent="0.25">
      <c r="H119" s="2074"/>
    </row>
    <row r="120" spans="8:8" s="2071" customFormat="1" x14ac:dyDescent="0.25">
      <c r="H120" s="2074"/>
    </row>
    <row r="121" spans="8:8" s="2071" customFormat="1" x14ac:dyDescent="0.25">
      <c r="H121" s="2074"/>
    </row>
    <row r="122" spans="8:8" s="2071" customFormat="1" x14ac:dyDescent="0.25">
      <c r="H122" s="2074"/>
    </row>
    <row r="123" spans="8:8" s="2071" customFormat="1" x14ac:dyDescent="0.25">
      <c r="H123" s="2074"/>
    </row>
    <row r="124" spans="8:8" s="2071" customFormat="1" x14ac:dyDescent="0.25">
      <c r="H124" s="2074"/>
    </row>
    <row r="125" spans="8:8" s="2071" customFormat="1" x14ac:dyDescent="0.25">
      <c r="H125" s="2074"/>
    </row>
    <row r="126" spans="8:8" s="2071" customFormat="1" x14ac:dyDescent="0.25">
      <c r="H126" s="2074"/>
    </row>
    <row r="127" spans="8:8" s="2071" customFormat="1" x14ac:dyDescent="0.25">
      <c r="H127" s="2074"/>
    </row>
    <row r="128" spans="8:8" s="2071" customFormat="1" x14ac:dyDescent="0.25">
      <c r="H128" s="2074"/>
    </row>
    <row r="129" spans="8:8" s="2071" customFormat="1" x14ac:dyDescent="0.25">
      <c r="H129" s="2074"/>
    </row>
    <row r="130" spans="8:8" s="2071" customFormat="1" x14ac:dyDescent="0.25">
      <c r="H130" s="2074"/>
    </row>
    <row r="131" spans="8:8" s="2071" customFormat="1" x14ac:dyDescent="0.25">
      <c r="H131" s="2074"/>
    </row>
    <row r="132" spans="8:8" s="2071" customFormat="1" x14ac:dyDescent="0.25">
      <c r="H132" s="2074"/>
    </row>
    <row r="133" spans="8:8" s="2071" customFormat="1" x14ac:dyDescent="0.25">
      <c r="H133" s="2074"/>
    </row>
    <row r="134" spans="8:8" s="2071" customFormat="1" x14ac:dyDescent="0.25">
      <c r="H134" s="2074"/>
    </row>
    <row r="135" spans="8:8" s="2071" customFormat="1" x14ac:dyDescent="0.25">
      <c r="H135" s="2074"/>
    </row>
    <row r="136" spans="8:8" s="2071" customFormat="1" x14ac:dyDescent="0.25">
      <c r="H136" s="2074"/>
    </row>
    <row r="137" spans="8:8" s="2071" customFormat="1" x14ac:dyDescent="0.25">
      <c r="H137" s="2074"/>
    </row>
    <row r="138" spans="8:8" s="2071" customFormat="1" x14ac:dyDescent="0.25">
      <c r="H138" s="2074"/>
    </row>
    <row r="139" spans="8:8" s="2071" customFormat="1" x14ac:dyDescent="0.25">
      <c r="H139" s="2074"/>
    </row>
    <row r="140" spans="8:8" s="2071" customFormat="1" x14ac:dyDescent="0.25">
      <c r="H140" s="2074"/>
    </row>
    <row r="141" spans="8:8" s="2071" customFormat="1" x14ac:dyDescent="0.25">
      <c r="H141" s="2074"/>
    </row>
    <row r="142" spans="8:8" s="2071" customFormat="1" x14ac:dyDescent="0.25">
      <c r="H142" s="2074"/>
    </row>
    <row r="143" spans="8:8" s="2071" customFormat="1" x14ac:dyDescent="0.25">
      <c r="H143" s="2074"/>
    </row>
    <row r="144" spans="8:8" s="2071" customFormat="1" x14ac:dyDescent="0.25">
      <c r="H144" s="2074"/>
    </row>
    <row r="145" spans="8:8" s="2071" customFormat="1" x14ac:dyDescent="0.25">
      <c r="H145" s="2074"/>
    </row>
    <row r="146" spans="8:8" s="2071" customFormat="1" x14ac:dyDescent="0.25">
      <c r="H146" s="2074"/>
    </row>
    <row r="147" spans="8:8" s="2071" customFormat="1" x14ac:dyDescent="0.25">
      <c r="H147" s="2074"/>
    </row>
    <row r="148" spans="8:8" s="2071" customFormat="1" x14ac:dyDescent="0.25">
      <c r="H148" s="2074"/>
    </row>
    <row r="149" spans="8:8" s="2071" customFormat="1" x14ac:dyDescent="0.25">
      <c r="H149" s="2074"/>
    </row>
    <row r="150" spans="8:8" s="2071" customFormat="1" x14ac:dyDescent="0.25">
      <c r="H150" s="2074"/>
    </row>
    <row r="151" spans="8:8" s="2071" customFormat="1" x14ac:dyDescent="0.25">
      <c r="H151" s="2074"/>
    </row>
    <row r="152" spans="8:8" s="2071" customFormat="1" x14ac:dyDescent="0.25">
      <c r="H152" s="2074"/>
    </row>
    <row r="153" spans="8:8" s="2071" customFormat="1" x14ac:dyDescent="0.25">
      <c r="H153" s="2074"/>
    </row>
    <row r="154" spans="8:8" s="2071" customFormat="1" x14ac:dyDescent="0.25">
      <c r="H154" s="2074"/>
    </row>
    <row r="155" spans="8:8" s="2071" customFormat="1" x14ac:dyDescent="0.25">
      <c r="H155" s="2074"/>
    </row>
    <row r="156" spans="8:8" s="2071" customFormat="1" x14ac:dyDescent="0.25">
      <c r="H156" s="2074"/>
    </row>
    <row r="157" spans="8:8" s="2071" customFormat="1" x14ac:dyDescent="0.25">
      <c r="H157" s="2074"/>
    </row>
    <row r="158" spans="8:8" s="2071" customFormat="1" x14ac:dyDescent="0.25">
      <c r="H158" s="2074"/>
    </row>
    <row r="159" spans="8:8" s="2071" customFormat="1" x14ac:dyDescent="0.25">
      <c r="H159" s="2074"/>
    </row>
    <row r="160" spans="8:8" s="2071" customFormat="1" x14ac:dyDescent="0.25">
      <c r="H160" s="2074"/>
    </row>
    <row r="161" spans="8:8" s="2071" customFormat="1" x14ac:dyDescent="0.25">
      <c r="H161" s="2074"/>
    </row>
    <row r="162" spans="8:8" s="2071" customFormat="1" x14ac:dyDescent="0.25">
      <c r="H162" s="2074"/>
    </row>
    <row r="163" spans="8:8" s="2071" customFormat="1" x14ac:dyDescent="0.25">
      <c r="H163" s="2074"/>
    </row>
    <row r="164" spans="8:8" s="2071" customFormat="1" x14ac:dyDescent="0.25">
      <c r="H164" s="2074"/>
    </row>
    <row r="165" spans="8:8" s="2071" customFormat="1" x14ac:dyDescent="0.25">
      <c r="H165" s="2074"/>
    </row>
    <row r="166" spans="8:8" s="2071" customFormat="1" x14ac:dyDescent="0.25">
      <c r="H166" s="2074"/>
    </row>
    <row r="167" spans="8:8" s="2071" customFormat="1" x14ac:dyDescent="0.25">
      <c r="H167" s="2074"/>
    </row>
    <row r="168" spans="8:8" s="2071" customFormat="1" x14ac:dyDescent="0.25">
      <c r="H168" s="2074"/>
    </row>
    <row r="169" spans="8:8" s="2071" customFormat="1" x14ac:dyDescent="0.25">
      <c r="H169" s="2074"/>
    </row>
    <row r="170" spans="8:8" s="2071" customFormat="1" x14ac:dyDescent="0.25">
      <c r="H170" s="2074"/>
    </row>
    <row r="171" spans="8:8" s="2071" customFormat="1" x14ac:dyDescent="0.25">
      <c r="H171" s="2074"/>
    </row>
    <row r="172" spans="8:8" s="2071" customFormat="1" x14ac:dyDescent="0.25">
      <c r="H172" s="2074"/>
    </row>
    <row r="173" spans="8:8" s="2071" customFormat="1" x14ac:dyDescent="0.25">
      <c r="H173" s="2074"/>
    </row>
    <row r="174" spans="8:8" s="2071" customFormat="1" x14ac:dyDescent="0.25">
      <c r="H174" s="2074"/>
    </row>
    <row r="175" spans="8:8" s="2071" customFormat="1" x14ac:dyDescent="0.25">
      <c r="H175" s="2074"/>
    </row>
    <row r="176" spans="8:8" s="2071" customFormat="1" x14ac:dyDescent="0.25">
      <c r="H176" s="2074"/>
    </row>
    <row r="177" spans="8:8" s="2071" customFormat="1" x14ac:dyDescent="0.25">
      <c r="H177" s="2074"/>
    </row>
    <row r="178" spans="8:8" s="2071" customFormat="1" x14ac:dyDescent="0.25">
      <c r="H178" s="2074"/>
    </row>
    <row r="179" spans="8:8" s="2071" customFormat="1" x14ac:dyDescent="0.25">
      <c r="H179" s="2074"/>
    </row>
    <row r="180" spans="8:8" s="2071" customFormat="1" x14ac:dyDescent="0.25">
      <c r="H180" s="2074"/>
    </row>
    <row r="181" spans="8:8" s="2071" customFormat="1" x14ac:dyDescent="0.25">
      <c r="H181" s="2074"/>
    </row>
    <row r="182" spans="8:8" s="2071" customFormat="1" x14ac:dyDescent="0.25">
      <c r="H182" s="2074"/>
    </row>
    <row r="183" spans="8:8" s="2071" customFormat="1" x14ac:dyDescent="0.25">
      <c r="H183" s="2074"/>
    </row>
    <row r="184" spans="8:8" s="2071" customFormat="1" x14ac:dyDescent="0.25">
      <c r="H184" s="2074"/>
    </row>
    <row r="185" spans="8:8" s="2071" customFormat="1" x14ac:dyDescent="0.25">
      <c r="H185" s="2074"/>
    </row>
    <row r="186" spans="8:8" s="2071" customFormat="1" x14ac:dyDescent="0.25">
      <c r="H186" s="2074"/>
    </row>
    <row r="187" spans="8:8" s="2071" customFormat="1" x14ac:dyDescent="0.25">
      <c r="H187" s="2074"/>
    </row>
    <row r="188" spans="8:8" s="2071" customFormat="1" x14ac:dyDescent="0.25">
      <c r="H188" s="2074"/>
    </row>
    <row r="189" spans="8:8" s="2071" customFormat="1" x14ac:dyDescent="0.25">
      <c r="H189" s="2074"/>
    </row>
    <row r="190" spans="8:8" s="2071" customFormat="1" x14ac:dyDescent="0.25">
      <c r="H190" s="2074"/>
    </row>
    <row r="191" spans="8:8" s="2071" customFormat="1" x14ac:dyDescent="0.25">
      <c r="H191" s="2074"/>
    </row>
    <row r="192" spans="8:8" s="2071" customFormat="1" x14ac:dyDescent="0.25">
      <c r="H192" s="2074"/>
    </row>
    <row r="193" spans="8:8" s="2071" customFormat="1" x14ac:dyDescent="0.25">
      <c r="H193" s="2074"/>
    </row>
    <row r="194" spans="8:8" s="2071" customFormat="1" x14ac:dyDescent="0.25">
      <c r="H194" s="2074"/>
    </row>
    <row r="195" spans="8:8" s="2071" customFormat="1" x14ac:dyDescent="0.25">
      <c r="H195" s="2074"/>
    </row>
    <row r="196" spans="8:8" s="2071" customFormat="1" x14ac:dyDescent="0.25">
      <c r="H196" s="2074"/>
    </row>
    <row r="197" spans="8:8" s="2071" customFormat="1" x14ac:dyDescent="0.25">
      <c r="H197" s="2074"/>
    </row>
    <row r="198" spans="8:8" s="2071" customFormat="1" x14ac:dyDescent="0.25">
      <c r="H198" s="2074"/>
    </row>
    <row r="199" spans="8:8" s="2071" customFormat="1" x14ac:dyDescent="0.25">
      <c r="H199" s="2074"/>
    </row>
    <row r="200" spans="8:8" s="2071" customFormat="1" x14ac:dyDescent="0.25">
      <c r="H200" s="2074"/>
    </row>
    <row r="201" spans="8:8" s="2071" customFormat="1" x14ac:dyDescent="0.25">
      <c r="H201" s="2074"/>
    </row>
    <row r="202" spans="8:8" s="2071" customFormat="1" x14ac:dyDescent="0.25">
      <c r="H202" s="2074"/>
    </row>
    <row r="203" spans="8:8" s="2071" customFormat="1" x14ac:dyDescent="0.25">
      <c r="H203" s="2074"/>
    </row>
    <row r="204" spans="8:8" s="2071" customFormat="1" x14ac:dyDescent="0.25">
      <c r="H204" s="2074"/>
    </row>
    <row r="205" spans="8:8" s="2071" customFormat="1" x14ac:dyDescent="0.25">
      <c r="H205" s="2074"/>
    </row>
    <row r="206" spans="8:8" s="2071" customFormat="1" x14ac:dyDescent="0.25">
      <c r="H206" s="2074"/>
    </row>
    <row r="207" spans="8:8" s="2071" customFormat="1" x14ac:dyDescent="0.25">
      <c r="H207" s="2074"/>
    </row>
    <row r="208" spans="8:8" s="2071" customFormat="1" x14ac:dyDescent="0.25">
      <c r="H208" s="2074"/>
    </row>
    <row r="209" spans="8:8" s="2071" customFormat="1" x14ac:dyDescent="0.25">
      <c r="H209" s="2074"/>
    </row>
    <row r="210" spans="8:8" s="2071" customFormat="1" x14ac:dyDescent="0.25">
      <c r="H210" s="2074"/>
    </row>
    <row r="211" spans="8:8" s="2071" customFormat="1" x14ac:dyDescent="0.25">
      <c r="H211" s="2074"/>
    </row>
    <row r="212" spans="8:8" s="2071" customFormat="1" x14ac:dyDescent="0.25">
      <c r="H212" s="2074"/>
    </row>
    <row r="213" spans="8:8" s="2071" customFormat="1" x14ac:dyDescent="0.25">
      <c r="H213" s="2074"/>
    </row>
    <row r="214" spans="8:8" s="2071" customFormat="1" x14ac:dyDescent="0.25">
      <c r="H214" s="2074"/>
    </row>
    <row r="215" spans="8:8" s="2071" customFormat="1" x14ac:dyDescent="0.25">
      <c r="H215" s="2074"/>
    </row>
    <row r="216" spans="8:8" s="2071" customFormat="1" x14ac:dyDescent="0.25">
      <c r="H216" s="2074"/>
    </row>
    <row r="217" spans="8:8" s="2071" customFormat="1" x14ac:dyDescent="0.25">
      <c r="H217" s="2074"/>
    </row>
    <row r="218" spans="8:8" s="2071" customFormat="1" x14ac:dyDescent="0.25">
      <c r="H218" s="2074"/>
    </row>
    <row r="219" spans="8:8" s="2071" customFormat="1" x14ac:dyDescent="0.25">
      <c r="H219" s="2074"/>
    </row>
    <row r="220" spans="8:8" s="2071" customFormat="1" x14ac:dyDescent="0.25">
      <c r="H220" s="2074"/>
    </row>
    <row r="221" spans="8:8" s="2071" customFormat="1" x14ac:dyDescent="0.25">
      <c r="H221" s="2074"/>
    </row>
    <row r="222" spans="8:8" s="2071" customFormat="1" x14ac:dyDescent="0.25">
      <c r="H222" s="2074"/>
    </row>
    <row r="223" spans="8:8" s="2071" customFormat="1" x14ac:dyDescent="0.25">
      <c r="H223" s="2074"/>
    </row>
    <row r="224" spans="8:8" s="2071" customFormat="1" x14ac:dyDescent="0.25">
      <c r="H224" s="2074"/>
    </row>
    <row r="225" spans="8:8" s="2071" customFormat="1" x14ac:dyDescent="0.25">
      <c r="H225" s="2074"/>
    </row>
    <row r="226" spans="8:8" s="2071" customFormat="1" x14ac:dyDescent="0.25">
      <c r="H226" s="2074"/>
    </row>
    <row r="227" spans="8:8" s="2071" customFormat="1" x14ac:dyDescent="0.25">
      <c r="H227" s="2074"/>
    </row>
    <row r="228" spans="8:8" s="2071" customFormat="1" x14ac:dyDescent="0.25">
      <c r="H228" s="2074"/>
    </row>
    <row r="229" spans="8:8" s="2071" customFormat="1" x14ac:dyDescent="0.25">
      <c r="H229" s="2074"/>
    </row>
    <row r="230" spans="8:8" s="2071" customFormat="1" x14ac:dyDescent="0.25">
      <c r="H230" s="2074"/>
    </row>
    <row r="231" spans="8:8" s="2071" customFormat="1" x14ac:dyDescent="0.25">
      <c r="H231" s="2074"/>
    </row>
    <row r="232" spans="8:8" s="2071" customFormat="1" x14ac:dyDescent="0.25">
      <c r="H232" s="2074"/>
    </row>
    <row r="233" spans="8:8" s="2071" customFormat="1" x14ac:dyDescent="0.25">
      <c r="H233" s="2074"/>
    </row>
    <row r="234" spans="8:8" s="2071" customFormat="1" x14ac:dyDescent="0.25">
      <c r="H234" s="2074"/>
    </row>
    <row r="235" spans="8:8" s="2071" customFormat="1" x14ac:dyDescent="0.25">
      <c r="H235" s="2074"/>
    </row>
    <row r="236" spans="8:8" s="2071" customFormat="1" x14ac:dyDescent="0.25">
      <c r="H236" s="2074"/>
    </row>
    <row r="237" spans="8:8" s="2071" customFormat="1" x14ac:dyDescent="0.25">
      <c r="H237" s="2074"/>
    </row>
    <row r="238" spans="8:8" s="2071" customFormat="1" x14ac:dyDescent="0.25">
      <c r="H238" s="2074"/>
    </row>
    <row r="239" spans="8:8" s="2071" customFormat="1" x14ac:dyDescent="0.25">
      <c r="H239" s="2074"/>
    </row>
    <row r="240" spans="8:8" s="2071" customFormat="1" x14ac:dyDescent="0.25">
      <c r="H240" s="2074"/>
    </row>
    <row r="241" spans="8:8" s="2071" customFormat="1" x14ac:dyDescent="0.25">
      <c r="H241" s="2074"/>
    </row>
    <row r="242" spans="8:8" s="2071" customFormat="1" x14ac:dyDescent="0.25">
      <c r="H242" s="2074"/>
    </row>
    <row r="243" spans="8:8" s="2071" customFormat="1" x14ac:dyDescent="0.25">
      <c r="H243" s="2074"/>
    </row>
    <row r="244" spans="8:8" s="2071" customFormat="1" x14ac:dyDescent="0.25">
      <c r="H244" s="2074"/>
    </row>
    <row r="245" spans="8:8" s="2071" customFormat="1" x14ac:dyDescent="0.25">
      <c r="H245" s="2074"/>
    </row>
    <row r="246" spans="8:8" s="2071" customFormat="1" x14ac:dyDescent="0.25">
      <c r="H246" s="2074"/>
    </row>
    <row r="247" spans="8:8" s="2071" customFormat="1" x14ac:dyDescent="0.25">
      <c r="H247" s="2074"/>
    </row>
    <row r="248" spans="8:8" s="2071" customFormat="1" x14ac:dyDescent="0.25">
      <c r="H248" s="2074"/>
    </row>
    <row r="249" spans="8:8" s="2071" customFormat="1" x14ac:dyDescent="0.25">
      <c r="H249" s="2074"/>
    </row>
    <row r="250" spans="8:8" s="2071" customFormat="1" x14ac:dyDescent="0.25">
      <c r="H250" s="2074"/>
    </row>
    <row r="251" spans="8:8" s="2071" customFormat="1" x14ac:dyDescent="0.25">
      <c r="H251" s="2074"/>
    </row>
    <row r="252" spans="8:8" s="2071" customFormat="1" x14ac:dyDescent="0.25">
      <c r="H252" s="2074"/>
    </row>
    <row r="253" spans="8:8" s="2071" customFormat="1" x14ac:dyDescent="0.25">
      <c r="H253" s="2074"/>
    </row>
    <row r="254" spans="8:8" s="2071" customFormat="1" x14ac:dyDescent="0.25">
      <c r="H254" s="2074"/>
    </row>
    <row r="255" spans="8:8" s="2071" customFormat="1" x14ac:dyDescent="0.25">
      <c r="H255" s="2074"/>
    </row>
    <row r="256" spans="8:8" s="2071" customFormat="1" x14ac:dyDescent="0.25">
      <c r="H256" s="2074"/>
    </row>
    <row r="257" spans="8:8" s="2071" customFormat="1" x14ac:dyDescent="0.25">
      <c r="H257" s="2074"/>
    </row>
    <row r="258" spans="8:8" s="2071" customFormat="1" x14ac:dyDescent="0.25">
      <c r="H258" s="2074"/>
    </row>
    <row r="259" spans="8:8" s="2071" customFormat="1" x14ac:dyDescent="0.25">
      <c r="H259" s="2074"/>
    </row>
    <row r="260" spans="8:8" s="2071" customFormat="1" x14ac:dyDescent="0.25">
      <c r="H260" s="2074"/>
    </row>
    <row r="261" spans="8:8" s="2071" customFormat="1" x14ac:dyDescent="0.25">
      <c r="H261" s="2074"/>
    </row>
    <row r="262" spans="8:8" s="2071" customFormat="1" x14ac:dyDescent="0.25">
      <c r="H262" s="2074"/>
    </row>
    <row r="263" spans="8:8" s="2071" customFormat="1" x14ac:dyDescent="0.25">
      <c r="H263" s="2074"/>
    </row>
    <row r="264" spans="8:8" s="2071" customFormat="1" x14ac:dyDescent="0.25">
      <c r="H264" s="2074"/>
    </row>
    <row r="265" spans="8:8" s="2071" customFormat="1" x14ac:dyDescent="0.25">
      <c r="H265" s="2074"/>
    </row>
    <row r="266" spans="8:8" s="2071" customFormat="1" x14ac:dyDescent="0.25">
      <c r="H266" s="2074"/>
    </row>
    <row r="267" spans="8:8" s="2071" customFormat="1" x14ac:dyDescent="0.25">
      <c r="H267" s="2074"/>
    </row>
    <row r="268" spans="8:8" s="2071" customFormat="1" x14ac:dyDescent="0.25">
      <c r="H268" s="2074"/>
    </row>
    <row r="269" spans="8:8" s="2071" customFormat="1" x14ac:dyDescent="0.25">
      <c r="H269" s="2074"/>
    </row>
    <row r="270" spans="8:8" s="2071" customFormat="1" x14ac:dyDescent="0.25">
      <c r="H270" s="2074"/>
    </row>
    <row r="271" spans="8:8" s="2071" customFormat="1" x14ac:dyDescent="0.25">
      <c r="H271" s="2074"/>
    </row>
    <row r="272" spans="8:8" s="2071" customFormat="1" x14ac:dyDescent="0.25">
      <c r="H272" s="2074"/>
    </row>
    <row r="273" spans="8:8" s="2071" customFormat="1" x14ac:dyDescent="0.25">
      <c r="H273" s="2074"/>
    </row>
    <row r="274" spans="8:8" s="2071" customFormat="1" x14ac:dyDescent="0.25">
      <c r="H274" s="2074"/>
    </row>
    <row r="275" spans="8:8" s="2071" customFormat="1" x14ac:dyDescent="0.25">
      <c r="H275" s="2074"/>
    </row>
    <row r="276" spans="8:8" s="2071" customFormat="1" x14ac:dyDescent="0.25">
      <c r="H276" s="2074"/>
    </row>
    <row r="277" spans="8:8" s="2071" customFormat="1" x14ac:dyDescent="0.25">
      <c r="H277" s="2074"/>
    </row>
    <row r="278" spans="8:8" s="2071" customFormat="1" x14ac:dyDescent="0.25">
      <c r="H278" s="2074"/>
    </row>
    <row r="279" spans="8:8" s="2071" customFormat="1" x14ac:dyDescent="0.25">
      <c r="H279" s="2074"/>
    </row>
    <row r="280" spans="8:8" s="2071" customFormat="1" x14ac:dyDescent="0.25">
      <c r="H280" s="2074"/>
    </row>
    <row r="281" spans="8:8" s="2071" customFormat="1" x14ac:dyDescent="0.25">
      <c r="H281" s="2074"/>
    </row>
    <row r="282" spans="8:8" s="2071" customFormat="1" x14ac:dyDescent="0.25">
      <c r="H282" s="2074"/>
    </row>
    <row r="283" spans="8:8" s="2071" customFormat="1" x14ac:dyDescent="0.25">
      <c r="H283" s="2074"/>
    </row>
    <row r="284" spans="8:8" s="2071" customFormat="1" x14ac:dyDescent="0.25">
      <c r="H284" s="2074"/>
    </row>
    <row r="285" spans="8:8" s="2071" customFormat="1" x14ac:dyDescent="0.25">
      <c r="H285" s="2074"/>
    </row>
    <row r="286" spans="8:8" s="2071" customFormat="1" x14ac:dyDescent="0.25">
      <c r="H286" s="2074"/>
    </row>
    <row r="287" spans="8:8" s="2071" customFormat="1" x14ac:dyDescent="0.25">
      <c r="H287" s="2074"/>
    </row>
    <row r="288" spans="8:8" s="2071" customFormat="1" x14ac:dyDescent="0.25">
      <c r="H288" s="2074"/>
    </row>
    <row r="289" spans="8:8" s="2071" customFormat="1" x14ac:dyDescent="0.25">
      <c r="H289" s="2074"/>
    </row>
    <row r="290" spans="8:8" s="2071" customFormat="1" x14ac:dyDescent="0.25">
      <c r="H290" s="2074"/>
    </row>
    <row r="291" spans="8:8" s="2071" customFormat="1" x14ac:dyDescent="0.25">
      <c r="H291" s="2074"/>
    </row>
    <row r="292" spans="8:8" s="2071" customFormat="1" x14ac:dyDescent="0.25">
      <c r="H292" s="2074"/>
    </row>
    <row r="293" spans="8:8" s="2071" customFormat="1" x14ac:dyDescent="0.25">
      <c r="H293" s="2074"/>
    </row>
    <row r="294" spans="8:8" s="2071" customFormat="1" x14ac:dyDescent="0.25">
      <c r="H294" s="2074"/>
    </row>
    <row r="295" spans="8:8" s="2071" customFormat="1" x14ac:dyDescent="0.25">
      <c r="H295" s="2074"/>
    </row>
    <row r="296" spans="8:8" s="2071" customFormat="1" x14ac:dyDescent="0.25">
      <c r="H296" s="2074"/>
    </row>
    <row r="297" spans="8:8" s="2071" customFormat="1" x14ac:dyDescent="0.25">
      <c r="H297" s="2074"/>
    </row>
    <row r="298" spans="8:8" s="2071" customFormat="1" x14ac:dyDescent="0.25">
      <c r="H298" s="2074"/>
    </row>
    <row r="299" spans="8:8" s="2071" customFormat="1" x14ac:dyDescent="0.25">
      <c r="H299" s="2074"/>
    </row>
    <row r="300" spans="8:8" s="2071" customFormat="1" x14ac:dyDescent="0.25">
      <c r="H300" s="2074"/>
    </row>
    <row r="301" spans="8:8" s="2071" customFormat="1" x14ac:dyDescent="0.25">
      <c r="H301" s="2074"/>
    </row>
    <row r="302" spans="8:8" s="2071" customFormat="1" x14ac:dyDescent="0.25">
      <c r="H302" s="2074"/>
    </row>
    <row r="303" spans="8:8" s="2071" customFormat="1" x14ac:dyDescent="0.25">
      <c r="H303" s="2074"/>
    </row>
    <row r="304" spans="8:8" s="2071" customFormat="1" x14ac:dyDescent="0.25">
      <c r="H304" s="2074"/>
    </row>
    <row r="305" spans="8:8" s="2071" customFormat="1" x14ac:dyDescent="0.25">
      <c r="H305" s="2074"/>
    </row>
    <row r="306" spans="8:8" s="2071" customFormat="1" x14ac:dyDescent="0.25">
      <c r="H306" s="2074"/>
    </row>
    <row r="307" spans="8:8" s="2071" customFormat="1" x14ac:dyDescent="0.25">
      <c r="H307" s="2074"/>
    </row>
    <row r="308" spans="8:8" s="2071" customFormat="1" x14ac:dyDescent="0.25">
      <c r="H308" s="2074"/>
    </row>
    <row r="309" spans="8:8" s="2071" customFormat="1" x14ac:dyDescent="0.25">
      <c r="H309" s="2074"/>
    </row>
    <row r="310" spans="8:8" s="2071" customFormat="1" x14ac:dyDescent="0.25">
      <c r="H310" s="2074"/>
    </row>
    <row r="311" spans="8:8" s="2071" customFormat="1" x14ac:dyDescent="0.25">
      <c r="H311" s="2074"/>
    </row>
    <row r="312" spans="8:8" s="2071" customFormat="1" x14ac:dyDescent="0.25">
      <c r="H312" s="2074"/>
    </row>
    <row r="313" spans="8:8" s="2071" customFormat="1" x14ac:dyDescent="0.25">
      <c r="H313" s="2074"/>
    </row>
    <row r="314" spans="8:8" s="2071" customFormat="1" x14ac:dyDescent="0.25">
      <c r="H314" s="2074"/>
    </row>
    <row r="315" spans="8:8" s="2071" customFormat="1" x14ac:dyDescent="0.25">
      <c r="H315" s="2074"/>
    </row>
    <row r="316" spans="8:8" s="2071" customFormat="1" x14ac:dyDescent="0.25">
      <c r="H316" s="2074"/>
    </row>
    <row r="317" spans="8:8" s="2071" customFormat="1" x14ac:dyDescent="0.25">
      <c r="H317" s="2074"/>
    </row>
    <row r="318" spans="8:8" s="2071" customFormat="1" x14ac:dyDescent="0.25">
      <c r="H318" s="2074"/>
    </row>
    <row r="319" spans="8:8" s="2071" customFormat="1" x14ac:dyDescent="0.25">
      <c r="H319" s="2074"/>
    </row>
    <row r="320" spans="8:8" s="2071" customFormat="1" x14ac:dyDescent="0.25">
      <c r="H320" s="2074"/>
    </row>
    <row r="321" spans="8:8" s="2071" customFormat="1" x14ac:dyDescent="0.25">
      <c r="H321" s="2074"/>
    </row>
    <row r="322" spans="8:8" s="2071" customFormat="1" x14ac:dyDescent="0.25">
      <c r="H322" s="2074"/>
    </row>
    <row r="323" spans="8:8" s="2071" customFormat="1" x14ac:dyDescent="0.25">
      <c r="H323" s="2074"/>
    </row>
    <row r="324" spans="8:8" s="2071" customFormat="1" x14ac:dyDescent="0.25">
      <c r="H324" s="2074"/>
    </row>
    <row r="325" spans="8:8" s="2071" customFormat="1" x14ac:dyDescent="0.25">
      <c r="H325" s="2074"/>
    </row>
    <row r="326" spans="8:8" s="2071" customFormat="1" x14ac:dyDescent="0.25">
      <c r="H326" s="2074"/>
    </row>
    <row r="327" spans="8:8" s="2071" customFormat="1" x14ac:dyDescent="0.25">
      <c r="H327" s="2074"/>
    </row>
    <row r="328" spans="8:8" s="2071" customFormat="1" x14ac:dyDescent="0.25">
      <c r="H328" s="2074"/>
    </row>
    <row r="329" spans="8:8" s="2071" customFormat="1" x14ac:dyDescent="0.25">
      <c r="H329" s="2074"/>
    </row>
    <row r="330" spans="8:8" s="2071" customFormat="1" x14ac:dyDescent="0.25">
      <c r="H330" s="2074"/>
    </row>
    <row r="331" spans="8:8" s="2071" customFormat="1" x14ac:dyDescent="0.25">
      <c r="H331" s="2074"/>
    </row>
    <row r="332" spans="8:8" s="2071" customFormat="1" x14ac:dyDescent="0.25">
      <c r="H332" s="2074"/>
    </row>
    <row r="333" spans="8:8" s="2071" customFormat="1" x14ac:dyDescent="0.25">
      <c r="H333" s="2074"/>
    </row>
    <row r="334" spans="8:8" s="2071" customFormat="1" x14ac:dyDescent="0.25">
      <c r="H334" s="2074"/>
    </row>
    <row r="335" spans="8:8" s="2071" customFormat="1" x14ac:dyDescent="0.25">
      <c r="H335" s="2074"/>
    </row>
    <row r="336" spans="8:8" s="2071" customFormat="1" x14ac:dyDescent="0.25">
      <c r="H336" s="2074"/>
    </row>
    <row r="337" spans="8:8" s="2071" customFormat="1" x14ac:dyDescent="0.25">
      <c r="H337" s="2074"/>
    </row>
    <row r="338" spans="8:8" s="2071" customFormat="1" x14ac:dyDescent="0.25">
      <c r="H338" s="2074"/>
    </row>
    <row r="339" spans="8:8" s="2071" customFormat="1" x14ac:dyDescent="0.25">
      <c r="H339" s="2074"/>
    </row>
    <row r="340" spans="8:8" s="2071" customFormat="1" x14ac:dyDescent="0.25">
      <c r="H340" s="2074"/>
    </row>
    <row r="341" spans="8:8" s="2071" customFormat="1" x14ac:dyDescent="0.25">
      <c r="H341" s="2074"/>
    </row>
    <row r="342" spans="8:8" s="2071" customFormat="1" x14ac:dyDescent="0.25">
      <c r="H342" s="2074"/>
    </row>
    <row r="343" spans="8:8" s="2071" customFormat="1" x14ac:dyDescent="0.25">
      <c r="H343" s="2074"/>
    </row>
    <row r="344" spans="8:8" s="2071" customFormat="1" x14ac:dyDescent="0.25">
      <c r="H344" s="2074"/>
    </row>
    <row r="345" spans="8:8" s="2071" customFormat="1" x14ac:dyDescent="0.25">
      <c r="H345" s="2074"/>
    </row>
    <row r="346" spans="8:8" s="2071" customFormat="1" x14ac:dyDescent="0.25">
      <c r="H346" s="2074"/>
    </row>
    <row r="347" spans="8:8" s="2071" customFormat="1" x14ac:dyDescent="0.25">
      <c r="H347" s="2074"/>
    </row>
    <row r="348" spans="8:8" s="2071" customFormat="1" x14ac:dyDescent="0.25">
      <c r="H348" s="2074"/>
    </row>
    <row r="349" spans="8:8" s="2071" customFormat="1" x14ac:dyDescent="0.25">
      <c r="H349" s="2074"/>
    </row>
    <row r="350" spans="8:8" s="2071" customFormat="1" x14ac:dyDescent="0.25">
      <c r="H350" s="2074"/>
    </row>
    <row r="351" spans="8:8" s="2071" customFormat="1" x14ac:dyDescent="0.25">
      <c r="H351" s="2074"/>
    </row>
    <row r="352" spans="8:8" s="2071" customFormat="1" x14ac:dyDescent="0.25">
      <c r="H352" s="2074"/>
    </row>
    <row r="353" spans="8:8" s="2071" customFormat="1" x14ac:dyDescent="0.25">
      <c r="H353" s="2074"/>
    </row>
    <row r="354" spans="8:8" s="2071" customFormat="1" x14ac:dyDescent="0.25">
      <c r="H354" s="2074"/>
    </row>
    <row r="355" spans="8:8" s="2071" customFormat="1" x14ac:dyDescent="0.25">
      <c r="H355" s="2074"/>
    </row>
    <row r="356" spans="8:8" s="2071" customFormat="1" x14ac:dyDescent="0.25">
      <c r="H356" s="2074"/>
    </row>
    <row r="357" spans="8:8" s="2071" customFormat="1" x14ac:dyDescent="0.25">
      <c r="H357" s="2074"/>
    </row>
    <row r="358" spans="8:8" s="2071" customFormat="1" x14ac:dyDescent="0.25">
      <c r="H358" s="2074"/>
    </row>
    <row r="359" spans="8:8" s="2071" customFormat="1" x14ac:dyDescent="0.25">
      <c r="H359" s="2074"/>
    </row>
    <row r="360" spans="8:8" s="2071" customFormat="1" x14ac:dyDescent="0.25">
      <c r="H360" s="2074"/>
    </row>
    <row r="361" spans="8:8" s="2071" customFormat="1" x14ac:dyDescent="0.25">
      <c r="H361" s="2074"/>
    </row>
    <row r="362" spans="8:8" s="2071" customFormat="1" x14ac:dyDescent="0.25">
      <c r="H362" s="2074"/>
    </row>
    <row r="363" spans="8:8" s="2071" customFormat="1" x14ac:dyDescent="0.25">
      <c r="H363" s="2074"/>
    </row>
    <row r="364" spans="8:8" s="2071" customFormat="1" x14ac:dyDescent="0.25">
      <c r="H364" s="2074"/>
    </row>
    <row r="365" spans="8:8" s="2071" customFormat="1" x14ac:dyDescent="0.25">
      <c r="H365" s="2074"/>
    </row>
    <row r="366" spans="8:8" s="2071" customFormat="1" x14ac:dyDescent="0.25">
      <c r="H366" s="2074"/>
    </row>
    <row r="367" spans="8:8" s="2071" customFormat="1" x14ac:dyDescent="0.25">
      <c r="H367" s="2074"/>
    </row>
    <row r="368" spans="8:8" s="2071" customFormat="1" x14ac:dyDescent="0.25">
      <c r="H368" s="2074"/>
    </row>
    <row r="369" spans="8:8" s="2071" customFormat="1" x14ac:dyDescent="0.25">
      <c r="H369" s="2074"/>
    </row>
    <row r="370" spans="8:8" s="2071" customFormat="1" x14ac:dyDescent="0.25">
      <c r="H370" s="2074"/>
    </row>
    <row r="371" spans="8:8" s="2071" customFormat="1" x14ac:dyDescent="0.25">
      <c r="H371" s="2074"/>
    </row>
    <row r="372" spans="8:8" s="2071" customFormat="1" x14ac:dyDescent="0.25">
      <c r="H372" s="2074"/>
    </row>
    <row r="373" spans="8:8" s="2071" customFormat="1" x14ac:dyDescent="0.25">
      <c r="H373" s="2074"/>
    </row>
    <row r="374" spans="8:8" s="2071" customFormat="1" x14ac:dyDescent="0.25">
      <c r="H374" s="2074"/>
    </row>
    <row r="375" spans="8:8" s="2071" customFormat="1" x14ac:dyDescent="0.25">
      <c r="H375" s="2074"/>
    </row>
    <row r="376" spans="8:8" s="2071" customFormat="1" x14ac:dyDescent="0.25">
      <c r="H376" s="2074"/>
    </row>
    <row r="377" spans="8:8" s="2071" customFormat="1" x14ac:dyDescent="0.25">
      <c r="H377" s="2074"/>
    </row>
    <row r="378" spans="8:8" s="2071" customFormat="1" x14ac:dyDescent="0.25">
      <c r="H378" s="2074"/>
    </row>
    <row r="379" spans="8:8" s="2071" customFormat="1" x14ac:dyDescent="0.25">
      <c r="H379" s="2074"/>
    </row>
    <row r="380" spans="8:8" s="2071" customFormat="1" x14ac:dyDescent="0.25">
      <c r="H380" s="2074"/>
    </row>
    <row r="381" spans="8:8" s="2071" customFormat="1" x14ac:dyDescent="0.25">
      <c r="H381" s="2074"/>
    </row>
    <row r="382" spans="8:8" s="2071" customFormat="1" x14ac:dyDescent="0.25">
      <c r="H382" s="2074"/>
    </row>
    <row r="383" spans="8:8" s="2071" customFormat="1" x14ac:dyDescent="0.25">
      <c r="H383" s="2074"/>
    </row>
    <row r="384" spans="8:8" s="2071" customFormat="1" x14ac:dyDescent="0.25">
      <c r="H384" s="2074"/>
    </row>
    <row r="385" spans="8:8" s="2071" customFormat="1" x14ac:dyDescent="0.25">
      <c r="H385" s="2074"/>
    </row>
    <row r="386" spans="8:8" s="2071" customFormat="1" x14ac:dyDescent="0.25">
      <c r="H386" s="2074"/>
    </row>
    <row r="387" spans="8:8" s="2071" customFormat="1" x14ac:dyDescent="0.25">
      <c r="H387" s="2074"/>
    </row>
    <row r="388" spans="8:8" s="2071" customFormat="1" x14ac:dyDescent="0.25">
      <c r="H388" s="2074"/>
    </row>
    <row r="389" spans="8:8" s="2071" customFormat="1" x14ac:dyDescent="0.25">
      <c r="H389" s="2074"/>
    </row>
    <row r="390" spans="8:8" s="2071" customFormat="1" x14ac:dyDescent="0.25">
      <c r="H390" s="2074"/>
    </row>
    <row r="391" spans="8:8" s="2071" customFormat="1" x14ac:dyDescent="0.25">
      <c r="H391" s="2074"/>
    </row>
    <row r="392" spans="8:8" s="2071" customFormat="1" x14ac:dyDescent="0.25">
      <c r="H392" s="2074"/>
    </row>
    <row r="393" spans="8:8" s="2071" customFormat="1" x14ac:dyDescent="0.25">
      <c r="H393" s="2074"/>
    </row>
    <row r="394" spans="8:8" s="2071" customFormat="1" x14ac:dyDescent="0.25">
      <c r="H394" s="2074"/>
    </row>
    <row r="395" spans="8:8" s="2071" customFormat="1" x14ac:dyDescent="0.25">
      <c r="H395" s="2074"/>
    </row>
    <row r="396" spans="8:8" s="2071" customFormat="1" x14ac:dyDescent="0.25">
      <c r="H396" s="2074"/>
    </row>
    <row r="397" spans="8:8" s="2071" customFormat="1" x14ac:dyDescent="0.25">
      <c r="H397" s="2074"/>
    </row>
    <row r="398" spans="8:8" s="2071" customFormat="1" x14ac:dyDescent="0.25">
      <c r="H398" s="2074"/>
    </row>
    <row r="399" spans="8:8" s="2071" customFormat="1" x14ac:dyDescent="0.25">
      <c r="H399" s="2074"/>
    </row>
    <row r="400" spans="8:8" s="2071" customFormat="1" x14ac:dyDescent="0.25">
      <c r="H400" s="2074"/>
    </row>
    <row r="401" spans="8:8" s="2071" customFormat="1" x14ac:dyDescent="0.25">
      <c r="H401" s="2074"/>
    </row>
    <row r="402" spans="8:8" s="2071" customFormat="1" x14ac:dyDescent="0.25">
      <c r="H402" s="2074"/>
    </row>
    <row r="403" spans="8:8" s="2071" customFormat="1" x14ac:dyDescent="0.25">
      <c r="H403" s="2074"/>
    </row>
    <row r="404" spans="8:8" s="2071" customFormat="1" x14ac:dyDescent="0.25">
      <c r="H404" s="2074"/>
    </row>
    <row r="405" spans="8:8" s="2071" customFormat="1" x14ac:dyDescent="0.25">
      <c r="H405" s="2074"/>
    </row>
    <row r="406" spans="8:8" s="2071" customFormat="1" x14ac:dyDescent="0.25">
      <c r="H406" s="2074"/>
    </row>
    <row r="407" spans="8:8" s="2071" customFormat="1" x14ac:dyDescent="0.25">
      <c r="H407" s="2074"/>
    </row>
    <row r="408" spans="8:8" s="2071" customFormat="1" x14ac:dyDescent="0.25">
      <c r="H408" s="2074"/>
    </row>
    <row r="409" spans="8:8" s="2071" customFormat="1" x14ac:dyDescent="0.25">
      <c r="H409" s="2074"/>
    </row>
    <row r="410" spans="8:8" s="2071" customFormat="1" x14ac:dyDescent="0.25">
      <c r="H410" s="2074"/>
    </row>
    <row r="411" spans="8:8" s="2071" customFormat="1" x14ac:dyDescent="0.25">
      <c r="H411" s="2074"/>
    </row>
    <row r="412" spans="8:8" s="2071" customFormat="1" x14ac:dyDescent="0.25">
      <c r="H412" s="2074"/>
    </row>
    <row r="413" spans="8:8" s="2071" customFormat="1" x14ac:dyDescent="0.25">
      <c r="H413" s="2074"/>
    </row>
    <row r="414" spans="8:8" s="2071" customFormat="1" x14ac:dyDescent="0.25">
      <c r="H414" s="2074"/>
    </row>
    <row r="415" spans="8:8" s="2071" customFormat="1" x14ac:dyDescent="0.25">
      <c r="H415" s="2074"/>
    </row>
    <row r="416" spans="8:8" s="2071" customFormat="1" x14ac:dyDescent="0.25">
      <c r="H416" s="2074"/>
    </row>
    <row r="417" spans="8:8" s="2071" customFormat="1" x14ac:dyDescent="0.25">
      <c r="H417" s="2074"/>
    </row>
    <row r="418" spans="8:8" s="2071" customFormat="1" x14ac:dyDescent="0.25">
      <c r="H418" s="2074"/>
    </row>
    <row r="419" spans="8:8" s="2071" customFormat="1" x14ac:dyDescent="0.25">
      <c r="H419" s="2074"/>
    </row>
    <row r="420" spans="8:8" s="2071" customFormat="1" x14ac:dyDescent="0.25">
      <c r="H420" s="2074"/>
    </row>
    <row r="421" spans="8:8" s="2071" customFormat="1" x14ac:dyDescent="0.25">
      <c r="H421" s="2074"/>
    </row>
    <row r="422" spans="8:8" s="2071" customFormat="1" x14ac:dyDescent="0.25">
      <c r="H422" s="2074"/>
    </row>
    <row r="423" spans="8:8" s="2071" customFormat="1" x14ac:dyDescent="0.25">
      <c r="H423" s="2074"/>
    </row>
    <row r="424" spans="8:8" s="2071" customFormat="1" x14ac:dyDescent="0.25">
      <c r="H424" s="2074"/>
    </row>
    <row r="425" spans="8:8" s="2071" customFormat="1" x14ac:dyDescent="0.25">
      <c r="H425" s="2074"/>
    </row>
    <row r="426" spans="8:8" s="2071" customFormat="1" x14ac:dyDescent="0.25">
      <c r="H426" s="2074"/>
    </row>
    <row r="427" spans="8:8" s="2071" customFormat="1" x14ac:dyDescent="0.25">
      <c r="H427" s="2074"/>
    </row>
    <row r="428" spans="8:8" s="2071" customFormat="1" x14ac:dyDescent="0.25">
      <c r="H428" s="2074"/>
    </row>
    <row r="429" spans="8:8" s="2071" customFormat="1" x14ac:dyDescent="0.25">
      <c r="H429" s="2074"/>
    </row>
    <row r="430" spans="8:8" s="2071" customFormat="1" x14ac:dyDescent="0.25">
      <c r="H430" s="2074"/>
    </row>
    <row r="431" spans="8:8" s="2071" customFormat="1" x14ac:dyDescent="0.25">
      <c r="H431" s="2074"/>
    </row>
    <row r="432" spans="8:8" s="2071" customFormat="1" x14ac:dyDescent="0.25">
      <c r="H432" s="2074"/>
    </row>
    <row r="433" spans="8:8" s="2071" customFormat="1" x14ac:dyDescent="0.25">
      <c r="H433" s="2074"/>
    </row>
    <row r="434" spans="8:8" s="2071" customFormat="1" x14ac:dyDescent="0.25">
      <c r="H434" s="2074"/>
    </row>
    <row r="435" spans="8:8" s="2071" customFormat="1" x14ac:dyDescent="0.25">
      <c r="H435" s="2074"/>
    </row>
    <row r="436" spans="8:8" s="2071" customFormat="1" x14ac:dyDescent="0.25">
      <c r="H436" s="2074"/>
    </row>
    <row r="437" spans="8:8" s="2071" customFormat="1" x14ac:dyDescent="0.25">
      <c r="H437" s="2074"/>
    </row>
    <row r="438" spans="8:8" s="2071" customFormat="1" x14ac:dyDescent="0.25">
      <c r="H438" s="2074"/>
    </row>
    <row r="439" spans="8:8" s="2071" customFormat="1" x14ac:dyDescent="0.25">
      <c r="H439" s="2074"/>
    </row>
    <row r="440" spans="8:8" s="2071" customFormat="1" x14ac:dyDescent="0.25">
      <c r="H440" s="2074"/>
    </row>
    <row r="441" spans="8:8" s="2071" customFormat="1" x14ac:dyDescent="0.25">
      <c r="H441" s="2074"/>
    </row>
    <row r="442" spans="8:8" s="2071" customFormat="1" x14ac:dyDescent="0.25">
      <c r="H442" s="2074"/>
    </row>
    <row r="443" spans="8:8" s="2071" customFormat="1" x14ac:dyDescent="0.25">
      <c r="H443" s="2074"/>
    </row>
    <row r="444" spans="8:8" s="2071" customFormat="1" x14ac:dyDescent="0.25">
      <c r="H444" s="2074"/>
    </row>
    <row r="445" spans="8:8" s="2071" customFormat="1" x14ac:dyDescent="0.25">
      <c r="H445" s="2074"/>
    </row>
    <row r="446" spans="8:8" s="2071" customFormat="1" x14ac:dyDescent="0.25">
      <c r="H446" s="2074"/>
    </row>
    <row r="447" spans="8:8" s="2071" customFormat="1" x14ac:dyDescent="0.25">
      <c r="H447" s="2074"/>
    </row>
    <row r="448" spans="8:8" s="2071" customFormat="1" x14ac:dyDescent="0.25">
      <c r="H448" s="2074"/>
    </row>
    <row r="449" spans="8:8" s="2071" customFormat="1" x14ac:dyDescent="0.25">
      <c r="H449" s="2074"/>
    </row>
    <row r="450" spans="8:8" s="2071" customFormat="1" x14ac:dyDescent="0.25">
      <c r="H450" s="2074"/>
    </row>
    <row r="451" spans="8:8" s="2071" customFormat="1" x14ac:dyDescent="0.25">
      <c r="H451" s="2074"/>
    </row>
    <row r="452" spans="8:8" s="2071" customFormat="1" x14ac:dyDescent="0.25">
      <c r="H452" s="2074"/>
    </row>
    <row r="453" spans="8:8" s="2071" customFormat="1" x14ac:dyDescent="0.25">
      <c r="H453" s="2074"/>
    </row>
    <row r="454" spans="8:8" s="2071" customFormat="1" x14ac:dyDescent="0.25">
      <c r="H454" s="2074"/>
    </row>
    <row r="455" spans="8:8" s="2071" customFormat="1" x14ac:dyDescent="0.25">
      <c r="H455" s="2074"/>
    </row>
    <row r="456" spans="8:8" s="2071" customFormat="1" x14ac:dyDescent="0.25">
      <c r="H456" s="2074"/>
    </row>
    <row r="457" spans="8:8" s="2071" customFormat="1" x14ac:dyDescent="0.25">
      <c r="H457" s="2074"/>
    </row>
    <row r="458" spans="8:8" s="2071" customFormat="1" x14ac:dyDescent="0.25">
      <c r="H458" s="2074"/>
    </row>
    <row r="459" spans="8:8" s="2071" customFormat="1" x14ac:dyDescent="0.25">
      <c r="H459" s="2074"/>
    </row>
    <row r="460" spans="8:8" s="2071" customFormat="1" x14ac:dyDescent="0.25">
      <c r="H460" s="2074"/>
    </row>
    <row r="461" spans="8:8" s="2071" customFormat="1" x14ac:dyDescent="0.25">
      <c r="H461" s="2074"/>
    </row>
    <row r="462" spans="8:8" s="2071" customFormat="1" x14ac:dyDescent="0.25">
      <c r="H462" s="2074"/>
    </row>
    <row r="463" spans="8:8" s="2071" customFormat="1" x14ac:dyDescent="0.25">
      <c r="H463" s="2074"/>
    </row>
    <row r="464" spans="8:8" s="2071" customFormat="1" x14ac:dyDescent="0.25">
      <c r="H464" s="2074"/>
    </row>
    <row r="465" spans="8:8" s="2071" customFormat="1" x14ac:dyDescent="0.25">
      <c r="H465" s="2074"/>
    </row>
    <row r="466" spans="8:8" s="2071" customFormat="1" x14ac:dyDescent="0.25">
      <c r="H466" s="2074"/>
    </row>
    <row r="467" spans="8:8" s="2071" customFormat="1" x14ac:dyDescent="0.25">
      <c r="H467" s="2074"/>
    </row>
    <row r="468" spans="8:8" s="2071" customFormat="1" x14ac:dyDescent="0.25">
      <c r="H468" s="2074"/>
    </row>
    <row r="469" spans="8:8" s="2071" customFormat="1" x14ac:dyDescent="0.25">
      <c r="H469" s="2074"/>
    </row>
    <row r="470" spans="8:8" s="2071" customFormat="1" x14ac:dyDescent="0.25">
      <c r="H470" s="2074"/>
    </row>
    <row r="471" spans="8:8" s="2071" customFormat="1" x14ac:dyDescent="0.25">
      <c r="H471" s="2074"/>
    </row>
    <row r="472" spans="8:8" s="2071" customFormat="1" x14ac:dyDescent="0.25">
      <c r="H472" s="2074"/>
    </row>
    <row r="473" spans="8:8" s="2071" customFormat="1" x14ac:dyDescent="0.25">
      <c r="H473" s="2074"/>
    </row>
    <row r="474" spans="8:8" s="2071" customFormat="1" x14ac:dyDescent="0.25">
      <c r="H474" s="2074"/>
    </row>
    <row r="475" spans="8:8" s="2071" customFormat="1" x14ac:dyDescent="0.25">
      <c r="H475" s="2074"/>
    </row>
    <row r="476" spans="8:8" s="2071" customFormat="1" x14ac:dyDescent="0.25">
      <c r="H476" s="2074"/>
    </row>
    <row r="477" spans="8:8" s="2071" customFormat="1" x14ac:dyDescent="0.25">
      <c r="H477" s="2074"/>
    </row>
    <row r="478" spans="8:8" s="2071" customFormat="1" x14ac:dyDescent="0.25">
      <c r="H478" s="2074"/>
    </row>
    <row r="479" spans="8:8" s="2071" customFormat="1" x14ac:dyDescent="0.25">
      <c r="H479" s="2074"/>
    </row>
    <row r="480" spans="8:8" s="2071" customFormat="1" x14ac:dyDescent="0.25">
      <c r="H480" s="2074"/>
    </row>
    <row r="481" spans="8:8" s="2071" customFormat="1" x14ac:dyDescent="0.25">
      <c r="H481" s="2074"/>
    </row>
    <row r="482" spans="8:8" s="2071" customFormat="1" x14ac:dyDescent="0.25">
      <c r="H482" s="2074"/>
    </row>
    <row r="483" spans="8:8" s="2071" customFormat="1" x14ac:dyDescent="0.25">
      <c r="H483" s="2074"/>
    </row>
    <row r="484" spans="8:8" s="2071" customFormat="1" x14ac:dyDescent="0.25">
      <c r="H484" s="2074"/>
    </row>
    <row r="485" spans="8:8" s="2071" customFormat="1" x14ac:dyDescent="0.25">
      <c r="H485" s="2074"/>
    </row>
    <row r="486" spans="8:8" s="2071" customFormat="1" x14ac:dyDescent="0.25">
      <c r="H486" s="2074"/>
    </row>
    <row r="487" spans="8:8" s="2071" customFormat="1" x14ac:dyDescent="0.25">
      <c r="H487" s="2074"/>
    </row>
    <row r="488" spans="8:8" s="2071" customFormat="1" x14ac:dyDescent="0.25">
      <c r="H488" s="2074"/>
    </row>
    <row r="489" spans="8:8" s="2071" customFormat="1" x14ac:dyDescent="0.25">
      <c r="H489" s="2074"/>
    </row>
    <row r="490" spans="8:8" s="2071" customFormat="1" x14ac:dyDescent="0.25">
      <c r="H490" s="2074"/>
    </row>
    <row r="491" spans="8:8" s="2071" customFormat="1" x14ac:dyDescent="0.25">
      <c r="H491" s="2074"/>
    </row>
    <row r="492" spans="8:8" s="2071" customFormat="1" x14ac:dyDescent="0.25">
      <c r="H492" s="2074"/>
    </row>
    <row r="493" spans="8:8" s="2071" customFormat="1" x14ac:dyDescent="0.25">
      <c r="H493" s="2074"/>
    </row>
    <row r="494" spans="8:8" s="2071" customFormat="1" x14ac:dyDescent="0.25">
      <c r="H494" s="2074"/>
    </row>
    <row r="495" spans="8:8" s="2071" customFormat="1" x14ac:dyDescent="0.25">
      <c r="H495" s="2074"/>
    </row>
    <row r="496" spans="8:8" s="2071" customFormat="1" x14ac:dyDescent="0.25">
      <c r="H496" s="2074"/>
    </row>
    <row r="497" spans="8:8" s="2071" customFormat="1" x14ac:dyDescent="0.25">
      <c r="H497" s="2074"/>
    </row>
    <row r="498" spans="8:8" s="2071" customFormat="1" x14ac:dyDescent="0.25">
      <c r="H498" s="2074"/>
    </row>
    <row r="499" spans="8:8" s="2071" customFormat="1" x14ac:dyDescent="0.25">
      <c r="H499" s="2074"/>
    </row>
    <row r="500" spans="8:8" s="2071" customFormat="1" x14ac:dyDescent="0.25">
      <c r="H500" s="2074"/>
    </row>
    <row r="501" spans="8:8" s="2071" customFormat="1" x14ac:dyDescent="0.25">
      <c r="H501" s="2074"/>
    </row>
    <row r="502" spans="8:8" s="2071" customFormat="1" x14ac:dyDescent="0.25">
      <c r="H502" s="2074"/>
    </row>
    <row r="503" spans="8:8" s="2071" customFormat="1" x14ac:dyDescent="0.25">
      <c r="H503" s="2074"/>
    </row>
    <row r="504" spans="8:8" s="2071" customFormat="1" x14ac:dyDescent="0.25">
      <c r="H504" s="2074"/>
    </row>
    <row r="505" spans="8:8" s="2071" customFormat="1" x14ac:dyDescent="0.25">
      <c r="H505" s="2074"/>
    </row>
    <row r="506" spans="8:8" s="2071" customFormat="1" x14ac:dyDescent="0.25">
      <c r="H506" s="2074"/>
    </row>
    <row r="507" spans="8:8" s="2071" customFormat="1" x14ac:dyDescent="0.25">
      <c r="H507" s="2074"/>
    </row>
    <row r="508" spans="8:8" s="2071" customFormat="1" x14ac:dyDescent="0.25">
      <c r="H508" s="2074"/>
    </row>
    <row r="509" spans="8:8" s="2071" customFormat="1" x14ac:dyDescent="0.25">
      <c r="H509" s="2074"/>
    </row>
    <row r="510" spans="8:8" s="2071" customFormat="1" x14ac:dyDescent="0.25">
      <c r="H510" s="2074"/>
    </row>
    <row r="511" spans="8:8" s="2071" customFormat="1" x14ac:dyDescent="0.25">
      <c r="H511" s="2074"/>
    </row>
    <row r="512" spans="8:8" s="2071" customFormat="1" x14ac:dyDescent="0.25">
      <c r="H512" s="2074"/>
    </row>
    <row r="513" spans="8:8" s="2071" customFormat="1" x14ac:dyDescent="0.25">
      <c r="H513" s="2074"/>
    </row>
    <row r="514" spans="8:8" s="2071" customFormat="1" x14ac:dyDescent="0.25">
      <c r="H514" s="2074"/>
    </row>
    <row r="515" spans="8:8" s="2071" customFormat="1" x14ac:dyDescent="0.25">
      <c r="H515" s="2074"/>
    </row>
    <row r="516" spans="8:8" s="2071" customFormat="1" x14ac:dyDescent="0.25">
      <c r="H516" s="2074"/>
    </row>
    <row r="517" spans="8:8" s="2071" customFormat="1" x14ac:dyDescent="0.25">
      <c r="H517" s="2074"/>
    </row>
    <row r="518" spans="8:8" s="2071" customFormat="1" x14ac:dyDescent="0.25">
      <c r="H518" s="2074"/>
    </row>
    <row r="519" spans="8:8" s="2071" customFormat="1" x14ac:dyDescent="0.25">
      <c r="H519" s="2074"/>
    </row>
    <row r="520" spans="8:8" s="2071" customFormat="1" x14ac:dyDescent="0.25">
      <c r="H520" s="2074"/>
    </row>
    <row r="521" spans="8:8" s="2071" customFormat="1" x14ac:dyDescent="0.25">
      <c r="H521" s="2074"/>
    </row>
    <row r="522" spans="8:8" s="2071" customFormat="1" x14ac:dyDescent="0.25">
      <c r="H522" s="2074"/>
    </row>
    <row r="523" spans="8:8" s="2071" customFormat="1" x14ac:dyDescent="0.25">
      <c r="H523" s="2074"/>
    </row>
    <row r="524" spans="8:8" s="2071" customFormat="1" x14ac:dyDescent="0.25">
      <c r="H524" s="2074"/>
    </row>
    <row r="525" spans="8:8" s="2071" customFormat="1" x14ac:dyDescent="0.25">
      <c r="H525" s="2074"/>
    </row>
    <row r="526" spans="8:8" s="2071" customFormat="1" x14ac:dyDescent="0.25">
      <c r="H526" s="2074"/>
    </row>
    <row r="527" spans="8:8" s="2071" customFormat="1" x14ac:dyDescent="0.25">
      <c r="H527" s="2074"/>
    </row>
    <row r="528" spans="8:8" s="2071" customFormat="1" x14ac:dyDescent="0.25">
      <c r="H528" s="2074"/>
    </row>
    <row r="529" spans="8:8" s="2071" customFormat="1" x14ac:dyDescent="0.25">
      <c r="H529" s="2074"/>
    </row>
    <row r="530" spans="8:8" s="2071" customFormat="1" x14ac:dyDescent="0.25">
      <c r="H530" s="2074"/>
    </row>
    <row r="531" spans="8:8" s="2071" customFormat="1" x14ac:dyDescent="0.25">
      <c r="H531" s="2074"/>
    </row>
    <row r="532" spans="8:8" s="2071" customFormat="1" x14ac:dyDescent="0.25">
      <c r="H532" s="2074"/>
    </row>
    <row r="533" spans="8:8" s="2071" customFormat="1" x14ac:dyDescent="0.25">
      <c r="H533" s="2074"/>
    </row>
    <row r="534" spans="8:8" s="2071" customFormat="1" x14ac:dyDescent="0.25">
      <c r="H534" s="2074"/>
    </row>
    <row r="535" spans="8:8" s="2071" customFormat="1" x14ac:dyDescent="0.25">
      <c r="H535" s="2074"/>
    </row>
    <row r="536" spans="8:8" s="2071" customFormat="1" x14ac:dyDescent="0.25">
      <c r="H536" s="2074"/>
    </row>
    <row r="537" spans="8:8" s="2071" customFormat="1" x14ac:dyDescent="0.25">
      <c r="H537" s="2074"/>
    </row>
    <row r="538" spans="8:8" s="2071" customFormat="1" x14ac:dyDescent="0.25">
      <c r="H538" s="2074"/>
    </row>
    <row r="539" spans="8:8" s="2071" customFormat="1" x14ac:dyDescent="0.25">
      <c r="H539" s="2074"/>
    </row>
    <row r="540" spans="8:8" s="2071" customFormat="1" x14ac:dyDescent="0.25">
      <c r="H540" s="2074"/>
    </row>
    <row r="541" spans="8:8" s="2071" customFormat="1" x14ac:dyDescent="0.25">
      <c r="H541" s="2074"/>
    </row>
    <row r="542" spans="8:8" s="2071" customFormat="1" x14ac:dyDescent="0.25">
      <c r="H542" s="2074"/>
    </row>
    <row r="543" spans="8:8" s="2071" customFormat="1" x14ac:dyDescent="0.25">
      <c r="H543" s="2074"/>
    </row>
    <row r="544" spans="8:8" s="2071" customFormat="1" x14ac:dyDescent="0.25">
      <c r="H544" s="2074"/>
    </row>
    <row r="545" spans="8:8" s="2071" customFormat="1" x14ac:dyDescent="0.25">
      <c r="H545" s="2074"/>
    </row>
    <row r="546" spans="8:8" s="2071" customFormat="1" x14ac:dyDescent="0.25">
      <c r="H546" s="2074"/>
    </row>
    <row r="547" spans="8:8" s="2071" customFormat="1" x14ac:dyDescent="0.25">
      <c r="H547" s="2074"/>
    </row>
    <row r="548" spans="8:8" s="2071" customFormat="1" x14ac:dyDescent="0.25">
      <c r="H548" s="2074"/>
    </row>
    <row r="549" spans="8:8" s="2071" customFormat="1" x14ac:dyDescent="0.25">
      <c r="H549" s="2074"/>
    </row>
    <row r="550" spans="8:8" s="2071" customFormat="1" x14ac:dyDescent="0.25">
      <c r="H550" s="2074"/>
    </row>
    <row r="551" spans="8:8" s="2071" customFormat="1" x14ac:dyDescent="0.25">
      <c r="H551" s="2074"/>
    </row>
    <row r="552" spans="8:8" s="2071" customFormat="1" x14ac:dyDescent="0.25">
      <c r="H552" s="2074"/>
    </row>
    <row r="553" spans="8:8" s="2071" customFormat="1" x14ac:dyDescent="0.25">
      <c r="H553" s="2074"/>
    </row>
    <row r="554" spans="8:8" s="2071" customFormat="1" x14ac:dyDescent="0.25">
      <c r="H554" s="2074"/>
    </row>
    <row r="555" spans="8:8" s="2071" customFormat="1" x14ac:dyDescent="0.25">
      <c r="H555" s="2074"/>
    </row>
    <row r="556" spans="8:8" s="2071" customFormat="1" x14ac:dyDescent="0.25">
      <c r="H556" s="2074"/>
    </row>
    <row r="557" spans="8:8" s="2071" customFormat="1" x14ac:dyDescent="0.25">
      <c r="H557" s="2074"/>
    </row>
    <row r="558" spans="8:8" s="2071" customFormat="1" x14ac:dyDescent="0.25">
      <c r="H558" s="2074"/>
    </row>
    <row r="559" spans="8:8" s="2071" customFormat="1" x14ac:dyDescent="0.25">
      <c r="H559" s="2074"/>
    </row>
    <row r="560" spans="8:8" s="2071" customFormat="1" x14ac:dyDescent="0.25">
      <c r="H560" s="2074"/>
    </row>
    <row r="561" spans="8:8" s="2071" customFormat="1" x14ac:dyDescent="0.25">
      <c r="H561" s="2074"/>
    </row>
    <row r="562" spans="8:8" s="2071" customFormat="1" x14ac:dyDescent="0.25">
      <c r="H562" s="2074"/>
    </row>
    <row r="563" spans="8:8" s="2071" customFormat="1" x14ac:dyDescent="0.25">
      <c r="H563" s="2074"/>
    </row>
    <row r="564" spans="8:8" s="2071" customFormat="1" x14ac:dyDescent="0.25">
      <c r="H564" s="2074"/>
    </row>
    <row r="565" spans="8:8" s="2071" customFormat="1" x14ac:dyDescent="0.25">
      <c r="H565" s="2074"/>
    </row>
    <row r="566" spans="8:8" s="2071" customFormat="1" x14ac:dyDescent="0.25">
      <c r="H566" s="2074"/>
    </row>
    <row r="567" spans="8:8" s="2071" customFormat="1" x14ac:dyDescent="0.25">
      <c r="H567" s="2074"/>
    </row>
    <row r="568" spans="8:8" s="2071" customFormat="1" x14ac:dyDescent="0.25">
      <c r="H568" s="2074"/>
    </row>
    <row r="569" spans="8:8" s="2071" customFormat="1" x14ac:dyDescent="0.25">
      <c r="H569" s="2074"/>
    </row>
    <row r="570" spans="8:8" s="2071" customFormat="1" x14ac:dyDescent="0.25">
      <c r="H570" s="2074"/>
    </row>
    <row r="571" spans="8:8" s="2071" customFormat="1" x14ac:dyDescent="0.25">
      <c r="H571" s="2074"/>
    </row>
    <row r="572" spans="8:8" s="2071" customFormat="1" x14ac:dyDescent="0.25">
      <c r="H572" s="2074"/>
    </row>
    <row r="573" spans="8:8" s="2071" customFormat="1" x14ac:dyDescent="0.25">
      <c r="H573" s="2074"/>
    </row>
    <row r="574" spans="8:8" s="2071" customFormat="1" x14ac:dyDescent="0.25">
      <c r="H574" s="2074"/>
    </row>
    <row r="575" spans="8:8" s="2071" customFormat="1" x14ac:dyDescent="0.25">
      <c r="H575" s="2074"/>
    </row>
    <row r="576" spans="8:8" s="2071" customFormat="1" x14ac:dyDescent="0.25">
      <c r="H576" s="2074"/>
    </row>
    <row r="577" spans="8:8" s="2071" customFormat="1" x14ac:dyDescent="0.25">
      <c r="H577" s="2074"/>
    </row>
    <row r="578" spans="8:8" s="2071" customFormat="1" x14ac:dyDescent="0.25">
      <c r="H578" s="2074"/>
    </row>
    <row r="579" spans="8:8" s="2071" customFormat="1" x14ac:dyDescent="0.25">
      <c r="H579" s="2074"/>
    </row>
    <row r="580" spans="8:8" s="2071" customFormat="1" x14ac:dyDescent="0.25">
      <c r="H580" s="2074"/>
    </row>
    <row r="581" spans="8:8" s="2071" customFormat="1" x14ac:dyDescent="0.25">
      <c r="H581" s="2074"/>
    </row>
    <row r="582" spans="8:8" s="2071" customFormat="1" x14ac:dyDescent="0.25">
      <c r="H582" s="2074"/>
    </row>
    <row r="583" spans="8:8" s="2071" customFormat="1" x14ac:dyDescent="0.25">
      <c r="H583" s="2074"/>
    </row>
    <row r="584" spans="8:8" s="2071" customFormat="1" x14ac:dyDescent="0.25">
      <c r="H584" s="2074"/>
    </row>
    <row r="585" spans="8:8" s="2071" customFormat="1" x14ac:dyDescent="0.25">
      <c r="H585" s="2074"/>
    </row>
    <row r="586" spans="8:8" s="2071" customFormat="1" x14ac:dyDescent="0.25">
      <c r="H586" s="2074"/>
    </row>
    <row r="587" spans="8:8" s="2071" customFormat="1" x14ac:dyDescent="0.25">
      <c r="H587" s="2074"/>
    </row>
    <row r="588" spans="8:8" s="2071" customFormat="1" x14ac:dyDescent="0.25">
      <c r="H588" s="2074"/>
    </row>
    <row r="589" spans="8:8" s="2071" customFormat="1" x14ac:dyDescent="0.25">
      <c r="H589" s="2074"/>
    </row>
    <row r="590" spans="8:8" s="2071" customFormat="1" x14ac:dyDescent="0.25">
      <c r="H590" s="2074"/>
    </row>
    <row r="591" spans="8:8" s="2071" customFormat="1" x14ac:dyDescent="0.25">
      <c r="H591" s="2074"/>
    </row>
    <row r="592" spans="8:8" s="2071" customFormat="1" x14ac:dyDescent="0.25">
      <c r="H592" s="2074"/>
    </row>
    <row r="593" spans="8:8" s="2071" customFormat="1" x14ac:dyDescent="0.25">
      <c r="H593" s="2074"/>
    </row>
    <row r="594" spans="8:8" s="2071" customFormat="1" x14ac:dyDescent="0.25">
      <c r="H594" s="2074"/>
    </row>
    <row r="595" spans="8:8" s="2071" customFormat="1" x14ac:dyDescent="0.25">
      <c r="H595" s="2074"/>
    </row>
    <row r="596" spans="8:8" s="2071" customFormat="1" x14ac:dyDescent="0.25">
      <c r="H596" s="2074"/>
    </row>
    <row r="597" spans="8:8" s="2071" customFormat="1" x14ac:dyDescent="0.25">
      <c r="H597" s="2074"/>
    </row>
    <row r="598" spans="8:8" s="2071" customFormat="1" x14ac:dyDescent="0.25">
      <c r="H598" s="2074"/>
    </row>
    <row r="599" spans="8:8" s="2071" customFormat="1" x14ac:dyDescent="0.25">
      <c r="H599" s="2074"/>
    </row>
    <row r="600" spans="8:8" s="2071" customFormat="1" x14ac:dyDescent="0.25">
      <c r="H600" s="2074"/>
    </row>
    <row r="601" spans="8:8" s="2071" customFormat="1" x14ac:dyDescent="0.25">
      <c r="H601" s="2074"/>
    </row>
    <row r="602" spans="8:8" s="2071" customFormat="1" x14ac:dyDescent="0.25">
      <c r="H602" s="2074"/>
    </row>
    <row r="603" spans="8:8" s="2071" customFormat="1" x14ac:dyDescent="0.25">
      <c r="H603" s="2074"/>
    </row>
    <row r="604" spans="8:8" s="2071" customFormat="1" x14ac:dyDescent="0.25">
      <c r="H604" s="2074"/>
    </row>
    <row r="605" spans="8:8" s="2071" customFormat="1" x14ac:dyDescent="0.25">
      <c r="H605" s="2074"/>
    </row>
    <row r="606" spans="8:8" s="2071" customFormat="1" x14ac:dyDescent="0.25">
      <c r="H606" s="2074"/>
    </row>
    <row r="607" spans="8:8" s="2071" customFormat="1" x14ac:dyDescent="0.25">
      <c r="H607" s="2074"/>
    </row>
    <row r="608" spans="8:8" s="2071" customFormat="1" x14ac:dyDescent="0.25">
      <c r="H608" s="2074"/>
    </row>
    <row r="609" spans="8:8" s="2071" customFormat="1" x14ac:dyDescent="0.25">
      <c r="H609" s="2074"/>
    </row>
    <row r="610" spans="8:8" s="2071" customFormat="1" x14ac:dyDescent="0.25">
      <c r="H610" s="2074"/>
    </row>
    <row r="611" spans="8:8" s="2071" customFormat="1" x14ac:dyDescent="0.25">
      <c r="H611" s="2074"/>
    </row>
    <row r="612" spans="8:8" s="2071" customFormat="1" x14ac:dyDescent="0.25">
      <c r="H612" s="2074"/>
    </row>
    <row r="613" spans="8:8" s="2071" customFormat="1" x14ac:dyDescent="0.25">
      <c r="H613" s="2074"/>
    </row>
    <row r="614" spans="8:8" s="2071" customFormat="1" x14ac:dyDescent="0.25">
      <c r="H614" s="2074"/>
    </row>
    <row r="615" spans="8:8" s="2071" customFormat="1" x14ac:dyDescent="0.25">
      <c r="H615" s="2074"/>
    </row>
    <row r="616" spans="8:8" s="2071" customFormat="1" x14ac:dyDescent="0.25">
      <c r="H616" s="2074"/>
    </row>
    <row r="617" spans="8:8" s="2071" customFormat="1" x14ac:dyDescent="0.25">
      <c r="H617" s="2074"/>
    </row>
    <row r="618" spans="8:8" s="2071" customFormat="1" x14ac:dyDescent="0.25">
      <c r="H618" s="2074"/>
    </row>
    <row r="619" spans="8:8" s="2071" customFormat="1" x14ac:dyDescent="0.25">
      <c r="H619" s="2074"/>
    </row>
    <row r="620" spans="8:8" s="2071" customFormat="1" x14ac:dyDescent="0.25">
      <c r="H620" s="2074"/>
    </row>
    <row r="621" spans="8:8" s="2071" customFormat="1" x14ac:dyDescent="0.25">
      <c r="H621" s="2074"/>
    </row>
    <row r="622" spans="8:8" s="2071" customFormat="1" x14ac:dyDescent="0.25">
      <c r="H622" s="2074"/>
    </row>
    <row r="623" spans="8:8" s="2071" customFormat="1" x14ac:dyDescent="0.25">
      <c r="H623" s="2074"/>
    </row>
    <row r="624" spans="8:8" s="2071" customFormat="1" x14ac:dyDescent="0.25">
      <c r="H624" s="2074"/>
    </row>
    <row r="625" spans="8:8" s="2071" customFormat="1" x14ac:dyDescent="0.25">
      <c r="H625" s="2074"/>
    </row>
    <row r="626" spans="8:8" s="2071" customFormat="1" x14ac:dyDescent="0.25">
      <c r="H626" s="2074"/>
    </row>
    <row r="627" spans="8:8" s="2071" customFormat="1" x14ac:dyDescent="0.25">
      <c r="H627" s="2074"/>
    </row>
    <row r="628" spans="8:8" s="2071" customFormat="1" x14ac:dyDescent="0.25">
      <c r="H628" s="2074"/>
    </row>
    <row r="629" spans="8:8" s="2071" customFormat="1" x14ac:dyDescent="0.25">
      <c r="H629" s="2074"/>
    </row>
    <row r="630" spans="8:8" s="2071" customFormat="1" x14ac:dyDescent="0.25">
      <c r="H630" s="2074"/>
    </row>
    <row r="631" spans="8:8" s="2071" customFormat="1" x14ac:dyDescent="0.25">
      <c r="H631" s="2074"/>
    </row>
    <row r="632" spans="8:8" s="2071" customFormat="1" x14ac:dyDescent="0.25">
      <c r="H632" s="2074"/>
    </row>
    <row r="633" spans="8:8" s="2071" customFormat="1" x14ac:dyDescent="0.25">
      <c r="H633" s="2074"/>
    </row>
    <row r="634" spans="8:8" s="2071" customFormat="1" x14ac:dyDescent="0.25">
      <c r="H634" s="2074"/>
    </row>
    <row r="635" spans="8:8" s="2071" customFormat="1" x14ac:dyDescent="0.25">
      <c r="H635" s="2074"/>
    </row>
    <row r="636" spans="8:8" s="2071" customFormat="1" x14ac:dyDescent="0.25">
      <c r="H636" s="2074"/>
    </row>
    <row r="637" spans="8:8" s="2071" customFormat="1" x14ac:dyDescent="0.25">
      <c r="H637" s="2074"/>
    </row>
    <row r="638" spans="8:8" s="2071" customFormat="1" x14ac:dyDescent="0.25">
      <c r="H638" s="2074"/>
    </row>
    <row r="639" spans="8:8" s="2071" customFormat="1" x14ac:dyDescent="0.25">
      <c r="H639" s="2074"/>
    </row>
    <row r="640" spans="8:8" s="2071" customFormat="1" x14ac:dyDescent="0.25">
      <c r="H640" s="2074"/>
    </row>
    <row r="641" spans="8:8" s="2071" customFormat="1" x14ac:dyDescent="0.25">
      <c r="H641" s="2074"/>
    </row>
    <row r="642" spans="8:8" s="2071" customFormat="1" x14ac:dyDescent="0.25">
      <c r="H642" s="2074"/>
    </row>
    <row r="643" spans="8:8" s="2071" customFormat="1" x14ac:dyDescent="0.25">
      <c r="H643" s="2074"/>
    </row>
    <row r="644" spans="8:8" s="2071" customFormat="1" x14ac:dyDescent="0.25">
      <c r="H644" s="2074"/>
    </row>
    <row r="645" spans="8:8" s="2071" customFormat="1" x14ac:dyDescent="0.25">
      <c r="H645" s="2074"/>
    </row>
    <row r="646" spans="8:8" s="2071" customFormat="1" x14ac:dyDescent="0.25">
      <c r="H646" s="2074"/>
    </row>
    <row r="647" spans="8:8" s="2071" customFormat="1" x14ac:dyDescent="0.25">
      <c r="H647" s="2074"/>
    </row>
    <row r="648" spans="8:8" s="2071" customFormat="1" x14ac:dyDescent="0.25">
      <c r="H648" s="2074"/>
    </row>
    <row r="649" spans="8:8" s="2071" customFormat="1" x14ac:dyDescent="0.25">
      <c r="H649" s="2074"/>
    </row>
    <row r="650" spans="8:8" s="2071" customFormat="1" x14ac:dyDescent="0.25">
      <c r="H650" s="2074"/>
    </row>
    <row r="651" spans="8:8" s="2071" customFormat="1" x14ac:dyDescent="0.25">
      <c r="H651" s="2074"/>
    </row>
    <row r="652" spans="8:8" s="2071" customFormat="1" x14ac:dyDescent="0.25">
      <c r="H652" s="2074"/>
    </row>
    <row r="653" spans="8:8" s="2071" customFormat="1" x14ac:dyDescent="0.25">
      <c r="H653" s="2074"/>
    </row>
    <row r="654" spans="8:8" s="2071" customFormat="1" x14ac:dyDescent="0.25">
      <c r="H654" s="2074"/>
    </row>
    <row r="655" spans="8:8" s="2071" customFormat="1" x14ac:dyDescent="0.25">
      <c r="H655" s="2074"/>
    </row>
    <row r="656" spans="8:8" s="2071" customFormat="1" x14ac:dyDescent="0.25">
      <c r="H656" s="2074"/>
    </row>
    <row r="657" spans="8:8" s="2071" customFormat="1" x14ac:dyDescent="0.25">
      <c r="H657" s="2074"/>
    </row>
    <row r="658" spans="8:8" s="2071" customFormat="1" x14ac:dyDescent="0.25">
      <c r="H658" s="2074"/>
    </row>
    <row r="659" spans="8:8" s="2071" customFormat="1" x14ac:dyDescent="0.25">
      <c r="H659" s="2074"/>
    </row>
    <row r="660" spans="8:8" s="2071" customFormat="1" x14ac:dyDescent="0.25">
      <c r="H660" s="2074"/>
    </row>
    <row r="661" spans="8:8" s="2071" customFormat="1" x14ac:dyDescent="0.25">
      <c r="H661" s="2074"/>
    </row>
    <row r="662" spans="8:8" s="2071" customFormat="1" x14ac:dyDescent="0.25">
      <c r="H662" s="2074"/>
    </row>
    <row r="663" spans="8:8" s="2071" customFormat="1" x14ac:dyDescent="0.25">
      <c r="H663" s="2074"/>
    </row>
    <row r="664" spans="8:8" s="2071" customFormat="1" x14ac:dyDescent="0.25">
      <c r="H664" s="2074"/>
    </row>
    <row r="665" spans="8:8" s="2071" customFormat="1" x14ac:dyDescent="0.25">
      <c r="H665" s="2074"/>
    </row>
    <row r="666" spans="8:8" s="2071" customFormat="1" x14ac:dyDescent="0.25">
      <c r="H666" s="2074"/>
    </row>
    <row r="667" spans="8:8" s="2071" customFormat="1" x14ac:dyDescent="0.25">
      <c r="H667" s="2074"/>
    </row>
    <row r="668" spans="8:8" s="2071" customFormat="1" x14ac:dyDescent="0.25">
      <c r="H668" s="2074"/>
    </row>
    <row r="669" spans="8:8" s="2071" customFormat="1" x14ac:dyDescent="0.25">
      <c r="H669" s="2074"/>
    </row>
    <row r="670" spans="8:8" s="2071" customFormat="1" x14ac:dyDescent="0.25">
      <c r="H670" s="2074"/>
    </row>
    <row r="671" spans="8:8" s="2071" customFormat="1" x14ac:dyDescent="0.25">
      <c r="H671" s="2074"/>
    </row>
    <row r="672" spans="8:8" s="2071" customFormat="1" x14ac:dyDescent="0.25">
      <c r="H672" s="2074"/>
    </row>
    <row r="673" spans="8:8" s="2071" customFormat="1" x14ac:dyDescent="0.25">
      <c r="H673" s="2074"/>
    </row>
    <row r="674" spans="8:8" s="2071" customFormat="1" x14ac:dyDescent="0.25">
      <c r="H674" s="2074"/>
    </row>
    <row r="675" spans="8:8" s="2071" customFormat="1" x14ac:dyDescent="0.25">
      <c r="H675" s="2074"/>
    </row>
    <row r="676" spans="8:8" s="2071" customFormat="1" x14ac:dyDescent="0.25">
      <c r="H676" s="2074"/>
    </row>
    <row r="677" spans="8:8" s="2071" customFormat="1" x14ac:dyDescent="0.25">
      <c r="H677" s="2074"/>
    </row>
    <row r="678" spans="8:8" s="2071" customFormat="1" x14ac:dyDescent="0.25">
      <c r="H678" s="2074"/>
    </row>
    <row r="679" spans="8:8" s="2071" customFormat="1" x14ac:dyDescent="0.25">
      <c r="H679" s="2074"/>
    </row>
    <row r="680" spans="8:8" s="2071" customFormat="1" x14ac:dyDescent="0.25">
      <c r="H680" s="2074"/>
    </row>
    <row r="681" spans="8:8" s="2071" customFormat="1" x14ac:dyDescent="0.25">
      <c r="H681" s="2074"/>
    </row>
    <row r="682" spans="8:8" s="2071" customFormat="1" x14ac:dyDescent="0.25">
      <c r="H682" s="2074"/>
    </row>
    <row r="683" spans="8:8" s="2071" customFormat="1" x14ac:dyDescent="0.25">
      <c r="H683" s="2074"/>
    </row>
    <row r="684" spans="8:8" s="2071" customFormat="1" x14ac:dyDescent="0.25">
      <c r="H684" s="2074"/>
    </row>
    <row r="685" spans="8:8" s="2071" customFormat="1" x14ac:dyDescent="0.25">
      <c r="H685" s="2074"/>
    </row>
    <row r="686" spans="8:8" s="2071" customFormat="1" x14ac:dyDescent="0.25">
      <c r="H686" s="2074"/>
    </row>
    <row r="687" spans="8:8" s="2071" customFormat="1" x14ac:dyDescent="0.25">
      <c r="H687" s="2074"/>
    </row>
    <row r="688" spans="8:8" s="2071" customFormat="1" x14ac:dyDescent="0.25">
      <c r="H688" s="2074"/>
    </row>
    <row r="689" spans="8:8" s="2071" customFormat="1" x14ac:dyDescent="0.25">
      <c r="H689" s="2074"/>
    </row>
    <row r="690" spans="8:8" s="2071" customFormat="1" x14ac:dyDescent="0.25">
      <c r="H690" s="2074"/>
    </row>
    <row r="691" spans="8:8" s="2071" customFormat="1" x14ac:dyDescent="0.25">
      <c r="H691" s="2074"/>
    </row>
    <row r="692" spans="8:8" s="2071" customFormat="1" x14ac:dyDescent="0.25">
      <c r="H692" s="2074"/>
    </row>
    <row r="693" spans="8:8" s="2071" customFormat="1" x14ac:dyDescent="0.25">
      <c r="H693" s="2074"/>
    </row>
    <row r="694" spans="8:8" s="2071" customFormat="1" x14ac:dyDescent="0.25">
      <c r="H694" s="2074"/>
    </row>
    <row r="695" spans="8:8" s="2071" customFormat="1" x14ac:dyDescent="0.25">
      <c r="H695" s="2074"/>
    </row>
    <row r="696" spans="8:8" s="2071" customFormat="1" x14ac:dyDescent="0.25">
      <c r="H696" s="2074"/>
    </row>
    <row r="697" spans="8:8" s="2071" customFormat="1" x14ac:dyDescent="0.25">
      <c r="H697" s="2074"/>
    </row>
    <row r="698" spans="8:8" s="2071" customFormat="1" x14ac:dyDescent="0.25">
      <c r="H698" s="2074"/>
    </row>
    <row r="699" spans="8:8" s="2071" customFormat="1" x14ac:dyDescent="0.25">
      <c r="H699" s="2074"/>
    </row>
    <row r="700" spans="8:8" s="2071" customFormat="1" x14ac:dyDescent="0.25">
      <c r="H700" s="2074"/>
    </row>
    <row r="701" spans="8:8" s="2071" customFormat="1" x14ac:dyDescent="0.25">
      <c r="H701" s="2074"/>
    </row>
    <row r="702" spans="8:8" s="2071" customFormat="1" x14ac:dyDescent="0.25">
      <c r="H702" s="2074"/>
    </row>
    <row r="703" spans="8:8" s="2071" customFormat="1" x14ac:dyDescent="0.25">
      <c r="H703" s="2074"/>
    </row>
    <row r="704" spans="8:8" s="2071" customFormat="1" x14ac:dyDescent="0.25">
      <c r="H704" s="2074"/>
    </row>
    <row r="705" spans="8:8" s="2071" customFormat="1" x14ac:dyDescent="0.25">
      <c r="H705" s="2074"/>
    </row>
    <row r="706" spans="8:8" s="2071" customFormat="1" x14ac:dyDescent="0.25">
      <c r="H706" s="2074"/>
    </row>
    <row r="707" spans="8:8" s="2071" customFormat="1" x14ac:dyDescent="0.25">
      <c r="H707" s="2074"/>
    </row>
    <row r="708" spans="8:8" s="2071" customFormat="1" x14ac:dyDescent="0.25">
      <c r="H708" s="2074"/>
    </row>
    <row r="709" spans="8:8" s="2071" customFormat="1" x14ac:dyDescent="0.25">
      <c r="H709" s="2074"/>
    </row>
    <row r="710" spans="8:8" s="2071" customFormat="1" x14ac:dyDescent="0.25">
      <c r="H710" s="2074"/>
    </row>
    <row r="711" spans="8:8" s="2071" customFormat="1" x14ac:dyDescent="0.25">
      <c r="H711" s="2074"/>
    </row>
    <row r="712" spans="8:8" s="2071" customFormat="1" x14ac:dyDescent="0.25">
      <c r="H712" s="2074"/>
    </row>
    <row r="713" spans="8:8" s="2071" customFormat="1" x14ac:dyDescent="0.25">
      <c r="H713" s="2074"/>
    </row>
    <row r="714" spans="8:8" s="2071" customFormat="1" x14ac:dyDescent="0.25">
      <c r="H714" s="2074"/>
    </row>
    <row r="715" spans="8:8" s="2071" customFormat="1" x14ac:dyDescent="0.25">
      <c r="H715" s="2074"/>
    </row>
    <row r="716" spans="8:8" s="2071" customFormat="1" x14ac:dyDescent="0.25">
      <c r="H716" s="2074"/>
    </row>
    <row r="717" spans="8:8" s="2071" customFormat="1" x14ac:dyDescent="0.25">
      <c r="H717" s="2074"/>
    </row>
    <row r="718" spans="8:8" s="2071" customFormat="1" x14ac:dyDescent="0.25">
      <c r="H718" s="2074"/>
    </row>
    <row r="719" spans="8:8" s="2071" customFormat="1" x14ac:dyDescent="0.25">
      <c r="H719" s="2074"/>
    </row>
    <row r="720" spans="8:8" s="2071" customFormat="1" x14ac:dyDescent="0.25">
      <c r="H720" s="2074"/>
    </row>
    <row r="721" spans="8:8" s="2071" customFormat="1" x14ac:dyDescent="0.25">
      <c r="H721" s="2074"/>
    </row>
    <row r="722" spans="8:8" s="2071" customFormat="1" x14ac:dyDescent="0.25">
      <c r="H722" s="2074"/>
    </row>
    <row r="723" spans="8:8" s="2071" customFormat="1" x14ac:dyDescent="0.25">
      <c r="H723" s="2074"/>
    </row>
    <row r="724" spans="8:8" s="2071" customFormat="1" x14ac:dyDescent="0.25">
      <c r="H724" s="2074"/>
    </row>
    <row r="725" spans="8:8" s="2071" customFormat="1" x14ac:dyDescent="0.25">
      <c r="H725" s="2074"/>
    </row>
    <row r="726" spans="8:8" s="2071" customFormat="1" x14ac:dyDescent="0.25">
      <c r="H726" s="2074"/>
    </row>
    <row r="727" spans="8:8" s="2071" customFormat="1" x14ac:dyDescent="0.25">
      <c r="H727" s="2074"/>
    </row>
    <row r="728" spans="8:8" s="2071" customFormat="1" x14ac:dyDescent="0.25">
      <c r="H728" s="2074"/>
    </row>
    <row r="729" spans="8:8" s="2071" customFormat="1" x14ac:dyDescent="0.25">
      <c r="H729" s="2074"/>
    </row>
    <row r="730" spans="8:8" s="2071" customFormat="1" x14ac:dyDescent="0.25">
      <c r="H730" s="2074"/>
    </row>
    <row r="731" spans="8:8" s="2071" customFormat="1" x14ac:dyDescent="0.25">
      <c r="H731" s="2074"/>
    </row>
    <row r="732" spans="8:8" s="2071" customFormat="1" x14ac:dyDescent="0.25">
      <c r="H732" s="2074"/>
    </row>
    <row r="733" spans="8:8" s="2071" customFormat="1" x14ac:dyDescent="0.25">
      <c r="H733" s="2074"/>
    </row>
    <row r="734" spans="8:8" s="2071" customFormat="1" x14ac:dyDescent="0.25">
      <c r="H734" s="2074"/>
    </row>
    <row r="735" spans="8:8" s="2071" customFormat="1" x14ac:dyDescent="0.25">
      <c r="H735" s="2074"/>
    </row>
    <row r="736" spans="8:8" s="2071" customFormat="1" x14ac:dyDescent="0.25">
      <c r="H736" s="2074"/>
    </row>
    <row r="737" spans="8:8" s="2071" customFormat="1" x14ac:dyDescent="0.25">
      <c r="H737" s="2074"/>
    </row>
    <row r="738" spans="8:8" s="2071" customFormat="1" x14ac:dyDescent="0.25">
      <c r="H738" s="2074"/>
    </row>
    <row r="739" spans="8:8" s="2071" customFormat="1" x14ac:dyDescent="0.25">
      <c r="H739" s="2074"/>
    </row>
    <row r="740" spans="8:8" s="2071" customFormat="1" x14ac:dyDescent="0.25">
      <c r="H740" s="2074"/>
    </row>
    <row r="741" spans="8:8" s="2071" customFormat="1" x14ac:dyDescent="0.25">
      <c r="H741" s="2074"/>
    </row>
    <row r="742" spans="8:8" s="2071" customFormat="1" x14ac:dyDescent="0.25">
      <c r="H742" s="2074"/>
    </row>
    <row r="743" spans="8:8" s="2071" customFormat="1" x14ac:dyDescent="0.25">
      <c r="H743" s="2074"/>
    </row>
    <row r="744" spans="8:8" s="2071" customFormat="1" x14ac:dyDescent="0.25">
      <c r="H744" s="2074"/>
    </row>
    <row r="745" spans="8:8" s="2071" customFormat="1" x14ac:dyDescent="0.25">
      <c r="H745" s="2074"/>
    </row>
    <row r="746" spans="8:8" s="2071" customFormat="1" x14ac:dyDescent="0.25">
      <c r="H746" s="2074"/>
    </row>
    <row r="747" spans="8:8" s="2071" customFormat="1" x14ac:dyDescent="0.25">
      <c r="H747" s="2074"/>
    </row>
    <row r="748" spans="8:8" s="2071" customFormat="1" x14ac:dyDescent="0.25">
      <c r="H748" s="2074"/>
    </row>
    <row r="749" spans="8:8" s="2071" customFormat="1" x14ac:dyDescent="0.25">
      <c r="H749" s="2074"/>
    </row>
    <row r="750" spans="8:8" s="2071" customFormat="1" x14ac:dyDescent="0.25">
      <c r="H750" s="2074"/>
    </row>
    <row r="751" spans="8:8" s="2071" customFormat="1" x14ac:dyDescent="0.25">
      <c r="H751" s="2074"/>
    </row>
    <row r="752" spans="8:8" s="2071" customFormat="1" x14ac:dyDescent="0.25">
      <c r="H752" s="2074"/>
    </row>
    <row r="753" spans="8:8" s="2071" customFormat="1" x14ac:dyDescent="0.25">
      <c r="H753" s="2074"/>
    </row>
    <row r="754" spans="8:8" s="2071" customFormat="1" x14ac:dyDescent="0.25">
      <c r="H754" s="2074"/>
    </row>
    <row r="755" spans="8:8" s="2071" customFormat="1" x14ac:dyDescent="0.25">
      <c r="H755" s="2074"/>
    </row>
    <row r="756" spans="8:8" s="2071" customFormat="1" x14ac:dyDescent="0.25">
      <c r="H756" s="2074"/>
    </row>
    <row r="757" spans="8:8" s="2071" customFormat="1" x14ac:dyDescent="0.25">
      <c r="H757" s="2074"/>
    </row>
    <row r="758" spans="8:8" s="2071" customFormat="1" x14ac:dyDescent="0.25">
      <c r="H758" s="2074"/>
    </row>
    <row r="759" spans="8:8" s="2071" customFormat="1" x14ac:dyDescent="0.25">
      <c r="H759" s="2074"/>
    </row>
    <row r="760" spans="8:8" s="2071" customFormat="1" x14ac:dyDescent="0.25">
      <c r="H760" s="2074"/>
    </row>
    <row r="761" spans="8:8" s="2071" customFormat="1" x14ac:dyDescent="0.25">
      <c r="H761" s="2074"/>
    </row>
    <row r="762" spans="8:8" s="2071" customFormat="1" x14ac:dyDescent="0.25">
      <c r="H762" s="2074"/>
    </row>
    <row r="763" spans="8:8" s="2071" customFormat="1" x14ac:dyDescent="0.25">
      <c r="H763" s="2074"/>
    </row>
    <row r="764" spans="8:8" s="2071" customFormat="1" x14ac:dyDescent="0.25">
      <c r="H764" s="2074"/>
    </row>
    <row r="765" spans="8:8" s="2071" customFormat="1" x14ac:dyDescent="0.25">
      <c r="H765" s="2074"/>
    </row>
    <row r="766" spans="8:8" s="2071" customFormat="1" x14ac:dyDescent="0.25">
      <c r="H766" s="2074"/>
    </row>
    <row r="767" spans="8:8" s="2071" customFormat="1" x14ac:dyDescent="0.25">
      <c r="H767" s="2074"/>
    </row>
    <row r="768" spans="8:8" s="2071" customFormat="1" x14ac:dyDescent="0.25">
      <c r="H768" s="2074"/>
    </row>
    <row r="769" spans="8:8" s="2071" customFormat="1" x14ac:dyDescent="0.25">
      <c r="H769" s="2074"/>
    </row>
    <row r="770" spans="8:8" s="2071" customFormat="1" x14ac:dyDescent="0.25">
      <c r="H770" s="2074"/>
    </row>
    <row r="771" spans="8:8" s="2071" customFormat="1" x14ac:dyDescent="0.25">
      <c r="H771" s="2074"/>
    </row>
    <row r="772" spans="8:8" s="2071" customFormat="1" x14ac:dyDescent="0.25">
      <c r="H772" s="2074"/>
    </row>
    <row r="773" spans="8:8" s="2071" customFormat="1" x14ac:dyDescent="0.25">
      <c r="H773" s="2074"/>
    </row>
    <row r="774" spans="8:8" s="2071" customFormat="1" x14ac:dyDescent="0.25">
      <c r="H774" s="2074"/>
    </row>
    <row r="775" spans="8:8" s="2071" customFormat="1" x14ac:dyDescent="0.25">
      <c r="H775" s="2074"/>
    </row>
    <row r="776" spans="8:8" s="2071" customFormat="1" x14ac:dyDescent="0.25">
      <c r="H776" s="2074"/>
    </row>
    <row r="777" spans="8:8" s="2071" customFormat="1" x14ac:dyDescent="0.25">
      <c r="H777" s="2074"/>
    </row>
    <row r="778" spans="8:8" s="2071" customFormat="1" x14ac:dyDescent="0.25">
      <c r="H778" s="2074"/>
    </row>
    <row r="779" spans="8:8" s="2071" customFormat="1" x14ac:dyDescent="0.25">
      <c r="H779" s="2074"/>
    </row>
    <row r="780" spans="8:8" s="2071" customFormat="1" x14ac:dyDescent="0.25">
      <c r="H780" s="2074"/>
    </row>
    <row r="781" spans="8:8" s="2071" customFormat="1" x14ac:dyDescent="0.25">
      <c r="H781" s="2074"/>
    </row>
    <row r="782" spans="8:8" s="2071" customFormat="1" x14ac:dyDescent="0.25">
      <c r="H782" s="2074"/>
    </row>
    <row r="783" spans="8:8" s="2071" customFormat="1" x14ac:dyDescent="0.25">
      <c r="H783" s="2074"/>
    </row>
    <row r="784" spans="8:8" s="2071" customFormat="1" x14ac:dyDescent="0.25">
      <c r="H784" s="2074"/>
    </row>
    <row r="785" spans="8:8" s="2071" customFormat="1" x14ac:dyDescent="0.25">
      <c r="H785" s="2074"/>
    </row>
    <row r="786" spans="8:8" s="2071" customFormat="1" x14ac:dyDescent="0.25">
      <c r="H786" s="2074"/>
    </row>
    <row r="787" spans="8:8" s="2071" customFormat="1" x14ac:dyDescent="0.25">
      <c r="H787" s="2074"/>
    </row>
    <row r="788" spans="8:8" s="2071" customFormat="1" x14ac:dyDescent="0.25">
      <c r="H788" s="2074"/>
    </row>
    <row r="789" spans="8:8" s="2071" customFormat="1" x14ac:dyDescent="0.25">
      <c r="H789" s="2074"/>
    </row>
    <row r="790" spans="8:8" s="2071" customFormat="1" x14ac:dyDescent="0.25">
      <c r="H790" s="2074"/>
    </row>
    <row r="791" spans="8:8" s="2071" customFormat="1" x14ac:dyDescent="0.25">
      <c r="H791" s="2074"/>
    </row>
    <row r="792" spans="8:8" s="2071" customFormat="1" x14ac:dyDescent="0.25">
      <c r="H792" s="2074"/>
    </row>
    <row r="793" spans="8:8" s="2071" customFormat="1" x14ac:dyDescent="0.25">
      <c r="H793" s="2074"/>
    </row>
    <row r="794" spans="8:8" s="2071" customFormat="1" x14ac:dyDescent="0.25">
      <c r="H794" s="2074"/>
    </row>
    <row r="795" spans="8:8" s="2071" customFormat="1" x14ac:dyDescent="0.25">
      <c r="H795" s="2074"/>
    </row>
    <row r="796" spans="8:8" s="2071" customFormat="1" x14ac:dyDescent="0.25">
      <c r="H796" s="2074"/>
    </row>
    <row r="797" spans="8:8" s="2071" customFormat="1" x14ac:dyDescent="0.25">
      <c r="H797" s="2074"/>
    </row>
    <row r="798" spans="8:8" s="2071" customFormat="1" x14ac:dyDescent="0.25">
      <c r="H798" s="2074"/>
    </row>
    <row r="799" spans="8:8" s="2071" customFormat="1" x14ac:dyDescent="0.25">
      <c r="H799" s="2074"/>
    </row>
    <row r="800" spans="8:8" s="2071" customFormat="1" x14ac:dyDescent="0.25">
      <c r="H800" s="2074"/>
    </row>
    <row r="801" spans="8:8" s="2071" customFormat="1" x14ac:dyDescent="0.25">
      <c r="H801" s="2074"/>
    </row>
    <row r="802" spans="8:8" s="2071" customFormat="1" x14ac:dyDescent="0.25">
      <c r="H802" s="2074"/>
    </row>
    <row r="803" spans="8:8" s="2071" customFormat="1" x14ac:dyDescent="0.25">
      <c r="H803" s="2074"/>
    </row>
    <row r="804" spans="8:8" s="2071" customFormat="1" x14ac:dyDescent="0.25">
      <c r="H804" s="2074"/>
    </row>
    <row r="805" spans="8:8" s="2071" customFormat="1" x14ac:dyDescent="0.25">
      <c r="H805" s="2074"/>
    </row>
    <row r="806" spans="8:8" s="2071" customFormat="1" x14ac:dyDescent="0.25">
      <c r="H806" s="2074"/>
    </row>
    <row r="807" spans="8:8" s="2071" customFormat="1" x14ac:dyDescent="0.25">
      <c r="H807" s="2074"/>
    </row>
    <row r="808" spans="8:8" s="2071" customFormat="1" x14ac:dyDescent="0.25">
      <c r="H808" s="2074"/>
    </row>
    <row r="809" spans="8:8" s="2071" customFormat="1" x14ac:dyDescent="0.25">
      <c r="H809" s="2074"/>
    </row>
    <row r="810" spans="8:8" s="2071" customFormat="1" x14ac:dyDescent="0.25">
      <c r="H810" s="2074"/>
    </row>
    <row r="811" spans="8:8" s="2071" customFormat="1" x14ac:dyDescent="0.25">
      <c r="H811" s="2074"/>
    </row>
    <row r="812" spans="8:8" s="2071" customFormat="1" x14ac:dyDescent="0.25">
      <c r="H812" s="2074"/>
    </row>
    <row r="813" spans="8:8" s="2071" customFormat="1" x14ac:dyDescent="0.25">
      <c r="H813" s="2074"/>
    </row>
    <row r="814" spans="8:8" s="2071" customFormat="1" x14ac:dyDescent="0.25">
      <c r="H814" s="2074"/>
    </row>
    <row r="815" spans="8:8" s="2071" customFormat="1" x14ac:dyDescent="0.25">
      <c r="H815" s="2074"/>
    </row>
    <row r="816" spans="8:8" s="2071" customFormat="1" x14ac:dyDescent="0.25">
      <c r="H816" s="2074"/>
    </row>
    <row r="817" spans="8:8" s="2071" customFormat="1" x14ac:dyDescent="0.25">
      <c r="H817" s="2074"/>
    </row>
    <row r="818" spans="8:8" s="2071" customFormat="1" x14ac:dyDescent="0.25">
      <c r="H818" s="2074"/>
    </row>
    <row r="819" spans="8:8" s="2071" customFormat="1" x14ac:dyDescent="0.25">
      <c r="H819" s="2074"/>
    </row>
    <row r="820" spans="8:8" s="2071" customFormat="1" x14ac:dyDescent="0.25">
      <c r="H820" s="2074"/>
    </row>
    <row r="821" spans="8:8" s="2071" customFormat="1" x14ac:dyDescent="0.25">
      <c r="H821" s="2074"/>
    </row>
    <row r="822" spans="8:8" s="2071" customFormat="1" x14ac:dyDescent="0.25">
      <c r="H822" s="2074"/>
    </row>
    <row r="823" spans="8:8" s="2071" customFormat="1" x14ac:dyDescent="0.25">
      <c r="H823" s="2074"/>
    </row>
    <row r="824" spans="8:8" s="2071" customFormat="1" x14ac:dyDescent="0.25">
      <c r="H824" s="2074"/>
    </row>
    <row r="825" spans="8:8" s="2071" customFormat="1" x14ac:dyDescent="0.25">
      <c r="H825" s="2074"/>
    </row>
    <row r="826" spans="8:8" s="2071" customFormat="1" x14ac:dyDescent="0.25">
      <c r="H826" s="2074"/>
    </row>
    <row r="827" spans="8:8" s="2071" customFormat="1" x14ac:dyDescent="0.25">
      <c r="H827" s="2074"/>
    </row>
    <row r="828" spans="8:8" s="2071" customFormat="1" x14ac:dyDescent="0.25">
      <c r="H828" s="2074"/>
    </row>
    <row r="829" spans="8:8" s="2071" customFormat="1" x14ac:dyDescent="0.25">
      <c r="H829" s="2074"/>
    </row>
    <row r="830" spans="8:8" s="2071" customFormat="1" x14ac:dyDescent="0.25">
      <c r="H830" s="2074"/>
    </row>
    <row r="831" spans="8:8" s="2071" customFormat="1" x14ac:dyDescent="0.25">
      <c r="H831" s="2074"/>
    </row>
    <row r="832" spans="8:8" s="2071" customFormat="1" x14ac:dyDescent="0.25">
      <c r="H832" s="2074"/>
    </row>
    <row r="833" spans="8:8" s="2071" customFormat="1" x14ac:dyDescent="0.25">
      <c r="H833" s="2074"/>
    </row>
    <row r="834" spans="8:8" s="2071" customFormat="1" x14ac:dyDescent="0.25">
      <c r="H834" s="2074"/>
    </row>
    <row r="835" spans="8:8" s="2071" customFormat="1" x14ac:dyDescent="0.25">
      <c r="H835" s="2074"/>
    </row>
    <row r="836" spans="8:8" s="2071" customFormat="1" x14ac:dyDescent="0.25">
      <c r="H836" s="2074"/>
    </row>
    <row r="837" spans="8:8" s="2071" customFormat="1" x14ac:dyDescent="0.25">
      <c r="H837" s="2074"/>
    </row>
    <row r="838" spans="8:8" s="2071" customFormat="1" x14ac:dyDescent="0.25">
      <c r="H838" s="2074"/>
    </row>
    <row r="839" spans="8:8" s="2071" customFormat="1" x14ac:dyDescent="0.25">
      <c r="H839" s="2074"/>
    </row>
    <row r="840" spans="8:8" s="2071" customFormat="1" x14ac:dyDescent="0.25">
      <c r="H840" s="2074"/>
    </row>
    <row r="841" spans="8:8" s="2071" customFormat="1" x14ac:dyDescent="0.25">
      <c r="H841" s="2074"/>
    </row>
    <row r="842" spans="8:8" s="2071" customFormat="1" x14ac:dyDescent="0.25">
      <c r="H842" s="2074"/>
    </row>
    <row r="843" spans="8:8" s="2071" customFormat="1" x14ac:dyDescent="0.25">
      <c r="H843" s="2074"/>
    </row>
    <row r="844" spans="8:8" s="2071" customFormat="1" x14ac:dyDescent="0.25">
      <c r="H844" s="2074"/>
    </row>
    <row r="845" spans="8:8" s="2071" customFormat="1" x14ac:dyDescent="0.25">
      <c r="H845" s="2074"/>
    </row>
    <row r="846" spans="8:8" s="2071" customFormat="1" x14ac:dyDescent="0.25">
      <c r="H846" s="2074"/>
    </row>
    <row r="847" spans="8:8" s="2071" customFormat="1" x14ac:dyDescent="0.25">
      <c r="H847" s="2074"/>
    </row>
    <row r="848" spans="8:8" s="2071" customFormat="1" x14ac:dyDescent="0.25">
      <c r="H848" s="2074"/>
    </row>
    <row r="849" spans="8:8" s="2071" customFormat="1" x14ac:dyDescent="0.25">
      <c r="H849" s="2074"/>
    </row>
    <row r="850" spans="8:8" s="2071" customFormat="1" x14ac:dyDescent="0.25">
      <c r="H850" s="2074"/>
    </row>
    <row r="851" spans="8:8" s="2071" customFormat="1" x14ac:dyDescent="0.25">
      <c r="H851" s="2074"/>
    </row>
    <row r="852" spans="8:8" s="2071" customFormat="1" x14ac:dyDescent="0.25">
      <c r="H852" s="2074"/>
    </row>
    <row r="853" spans="8:8" s="2071" customFormat="1" x14ac:dyDescent="0.25">
      <c r="H853" s="2074"/>
    </row>
    <row r="854" spans="8:8" s="2071" customFormat="1" x14ac:dyDescent="0.25">
      <c r="H854" s="2074"/>
    </row>
    <row r="855" spans="8:8" s="2071" customFormat="1" x14ac:dyDescent="0.25">
      <c r="H855" s="2074"/>
    </row>
    <row r="856" spans="8:8" s="2071" customFormat="1" x14ac:dyDescent="0.25">
      <c r="H856" s="2074"/>
    </row>
    <row r="857" spans="8:8" s="2071" customFormat="1" x14ac:dyDescent="0.25">
      <c r="H857" s="2074"/>
    </row>
    <row r="858" spans="8:8" s="2071" customFormat="1" x14ac:dyDescent="0.25">
      <c r="H858" s="2074"/>
    </row>
    <row r="859" spans="8:8" s="2071" customFormat="1" x14ac:dyDescent="0.25">
      <c r="H859" s="2074"/>
    </row>
    <row r="860" spans="8:8" s="2071" customFormat="1" x14ac:dyDescent="0.25">
      <c r="H860" s="2074"/>
    </row>
    <row r="861" spans="8:8" s="2071" customFormat="1" x14ac:dyDescent="0.25">
      <c r="H861" s="2074"/>
    </row>
    <row r="862" spans="8:8" s="2071" customFormat="1" x14ac:dyDescent="0.25">
      <c r="H862" s="2074"/>
    </row>
    <row r="863" spans="8:8" s="2071" customFormat="1" x14ac:dyDescent="0.25">
      <c r="H863" s="2074"/>
    </row>
    <row r="864" spans="8:8" s="2071" customFormat="1" x14ac:dyDescent="0.25">
      <c r="H864" s="2074"/>
    </row>
    <row r="865" spans="8:8" s="2071" customFormat="1" x14ac:dyDescent="0.25">
      <c r="H865" s="2074"/>
    </row>
    <row r="866" spans="8:8" s="2071" customFormat="1" x14ac:dyDescent="0.25">
      <c r="H866" s="2074"/>
    </row>
    <row r="867" spans="8:8" s="2071" customFormat="1" x14ac:dyDescent="0.25">
      <c r="H867" s="2074"/>
    </row>
    <row r="868" spans="8:8" s="2071" customFormat="1" x14ac:dyDescent="0.25">
      <c r="H868" s="2074"/>
    </row>
    <row r="869" spans="8:8" s="2071" customFormat="1" x14ac:dyDescent="0.25">
      <c r="H869" s="2074"/>
    </row>
    <row r="870" spans="8:8" s="2071" customFormat="1" x14ac:dyDescent="0.25">
      <c r="H870" s="2074"/>
    </row>
    <row r="871" spans="8:8" s="2071" customFormat="1" x14ac:dyDescent="0.25">
      <c r="H871" s="2074"/>
    </row>
    <row r="872" spans="8:8" s="2071" customFormat="1" x14ac:dyDescent="0.25">
      <c r="H872" s="2074"/>
    </row>
    <row r="873" spans="8:8" s="2071" customFormat="1" x14ac:dyDescent="0.25">
      <c r="H873" s="2074"/>
    </row>
    <row r="874" spans="8:8" s="2071" customFormat="1" x14ac:dyDescent="0.25">
      <c r="H874" s="2074"/>
    </row>
    <row r="875" spans="8:8" s="2071" customFormat="1" x14ac:dyDescent="0.25">
      <c r="H875" s="2074"/>
    </row>
    <row r="876" spans="8:8" s="2071" customFormat="1" x14ac:dyDescent="0.25">
      <c r="H876" s="2074"/>
    </row>
    <row r="877" spans="8:8" s="2071" customFormat="1" x14ac:dyDescent="0.25">
      <c r="H877" s="2074"/>
    </row>
    <row r="878" spans="8:8" s="2071" customFormat="1" x14ac:dyDescent="0.25">
      <c r="H878" s="2074"/>
    </row>
    <row r="879" spans="8:8" s="2071" customFormat="1" x14ac:dyDescent="0.25">
      <c r="H879" s="2074"/>
    </row>
    <row r="880" spans="8:8" s="2071" customFormat="1" x14ac:dyDescent="0.25">
      <c r="H880" s="2074"/>
    </row>
    <row r="881" spans="8:8" s="2071" customFormat="1" x14ac:dyDescent="0.25">
      <c r="H881" s="2074"/>
    </row>
    <row r="882" spans="8:8" s="2071" customFormat="1" x14ac:dyDescent="0.25">
      <c r="H882" s="2074"/>
    </row>
    <row r="883" spans="8:8" s="2071" customFormat="1" x14ac:dyDescent="0.25">
      <c r="H883" s="2074"/>
    </row>
    <row r="884" spans="8:8" s="2071" customFormat="1" x14ac:dyDescent="0.25">
      <c r="H884" s="2074"/>
    </row>
    <row r="885" spans="8:8" s="2071" customFormat="1" x14ac:dyDescent="0.25">
      <c r="H885" s="2074"/>
    </row>
    <row r="886" spans="8:8" s="2071" customFormat="1" x14ac:dyDescent="0.25">
      <c r="H886" s="2074"/>
    </row>
    <row r="887" spans="8:8" s="2071" customFormat="1" x14ac:dyDescent="0.25">
      <c r="H887" s="2074"/>
    </row>
    <row r="888" spans="8:8" s="2071" customFormat="1" x14ac:dyDescent="0.25">
      <c r="H888" s="2074"/>
    </row>
    <row r="889" spans="8:8" s="2071" customFormat="1" x14ac:dyDescent="0.25">
      <c r="H889" s="2074"/>
    </row>
    <row r="890" spans="8:8" s="2071" customFormat="1" x14ac:dyDescent="0.25">
      <c r="H890" s="2074"/>
    </row>
    <row r="891" spans="8:8" s="2071" customFormat="1" x14ac:dyDescent="0.25">
      <c r="H891" s="2074"/>
    </row>
    <row r="892" spans="8:8" s="2071" customFormat="1" x14ac:dyDescent="0.25">
      <c r="H892" s="2074"/>
    </row>
    <row r="893" spans="8:8" s="2071" customFormat="1" x14ac:dyDescent="0.25">
      <c r="H893" s="2074"/>
    </row>
    <row r="894" spans="8:8" s="2071" customFormat="1" x14ac:dyDescent="0.25">
      <c r="H894" s="2074"/>
    </row>
    <row r="895" spans="8:8" s="2071" customFormat="1" x14ac:dyDescent="0.25">
      <c r="H895" s="2074"/>
    </row>
    <row r="896" spans="8:8" s="2071" customFormat="1" x14ac:dyDescent="0.25">
      <c r="H896" s="2074"/>
    </row>
    <row r="897" spans="8:8" s="2071" customFormat="1" x14ac:dyDescent="0.25">
      <c r="H897" s="2074"/>
    </row>
    <row r="898" spans="8:8" s="2071" customFormat="1" x14ac:dyDescent="0.25">
      <c r="H898" s="2074"/>
    </row>
    <row r="899" spans="8:8" s="2071" customFormat="1" x14ac:dyDescent="0.25">
      <c r="H899" s="2074"/>
    </row>
    <row r="900" spans="8:8" s="2071" customFormat="1" x14ac:dyDescent="0.25">
      <c r="H900" s="2074"/>
    </row>
    <row r="901" spans="8:8" s="2071" customFormat="1" x14ac:dyDescent="0.25">
      <c r="H901" s="2074"/>
    </row>
    <row r="902" spans="8:8" s="2071" customFormat="1" x14ac:dyDescent="0.25">
      <c r="H902" s="2074"/>
    </row>
    <row r="903" spans="8:8" s="2071" customFormat="1" x14ac:dyDescent="0.25">
      <c r="H903" s="2074"/>
    </row>
    <row r="904" spans="8:8" s="2071" customFormat="1" x14ac:dyDescent="0.25">
      <c r="H904" s="2074"/>
    </row>
    <row r="905" spans="8:8" s="2071" customFormat="1" x14ac:dyDescent="0.25">
      <c r="H905" s="2074"/>
    </row>
    <row r="906" spans="8:8" s="2071" customFormat="1" x14ac:dyDescent="0.25">
      <c r="H906" s="2074"/>
    </row>
    <row r="907" spans="8:8" s="2071" customFormat="1" x14ac:dyDescent="0.25">
      <c r="H907" s="2074"/>
    </row>
    <row r="908" spans="8:8" s="2071" customFormat="1" x14ac:dyDescent="0.25">
      <c r="H908" s="2074"/>
    </row>
    <row r="909" spans="8:8" s="2071" customFormat="1" x14ac:dyDescent="0.25">
      <c r="H909" s="2074"/>
    </row>
    <row r="910" spans="8:8" s="2071" customFormat="1" x14ac:dyDescent="0.25">
      <c r="H910" s="2074"/>
    </row>
    <row r="911" spans="8:8" s="2071" customFormat="1" x14ac:dyDescent="0.25">
      <c r="H911" s="2074"/>
    </row>
    <row r="912" spans="8:8" s="2071" customFormat="1" x14ac:dyDescent="0.25">
      <c r="H912" s="2074"/>
    </row>
    <row r="913" spans="8:8" s="2071" customFormat="1" x14ac:dyDescent="0.25">
      <c r="H913" s="2074"/>
    </row>
    <row r="914" spans="8:8" s="2071" customFormat="1" x14ac:dyDescent="0.25">
      <c r="H914" s="2074"/>
    </row>
    <row r="915" spans="8:8" s="2071" customFormat="1" x14ac:dyDescent="0.25">
      <c r="H915" s="2074"/>
    </row>
    <row r="916" spans="8:8" s="2071" customFormat="1" x14ac:dyDescent="0.25">
      <c r="H916" s="2074"/>
    </row>
    <row r="917" spans="8:8" s="2071" customFormat="1" x14ac:dyDescent="0.25">
      <c r="H917" s="2074"/>
    </row>
    <row r="918" spans="8:8" s="2071" customFormat="1" x14ac:dyDescent="0.25">
      <c r="H918" s="2074"/>
    </row>
    <row r="919" spans="8:8" s="2071" customFormat="1" x14ac:dyDescent="0.25">
      <c r="H919" s="2074"/>
    </row>
    <row r="920" spans="8:8" s="2071" customFormat="1" x14ac:dyDescent="0.25">
      <c r="H920" s="2074"/>
    </row>
    <row r="921" spans="8:8" s="2071" customFormat="1" x14ac:dyDescent="0.25">
      <c r="H921" s="2074"/>
    </row>
    <row r="922" spans="8:8" s="2071" customFormat="1" x14ac:dyDescent="0.25">
      <c r="H922" s="2074"/>
    </row>
    <row r="923" spans="8:8" s="2071" customFormat="1" x14ac:dyDescent="0.25">
      <c r="H923" s="2074"/>
    </row>
    <row r="924" spans="8:8" s="2071" customFormat="1" x14ac:dyDescent="0.25">
      <c r="H924" s="2074"/>
    </row>
    <row r="925" spans="8:8" s="2071" customFormat="1" x14ac:dyDescent="0.25">
      <c r="H925" s="2074"/>
    </row>
    <row r="926" spans="8:8" s="2071" customFormat="1" x14ac:dyDescent="0.25">
      <c r="H926" s="2074"/>
    </row>
    <row r="927" spans="8:8" s="2071" customFormat="1" x14ac:dyDescent="0.25">
      <c r="H927" s="2074"/>
    </row>
    <row r="928" spans="8:8" s="2071" customFormat="1" x14ac:dyDescent="0.25">
      <c r="H928" s="2074"/>
    </row>
    <row r="929" spans="8:8" s="2071" customFormat="1" x14ac:dyDescent="0.25">
      <c r="H929" s="2074"/>
    </row>
    <row r="930" spans="8:8" s="2071" customFormat="1" x14ac:dyDescent="0.25">
      <c r="H930" s="2074"/>
    </row>
    <row r="931" spans="8:8" s="2071" customFormat="1" x14ac:dyDescent="0.25">
      <c r="H931" s="2074"/>
    </row>
    <row r="932" spans="8:8" s="2071" customFormat="1" x14ac:dyDescent="0.25">
      <c r="H932" s="2074"/>
    </row>
    <row r="933" spans="8:8" s="2071" customFormat="1" x14ac:dyDescent="0.25">
      <c r="H933" s="2074"/>
    </row>
    <row r="934" spans="8:8" s="2071" customFormat="1" x14ac:dyDescent="0.25">
      <c r="H934" s="2074"/>
    </row>
    <row r="935" spans="8:8" s="2071" customFormat="1" x14ac:dyDescent="0.25">
      <c r="H935" s="2074"/>
    </row>
    <row r="936" spans="8:8" s="2071" customFormat="1" x14ac:dyDescent="0.25">
      <c r="H936" s="2074"/>
    </row>
    <row r="937" spans="8:8" s="2071" customFormat="1" x14ac:dyDescent="0.25">
      <c r="H937" s="2074"/>
    </row>
    <row r="938" spans="8:8" s="2071" customFormat="1" x14ac:dyDescent="0.25">
      <c r="H938" s="2074"/>
    </row>
    <row r="939" spans="8:8" s="2071" customFormat="1" x14ac:dyDescent="0.25">
      <c r="H939" s="2074"/>
    </row>
    <row r="940" spans="8:8" s="2071" customFormat="1" x14ac:dyDescent="0.25">
      <c r="H940" s="2074"/>
    </row>
    <row r="941" spans="8:8" s="2071" customFormat="1" x14ac:dyDescent="0.25">
      <c r="H941" s="2074"/>
    </row>
    <row r="942" spans="8:8" s="2071" customFormat="1" x14ac:dyDescent="0.25">
      <c r="H942" s="2074"/>
    </row>
    <row r="943" spans="8:8" s="2071" customFormat="1" x14ac:dyDescent="0.25">
      <c r="H943" s="2074"/>
    </row>
    <row r="944" spans="8:8" s="2071" customFormat="1" x14ac:dyDescent="0.25">
      <c r="H944" s="2074"/>
    </row>
    <row r="945" spans="8:8" s="2071" customFormat="1" x14ac:dyDescent="0.25">
      <c r="H945" s="2074"/>
    </row>
    <row r="946" spans="8:8" s="2071" customFormat="1" x14ac:dyDescent="0.25">
      <c r="H946" s="2074"/>
    </row>
    <row r="947" spans="8:8" s="2071" customFormat="1" x14ac:dyDescent="0.25">
      <c r="H947" s="2074"/>
    </row>
    <row r="948" spans="8:8" s="2071" customFormat="1" x14ac:dyDescent="0.25">
      <c r="H948" s="2074"/>
    </row>
    <row r="949" spans="8:8" s="2071" customFormat="1" x14ac:dyDescent="0.25">
      <c r="H949" s="2074"/>
    </row>
    <row r="950" spans="8:8" s="2071" customFormat="1" x14ac:dyDescent="0.25">
      <c r="H950" s="2074"/>
    </row>
    <row r="951" spans="8:8" s="2071" customFormat="1" x14ac:dyDescent="0.25">
      <c r="H951" s="2074"/>
    </row>
    <row r="952" spans="8:8" s="2071" customFormat="1" x14ac:dyDescent="0.25">
      <c r="H952" s="2074"/>
    </row>
    <row r="953" spans="8:8" s="2071" customFormat="1" x14ac:dyDescent="0.25">
      <c r="H953" s="2074"/>
    </row>
    <row r="954" spans="8:8" s="2071" customFormat="1" x14ac:dyDescent="0.25">
      <c r="H954" s="2074"/>
    </row>
    <row r="955" spans="8:8" s="2071" customFormat="1" x14ac:dyDescent="0.25">
      <c r="H955" s="2074"/>
    </row>
    <row r="956" spans="8:8" s="2071" customFormat="1" x14ac:dyDescent="0.25">
      <c r="H956" s="2074"/>
    </row>
    <row r="957" spans="8:8" s="2071" customFormat="1" x14ac:dyDescent="0.25">
      <c r="H957" s="2074"/>
    </row>
    <row r="958" spans="8:8" s="2071" customFormat="1" x14ac:dyDescent="0.25">
      <c r="H958" s="2074"/>
    </row>
    <row r="959" spans="8:8" s="2071" customFormat="1" x14ac:dyDescent="0.25">
      <c r="H959" s="2074"/>
    </row>
    <row r="960" spans="8:8" s="2071" customFormat="1" x14ac:dyDescent="0.25">
      <c r="H960" s="2074"/>
    </row>
    <row r="961" spans="8:8" s="2071" customFormat="1" x14ac:dyDescent="0.25">
      <c r="H961" s="2074"/>
    </row>
    <row r="962" spans="8:8" s="2071" customFormat="1" x14ac:dyDescent="0.25">
      <c r="H962" s="2074"/>
    </row>
    <row r="963" spans="8:8" s="2071" customFormat="1" x14ac:dyDescent="0.25">
      <c r="H963" s="2074"/>
    </row>
    <row r="964" spans="8:8" s="2071" customFormat="1" x14ac:dyDescent="0.25">
      <c r="H964" s="2074"/>
    </row>
    <row r="965" spans="8:8" s="2071" customFormat="1" x14ac:dyDescent="0.25">
      <c r="H965" s="2074"/>
    </row>
    <row r="966" spans="8:8" s="2071" customFormat="1" x14ac:dyDescent="0.25">
      <c r="H966" s="2074"/>
    </row>
    <row r="967" spans="8:8" s="2071" customFormat="1" x14ac:dyDescent="0.25">
      <c r="H967" s="2074"/>
    </row>
    <row r="968" spans="8:8" s="2071" customFormat="1" x14ac:dyDescent="0.25">
      <c r="H968" s="2074"/>
    </row>
    <row r="969" spans="8:8" s="2071" customFormat="1" x14ac:dyDescent="0.25">
      <c r="H969" s="2074"/>
    </row>
    <row r="970" spans="8:8" s="2071" customFormat="1" x14ac:dyDescent="0.25">
      <c r="H970" s="2074"/>
    </row>
    <row r="971" spans="8:8" s="2071" customFormat="1" x14ac:dyDescent="0.25">
      <c r="H971" s="2074"/>
    </row>
    <row r="972" spans="8:8" s="2071" customFormat="1" x14ac:dyDescent="0.25">
      <c r="H972" s="2074"/>
    </row>
    <row r="973" spans="8:8" s="2071" customFormat="1" x14ac:dyDescent="0.25">
      <c r="H973" s="2074"/>
    </row>
    <row r="974" spans="8:8" s="2071" customFormat="1" x14ac:dyDescent="0.25">
      <c r="H974" s="2074"/>
    </row>
    <row r="975" spans="8:8" s="2071" customFormat="1" x14ac:dyDescent="0.25">
      <c r="H975" s="2074"/>
    </row>
    <row r="976" spans="8:8" s="2071" customFormat="1" x14ac:dyDescent="0.25">
      <c r="H976" s="2074"/>
    </row>
    <row r="977" spans="8:8" s="2071" customFormat="1" x14ac:dyDescent="0.25">
      <c r="H977" s="2074"/>
    </row>
    <row r="978" spans="8:8" s="2071" customFormat="1" x14ac:dyDescent="0.25">
      <c r="H978" s="2074"/>
    </row>
    <row r="979" spans="8:8" s="2071" customFormat="1" x14ac:dyDescent="0.25">
      <c r="H979" s="2074"/>
    </row>
    <row r="980" spans="8:8" s="2071" customFormat="1" x14ac:dyDescent="0.25">
      <c r="H980" s="2074"/>
    </row>
    <row r="981" spans="8:8" s="2071" customFormat="1" x14ac:dyDescent="0.25">
      <c r="H981" s="2074"/>
    </row>
    <row r="982" spans="8:8" s="2071" customFormat="1" x14ac:dyDescent="0.25">
      <c r="H982" s="2074"/>
    </row>
    <row r="983" spans="8:8" s="2071" customFormat="1" x14ac:dyDescent="0.25">
      <c r="H983" s="2074"/>
    </row>
    <row r="984" spans="8:8" s="2071" customFormat="1" x14ac:dyDescent="0.25">
      <c r="H984" s="2074"/>
    </row>
    <row r="985" spans="8:8" s="2071" customFormat="1" x14ac:dyDescent="0.25">
      <c r="H985" s="2074"/>
    </row>
    <row r="986" spans="8:8" s="2071" customFormat="1" x14ac:dyDescent="0.25">
      <c r="H986" s="2074"/>
    </row>
    <row r="987" spans="8:8" s="2071" customFormat="1" x14ac:dyDescent="0.25">
      <c r="H987" s="2074"/>
    </row>
    <row r="988" spans="8:8" s="2071" customFormat="1" x14ac:dyDescent="0.25">
      <c r="H988" s="2074"/>
    </row>
    <row r="989" spans="8:8" s="2071" customFormat="1" x14ac:dyDescent="0.25">
      <c r="H989" s="2074"/>
    </row>
    <row r="990" spans="8:8" s="2071" customFormat="1" x14ac:dyDescent="0.25">
      <c r="H990" s="2074"/>
    </row>
    <row r="991" spans="8:8" s="2071" customFormat="1" x14ac:dyDescent="0.25">
      <c r="H991" s="2074"/>
    </row>
    <row r="992" spans="8:8" s="2071" customFormat="1" x14ac:dyDescent="0.25">
      <c r="H992" s="2074"/>
    </row>
    <row r="993" spans="8:8" s="2071" customFormat="1" x14ac:dyDescent="0.25">
      <c r="H993" s="2074"/>
    </row>
    <row r="994" spans="8:8" s="2071" customFormat="1" x14ac:dyDescent="0.25">
      <c r="H994" s="2074"/>
    </row>
    <row r="995" spans="8:8" s="2071" customFormat="1" x14ac:dyDescent="0.25">
      <c r="H995" s="2074"/>
    </row>
    <row r="996" spans="8:8" s="2071" customFormat="1" x14ac:dyDescent="0.25">
      <c r="H996" s="2074"/>
    </row>
    <row r="997" spans="8:8" s="2071" customFormat="1" x14ac:dyDescent="0.25">
      <c r="H997" s="2074"/>
    </row>
    <row r="998" spans="8:8" s="2071" customFormat="1" x14ac:dyDescent="0.25">
      <c r="H998" s="2074"/>
    </row>
    <row r="999" spans="8:8" s="2071" customFormat="1" x14ac:dyDescent="0.25">
      <c r="H999" s="2074"/>
    </row>
    <row r="1000" spans="8:8" s="2071" customFormat="1" x14ac:dyDescent="0.25">
      <c r="H1000" s="2074"/>
    </row>
    <row r="1001" spans="8:8" s="2071" customFormat="1" x14ac:dyDescent="0.25">
      <c r="H1001" s="2074"/>
    </row>
    <row r="1002" spans="8:8" s="2071" customFormat="1" x14ac:dyDescent="0.25">
      <c r="H1002" s="2074"/>
    </row>
    <row r="1003" spans="8:8" s="2071" customFormat="1" x14ac:dyDescent="0.25">
      <c r="H1003" s="2074"/>
    </row>
    <row r="1004" spans="8:8" s="2071" customFormat="1" x14ac:dyDescent="0.25">
      <c r="H1004" s="2074"/>
    </row>
    <row r="1005" spans="8:8" s="2071" customFormat="1" x14ac:dyDescent="0.25">
      <c r="H1005" s="2074"/>
    </row>
    <row r="1006" spans="8:8" s="2071" customFormat="1" x14ac:dyDescent="0.25">
      <c r="H1006" s="2074"/>
    </row>
    <row r="1007" spans="8:8" s="2071" customFormat="1" x14ac:dyDescent="0.25">
      <c r="H1007" s="2074"/>
    </row>
    <row r="1008" spans="8:8" s="2071" customFormat="1" x14ac:dyDescent="0.25">
      <c r="H1008" s="2074"/>
    </row>
    <row r="1009" spans="8:8" s="2071" customFormat="1" x14ac:dyDescent="0.25">
      <c r="H1009" s="2074"/>
    </row>
    <row r="1010" spans="8:8" s="2071" customFormat="1" x14ac:dyDescent="0.25">
      <c r="H1010" s="2074"/>
    </row>
    <row r="1011" spans="8:8" s="2071" customFormat="1" x14ac:dyDescent="0.25">
      <c r="H1011" s="2074"/>
    </row>
    <row r="1012" spans="8:8" s="2071" customFormat="1" x14ac:dyDescent="0.25">
      <c r="H1012" s="2074"/>
    </row>
    <row r="1013" spans="8:8" s="2071" customFormat="1" x14ac:dyDescent="0.25">
      <c r="H1013" s="2074"/>
    </row>
    <row r="1014" spans="8:8" s="2071" customFormat="1" x14ac:dyDescent="0.25">
      <c r="H1014" s="2074"/>
    </row>
    <row r="1015" spans="8:8" s="2071" customFormat="1" x14ac:dyDescent="0.25">
      <c r="H1015" s="2074"/>
    </row>
    <row r="1016" spans="8:8" s="2071" customFormat="1" x14ac:dyDescent="0.25">
      <c r="H1016" s="2074"/>
    </row>
    <row r="1017" spans="8:8" s="2071" customFormat="1" x14ac:dyDescent="0.25">
      <c r="H1017" s="2074"/>
    </row>
    <row r="1018" spans="8:8" s="2071" customFormat="1" x14ac:dyDescent="0.25">
      <c r="H1018" s="2074"/>
    </row>
    <row r="1019" spans="8:8" s="2071" customFormat="1" x14ac:dyDescent="0.25">
      <c r="H1019" s="2074"/>
    </row>
    <row r="1020" spans="8:8" s="2071" customFormat="1" x14ac:dyDescent="0.25">
      <c r="H1020" s="2074"/>
    </row>
    <row r="1021" spans="8:8" s="2071" customFormat="1" x14ac:dyDescent="0.25">
      <c r="H1021" s="2074"/>
    </row>
    <row r="1022" spans="8:8" s="2071" customFormat="1" x14ac:dyDescent="0.25">
      <c r="H1022" s="2074"/>
    </row>
    <row r="1023" spans="8:8" s="2071" customFormat="1" x14ac:dyDescent="0.25">
      <c r="H1023" s="2074"/>
    </row>
    <row r="1024" spans="8:8" s="2071" customFormat="1" x14ac:dyDescent="0.25">
      <c r="H1024" s="2074"/>
    </row>
    <row r="1025" spans="8:8" s="2071" customFormat="1" x14ac:dyDescent="0.25">
      <c r="H1025" s="2074"/>
    </row>
    <row r="1026" spans="8:8" s="2071" customFormat="1" x14ac:dyDescent="0.25">
      <c r="H1026" s="2074"/>
    </row>
    <row r="1027" spans="8:8" s="2071" customFormat="1" x14ac:dyDescent="0.25">
      <c r="H1027" s="2074"/>
    </row>
    <row r="1028" spans="8:8" s="2071" customFormat="1" x14ac:dyDescent="0.25">
      <c r="H1028" s="2074"/>
    </row>
    <row r="1029" spans="8:8" s="2071" customFormat="1" x14ac:dyDescent="0.25">
      <c r="H1029" s="2074"/>
    </row>
    <row r="1030" spans="8:8" s="2071" customFormat="1" x14ac:dyDescent="0.25">
      <c r="H1030" s="2074"/>
    </row>
    <row r="1031" spans="8:8" s="2071" customFormat="1" x14ac:dyDescent="0.25">
      <c r="H1031" s="2074"/>
    </row>
    <row r="1032" spans="8:8" s="2071" customFormat="1" x14ac:dyDescent="0.25">
      <c r="H1032" s="2074"/>
    </row>
    <row r="1033" spans="8:8" s="2071" customFormat="1" x14ac:dyDescent="0.25">
      <c r="H1033" s="2074"/>
    </row>
    <row r="1034" spans="8:8" s="2071" customFormat="1" x14ac:dyDescent="0.25">
      <c r="H1034" s="2074"/>
    </row>
    <row r="1035" spans="8:8" s="2071" customFormat="1" x14ac:dyDescent="0.25">
      <c r="H1035" s="2074"/>
    </row>
    <row r="1036" spans="8:8" s="2071" customFormat="1" x14ac:dyDescent="0.25">
      <c r="H1036" s="2074"/>
    </row>
    <row r="1037" spans="8:8" s="2071" customFormat="1" x14ac:dyDescent="0.25">
      <c r="H1037" s="2074"/>
    </row>
    <row r="1038" spans="8:8" s="2071" customFormat="1" x14ac:dyDescent="0.25">
      <c r="H1038" s="2074"/>
    </row>
    <row r="1039" spans="8:8" s="2071" customFormat="1" x14ac:dyDescent="0.25">
      <c r="H1039" s="2074"/>
    </row>
    <row r="1040" spans="8:8" s="2071" customFormat="1" x14ac:dyDescent="0.25">
      <c r="H1040" s="2074"/>
    </row>
    <row r="1041" spans="8:8" s="2071" customFormat="1" x14ac:dyDescent="0.25">
      <c r="H1041" s="2074"/>
    </row>
    <row r="1042" spans="8:8" s="2071" customFormat="1" x14ac:dyDescent="0.25">
      <c r="H1042" s="2074"/>
    </row>
    <row r="1043" spans="8:8" s="2071" customFormat="1" x14ac:dyDescent="0.25">
      <c r="H1043" s="2074"/>
    </row>
    <row r="1044" spans="8:8" s="2071" customFormat="1" x14ac:dyDescent="0.25">
      <c r="H1044" s="2074"/>
    </row>
    <row r="1045" spans="8:8" s="2071" customFormat="1" x14ac:dyDescent="0.25">
      <c r="H1045" s="2074"/>
    </row>
    <row r="1046" spans="8:8" s="2071" customFormat="1" x14ac:dyDescent="0.25">
      <c r="H1046" s="2074"/>
    </row>
    <row r="1047" spans="8:8" s="2071" customFormat="1" x14ac:dyDescent="0.25">
      <c r="H1047" s="2074"/>
    </row>
    <row r="1048" spans="8:8" s="2071" customFormat="1" x14ac:dyDescent="0.25">
      <c r="H1048" s="2074"/>
    </row>
    <row r="1049" spans="8:8" s="2071" customFormat="1" x14ac:dyDescent="0.25">
      <c r="H1049" s="2074"/>
    </row>
    <row r="1050" spans="8:8" s="2071" customFormat="1" x14ac:dyDescent="0.25">
      <c r="H1050" s="2074"/>
    </row>
    <row r="1051" spans="8:8" s="2071" customFormat="1" x14ac:dyDescent="0.25">
      <c r="H1051" s="2074"/>
    </row>
    <row r="1052" spans="8:8" s="2071" customFormat="1" x14ac:dyDescent="0.25">
      <c r="H1052" s="2074"/>
    </row>
    <row r="1053" spans="8:8" s="2071" customFormat="1" x14ac:dyDescent="0.25">
      <c r="H1053" s="2074"/>
    </row>
    <row r="1054" spans="8:8" s="2071" customFormat="1" x14ac:dyDescent="0.25">
      <c r="H1054" s="2074"/>
    </row>
    <row r="1055" spans="8:8" s="2071" customFormat="1" x14ac:dyDescent="0.25">
      <c r="H1055" s="2074"/>
    </row>
    <row r="1056" spans="8:8" s="2071" customFormat="1" x14ac:dyDescent="0.25">
      <c r="H1056" s="2074"/>
    </row>
    <row r="1057" spans="8:8" s="2071" customFormat="1" x14ac:dyDescent="0.25">
      <c r="H1057" s="2074"/>
    </row>
    <row r="1058" spans="8:8" s="2071" customFormat="1" x14ac:dyDescent="0.25">
      <c r="H1058" s="2074"/>
    </row>
    <row r="1059" spans="8:8" s="2071" customFormat="1" x14ac:dyDescent="0.25">
      <c r="H1059" s="2074"/>
    </row>
    <row r="1060" spans="8:8" s="2071" customFormat="1" x14ac:dyDescent="0.25">
      <c r="H1060" s="2074"/>
    </row>
    <row r="1061" spans="8:8" s="2071" customFormat="1" x14ac:dyDescent="0.25">
      <c r="H1061" s="2074"/>
    </row>
    <row r="1062" spans="8:8" s="2071" customFormat="1" x14ac:dyDescent="0.25">
      <c r="H1062" s="2074"/>
    </row>
    <row r="1063" spans="8:8" s="2071" customFormat="1" x14ac:dyDescent="0.25">
      <c r="H1063" s="2074"/>
    </row>
    <row r="1064" spans="8:8" s="2071" customFormat="1" x14ac:dyDescent="0.25">
      <c r="H1064" s="2074"/>
    </row>
    <row r="1065" spans="8:8" s="2071" customFormat="1" x14ac:dyDescent="0.25">
      <c r="H1065" s="2074"/>
    </row>
    <row r="1066" spans="8:8" s="2071" customFormat="1" x14ac:dyDescent="0.25">
      <c r="H1066" s="2074"/>
    </row>
    <row r="1067" spans="8:8" s="2071" customFormat="1" x14ac:dyDescent="0.25">
      <c r="H1067" s="2074"/>
    </row>
    <row r="1068" spans="8:8" s="2071" customFormat="1" x14ac:dyDescent="0.25">
      <c r="H1068" s="2074"/>
    </row>
    <row r="1069" spans="8:8" s="2071" customFormat="1" x14ac:dyDescent="0.25">
      <c r="H1069" s="2074"/>
    </row>
    <row r="1070" spans="8:8" s="2071" customFormat="1" x14ac:dyDescent="0.25">
      <c r="H1070" s="2074"/>
    </row>
    <row r="1071" spans="8:8" s="2071" customFormat="1" x14ac:dyDescent="0.25">
      <c r="H1071" s="2074"/>
    </row>
    <row r="1072" spans="8:8" s="2071" customFormat="1" x14ac:dyDescent="0.25">
      <c r="H1072" s="2074"/>
    </row>
    <row r="1073" spans="8:8" s="2071" customFormat="1" x14ac:dyDescent="0.25">
      <c r="H1073" s="2074"/>
    </row>
    <row r="1074" spans="8:8" s="2071" customFormat="1" x14ac:dyDescent="0.25">
      <c r="H1074" s="2074"/>
    </row>
    <row r="1075" spans="8:8" s="2071" customFormat="1" x14ac:dyDescent="0.25">
      <c r="H1075" s="2074"/>
    </row>
    <row r="1076" spans="8:8" s="2071" customFormat="1" x14ac:dyDescent="0.25">
      <c r="H1076" s="2074"/>
    </row>
    <row r="1077" spans="8:8" s="2071" customFormat="1" x14ac:dyDescent="0.25">
      <c r="H1077" s="2074"/>
    </row>
    <row r="1078" spans="8:8" s="2071" customFormat="1" x14ac:dyDescent="0.25">
      <c r="H1078" s="2074"/>
    </row>
    <row r="1079" spans="8:8" s="2071" customFormat="1" x14ac:dyDescent="0.25">
      <c r="H1079" s="2074"/>
    </row>
    <row r="1080" spans="8:8" s="2071" customFormat="1" x14ac:dyDescent="0.25">
      <c r="H1080" s="2074"/>
    </row>
    <row r="1081" spans="8:8" s="2071" customFormat="1" x14ac:dyDescent="0.25">
      <c r="H1081" s="2074"/>
    </row>
    <row r="1082" spans="8:8" s="2071" customFormat="1" x14ac:dyDescent="0.25">
      <c r="H1082" s="2074"/>
    </row>
    <row r="1083" spans="8:8" s="2071" customFormat="1" x14ac:dyDescent="0.25">
      <c r="H1083" s="2074"/>
    </row>
    <row r="1084" spans="8:8" s="2071" customFormat="1" x14ac:dyDescent="0.25">
      <c r="H1084" s="2074"/>
    </row>
    <row r="1085" spans="8:8" s="2071" customFormat="1" x14ac:dyDescent="0.25">
      <c r="H1085" s="2074"/>
    </row>
    <row r="1086" spans="8:8" s="2071" customFormat="1" x14ac:dyDescent="0.25">
      <c r="H1086" s="2074"/>
    </row>
    <row r="1087" spans="8:8" s="2071" customFormat="1" x14ac:dyDescent="0.25">
      <c r="H1087" s="2074"/>
    </row>
    <row r="1088" spans="8:8" s="2071" customFormat="1" x14ac:dyDescent="0.25">
      <c r="H1088" s="2074"/>
    </row>
    <row r="1089" spans="8:8" s="2071" customFormat="1" x14ac:dyDescent="0.25">
      <c r="H1089" s="2074"/>
    </row>
    <row r="1090" spans="8:8" s="2071" customFormat="1" x14ac:dyDescent="0.25">
      <c r="H1090" s="2074"/>
    </row>
    <row r="1091" spans="8:8" s="2071" customFormat="1" x14ac:dyDescent="0.25">
      <c r="H1091" s="2074"/>
    </row>
    <row r="1092" spans="8:8" s="2071" customFormat="1" x14ac:dyDescent="0.25">
      <c r="H1092" s="2074"/>
    </row>
    <row r="1093" spans="8:8" s="2071" customFormat="1" x14ac:dyDescent="0.25">
      <c r="H1093" s="2074"/>
    </row>
    <row r="1094" spans="8:8" s="2071" customFormat="1" x14ac:dyDescent="0.25">
      <c r="H1094" s="2074"/>
    </row>
    <row r="1095" spans="8:8" s="2071" customFormat="1" x14ac:dyDescent="0.25">
      <c r="H1095" s="2074"/>
    </row>
    <row r="1096" spans="8:8" s="2071" customFormat="1" x14ac:dyDescent="0.25">
      <c r="H1096" s="2074"/>
    </row>
    <row r="1097" spans="8:8" s="2071" customFormat="1" x14ac:dyDescent="0.25">
      <c r="H1097" s="2074"/>
    </row>
    <row r="1098" spans="8:8" s="2071" customFormat="1" x14ac:dyDescent="0.25">
      <c r="H1098" s="2074"/>
    </row>
    <row r="1099" spans="8:8" s="2071" customFormat="1" x14ac:dyDescent="0.25">
      <c r="H1099" s="2074"/>
    </row>
    <row r="1100" spans="8:8" s="2071" customFormat="1" x14ac:dyDescent="0.25">
      <c r="H1100" s="2074"/>
    </row>
    <row r="1101" spans="8:8" s="2071" customFormat="1" x14ac:dyDescent="0.25">
      <c r="H1101" s="2074"/>
    </row>
    <row r="1102" spans="8:8" s="2071" customFormat="1" x14ac:dyDescent="0.25">
      <c r="H1102" s="2074"/>
    </row>
    <row r="1103" spans="8:8" s="2071" customFormat="1" x14ac:dyDescent="0.25">
      <c r="H1103" s="2074"/>
    </row>
    <row r="1104" spans="8:8" s="2071" customFormat="1" x14ac:dyDescent="0.25">
      <c r="H1104" s="2074"/>
    </row>
    <row r="1105" spans="8:8" s="2071" customFormat="1" x14ac:dyDescent="0.25">
      <c r="H1105" s="2074"/>
    </row>
    <row r="1106" spans="8:8" s="2071" customFormat="1" x14ac:dyDescent="0.25">
      <c r="H1106" s="2074"/>
    </row>
    <row r="1107" spans="8:8" s="2071" customFormat="1" x14ac:dyDescent="0.25">
      <c r="H1107" s="2074"/>
    </row>
    <row r="1108" spans="8:8" s="2071" customFormat="1" x14ac:dyDescent="0.25">
      <c r="H1108" s="2074"/>
    </row>
    <row r="1109" spans="8:8" s="2071" customFormat="1" x14ac:dyDescent="0.25">
      <c r="H1109" s="2074"/>
    </row>
    <row r="1110" spans="8:8" s="2071" customFormat="1" x14ac:dyDescent="0.25">
      <c r="H1110" s="2074"/>
    </row>
    <row r="1111" spans="8:8" s="2071" customFormat="1" x14ac:dyDescent="0.25">
      <c r="H1111" s="2074"/>
    </row>
    <row r="1112" spans="8:8" s="2071" customFormat="1" x14ac:dyDescent="0.25">
      <c r="H1112" s="2074"/>
    </row>
    <row r="1113" spans="8:8" s="2071" customFormat="1" x14ac:dyDescent="0.25">
      <c r="H1113" s="2074"/>
    </row>
    <row r="1114" spans="8:8" s="2071" customFormat="1" x14ac:dyDescent="0.25">
      <c r="H1114" s="2074"/>
    </row>
    <row r="1115" spans="8:8" s="2071" customFormat="1" x14ac:dyDescent="0.25">
      <c r="H1115" s="2074"/>
    </row>
    <row r="1116" spans="8:8" s="2071" customFormat="1" x14ac:dyDescent="0.25">
      <c r="H1116" s="2074"/>
    </row>
    <row r="1117" spans="8:8" s="2071" customFormat="1" x14ac:dyDescent="0.25">
      <c r="H1117" s="2074"/>
    </row>
    <row r="1118" spans="8:8" s="2071" customFormat="1" x14ac:dyDescent="0.25">
      <c r="H1118" s="2074"/>
    </row>
    <row r="1119" spans="8:8" s="2071" customFormat="1" x14ac:dyDescent="0.25">
      <c r="H1119" s="2074"/>
    </row>
    <row r="1120" spans="8:8" s="2071" customFormat="1" x14ac:dyDescent="0.25">
      <c r="H1120" s="2074"/>
    </row>
    <row r="1121" spans="8:8" s="2071" customFormat="1" x14ac:dyDescent="0.25">
      <c r="H1121" s="2074"/>
    </row>
    <row r="1122" spans="8:8" s="2071" customFormat="1" x14ac:dyDescent="0.25">
      <c r="H1122" s="2074"/>
    </row>
    <row r="1123" spans="8:8" s="2071" customFormat="1" x14ac:dyDescent="0.25">
      <c r="H1123" s="2074"/>
    </row>
    <row r="1124" spans="8:8" s="2071" customFormat="1" x14ac:dyDescent="0.25">
      <c r="H1124" s="2074"/>
    </row>
    <row r="1125" spans="8:8" s="2071" customFormat="1" x14ac:dyDescent="0.25">
      <c r="H1125" s="2074"/>
    </row>
    <row r="1126" spans="8:8" s="2071" customFormat="1" x14ac:dyDescent="0.25">
      <c r="H1126" s="2074"/>
    </row>
    <row r="1127" spans="8:8" s="2071" customFormat="1" x14ac:dyDescent="0.25">
      <c r="H1127" s="2074"/>
    </row>
    <row r="1128" spans="8:8" s="2071" customFormat="1" x14ac:dyDescent="0.25">
      <c r="H1128" s="2074"/>
    </row>
    <row r="1129" spans="8:8" s="2071" customFormat="1" x14ac:dyDescent="0.25">
      <c r="H1129" s="2074"/>
    </row>
    <row r="1130" spans="8:8" s="2071" customFormat="1" x14ac:dyDescent="0.25">
      <c r="H1130" s="2074"/>
    </row>
    <row r="1131" spans="8:8" s="2071" customFormat="1" x14ac:dyDescent="0.25">
      <c r="H1131" s="2074"/>
    </row>
    <row r="1132" spans="8:8" s="2071" customFormat="1" x14ac:dyDescent="0.25">
      <c r="H1132" s="2074"/>
    </row>
    <row r="1133" spans="8:8" s="2071" customFormat="1" x14ac:dyDescent="0.25">
      <c r="H1133" s="2074"/>
    </row>
    <row r="1134" spans="8:8" s="2071" customFormat="1" x14ac:dyDescent="0.25">
      <c r="H1134" s="2074"/>
    </row>
    <row r="1135" spans="8:8" s="2071" customFormat="1" x14ac:dyDescent="0.25">
      <c r="H1135" s="2074"/>
    </row>
    <row r="1136" spans="8:8" s="2071" customFormat="1" x14ac:dyDescent="0.25">
      <c r="H1136" s="2074"/>
    </row>
    <row r="1137" spans="8:8" s="2071" customFormat="1" x14ac:dyDescent="0.25">
      <c r="H1137" s="2074"/>
    </row>
    <row r="1138" spans="8:8" s="2071" customFormat="1" x14ac:dyDescent="0.25">
      <c r="H1138" s="2074"/>
    </row>
    <row r="1139" spans="8:8" s="2071" customFormat="1" x14ac:dyDescent="0.25">
      <c r="H1139" s="2074"/>
    </row>
    <row r="1140" spans="8:8" s="2071" customFormat="1" x14ac:dyDescent="0.25">
      <c r="H1140" s="2074"/>
    </row>
    <row r="1141" spans="8:8" s="2071" customFormat="1" x14ac:dyDescent="0.25">
      <c r="H1141" s="2074"/>
    </row>
    <row r="1142" spans="8:8" s="2071" customFormat="1" x14ac:dyDescent="0.25">
      <c r="H1142" s="2074"/>
    </row>
    <row r="1143" spans="8:8" s="2071" customFormat="1" x14ac:dyDescent="0.25">
      <c r="H1143" s="2074"/>
    </row>
    <row r="1144" spans="8:8" s="2071" customFormat="1" x14ac:dyDescent="0.25">
      <c r="H1144" s="2074"/>
    </row>
    <row r="1145" spans="8:8" s="2071" customFormat="1" x14ac:dyDescent="0.25">
      <c r="H1145" s="2074"/>
    </row>
    <row r="1146" spans="8:8" s="2071" customFormat="1" x14ac:dyDescent="0.25">
      <c r="H1146" s="2074"/>
    </row>
    <row r="1147" spans="8:8" s="2071" customFormat="1" x14ac:dyDescent="0.25">
      <c r="H1147" s="2074"/>
    </row>
    <row r="1148" spans="8:8" s="2071" customFormat="1" x14ac:dyDescent="0.25">
      <c r="H1148" s="2074"/>
    </row>
    <row r="1149" spans="8:8" s="2071" customFormat="1" x14ac:dyDescent="0.25">
      <c r="H1149" s="2074"/>
    </row>
  </sheetData>
  <sheetProtection sheet="1" objects="1" scenarios="1" formatCells="0" formatColumns="0"/>
  <mergeCells count="5">
    <mergeCell ref="B11:G11"/>
    <mergeCell ref="E8:E9"/>
    <mergeCell ref="F8:F9"/>
    <mergeCell ref="G8:G9"/>
    <mergeCell ref="B8:D9"/>
  </mergeCells>
  <phoneticPr fontId="2" type="noConversion"/>
  <pageMargins left="0.75" right="0.75" top="1" bottom="1" header="0" footer="0"/>
  <pageSetup paperSize="9" orientation="portrait" r:id="rId1"/>
  <headerFooter alignWithMargins="0"/>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Hoja78">
    <tabColor rgb="FF7E6BC4"/>
  </sheetPr>
  <dimension ref="A1:GV1771"/>
  <sheetViews>
    <sheetView showGridLines="0" workbookViewId="0"/>
  </sheetViews>
  <sheetFormatPr baseColWidth="10" defaultRowHeight="15.75" x14ac:dyDescent="0.25"/>
  <cols>
    <col min="1" max="1" width="16.875" style="1679" bestFit="1" customWidth="1"/>
    <col min="2" max="2" width="37.75" bestFit="1" customWidth="1"/>
    <col min="3" max="3" width="16.375" customWidth="1"/>
    <col min="5" max="5" width="11" style="1679"/>
    <col min="6" max="6" width="41.125" style="1679" bestFit="1" customWidth="1"/>
    <col min="7" max="10" width="11" style="1679"/>
    <col min="11" max="11" width="13.625" style="1679" bestFit="1" customWidth="1"/>
    <col min="12" max="12" width="13.25" style="1679" bestFit="1" customWidth="1"/>
    <col min="13" max="13" width="13.5" style="1679" bestFit="1" customWidth="1"/>
    <col min="14" max="14" width="13.625" style="1679" bestFit="1" customWidth="1"/>
    <col min="15" max="15" width="11.75" style="1679" customWidth="1"/>
    <col min="16" max="17" width="13.5" style="1679" bestFit="1" customWidth="1"/>
    <col min="18" max="18" width="13.125" style="1679" customWidth="1"/>
    <col min="19" max="19" width="13.5" style="1679" bestFit="1" customWidth="1"/>
    <col min="20" max="20" width="11" style="1679"/>
    <col min="21" max="21" width="26.75" style="1679" bestFit="1" customWidth="1"/>
    <col min="22" max="23" width="12.75" style="1679" bestFit="1" customWidth="1"/>
    <col min="24" max="24" width="13.125" style="1679" bestFit="1" customWidth="1"/>
    <col min="25" max="26" width="11" style="1679"/>
    <col min="27" max="27" width="18.375" style="1679" bestFit="1" customWidth="1"/>
    <col min="28" max="30" width="14.25" style="1679" bestFit="1" customWidth="1"/>
    <col min="31" max="204" width="11" style="1679"/>
  </cols>
  <sheetData>
    <row r="1" spans="1:30" x14ac:dyDescent="0.25">
      <c r="B1" s="1679"/>
      <c r="C1" s="1679"/>
      <c r="D1" s="1679"/>
    </row>
    <row r="2" spans="1:30" x14ac:dyDescent="0.25">
      <c r="B2" s="1679"/>
      <c r="C2" s="1679"/>
      <c r="D2" s="1679"/>
    </row>
    <row r="3" spans="1:30" x14ac:dyDescent="0.25">
      <c r="B3" s="1679"/>
      <c r="C3" s="1679"/>
      <c r="D3" s="1679"/>
    </row>
    <row r="4" spans="1:30" s="1679" customFormat="1" ht="16.5" thickBot="1" x14ac:dyDescent="0.3"/>
    <row r="5" spans="1:30" ht="20.25" thickBot="1" x14ac:dyDescent="0.35">
      <c r="A5" s="2344"/>
      <c r="B5" s="2585" t="s">
        <v>1136</v>
      </c>
      <c r="C5" s="2586"/>
      <c r="D5" s="2587"/>
      <c r="F5" s="2585" t="s">
        <v>1148</v>
      </c>
      <c r="G5" s="2586"/>
      <c r="H5" s="2587"/>
      <c r="K5" s="2588" t="s">
        <v>1151</v>
      </c>
      <c r="L5" s="2589"/>
      <c r="M5" s="2589"/>
      <c r="N5" s="2589"/>
      <c r="O5" s="2589"/>
      <c r="P5" s="2589"/>
      <c r="Q5" s="2589"/>
      <c r="R5" s="2590"/>
      <c r="U5" s="2566" t="s">
        <v>1169</v>
      </c>
      <c r="V5" s="2567"/>
      <c r="W5" s="2567"/>
      <c r="X5" s="2568"/>
      <c r="AA5" s="2566" t="s">
        <v>1185</v>
      </c>
      <c r="AB5" s="2567"/>
      <c r="AC5" s="2567"/>
      <c r="AD5" s="2568"/>
    </row>
    <row r="6" spans="1:30" ht="16.5" thickBot="1" x14ac:dyDescent="0.3">
      <c r="B6" s="2268" t="s">
        <v>847</v>
      </c>
      <c r="C6" s="2269" t="s">
        <v>152</v>
      </c>
      <c r="D6" s="2269" t="s">
        <v>886</v>
      </c>
      <c r="F6" s="2281" t="s">
        <v>847</v>
      </c>
      <c r="G6" s="2282" t="s">
        <v>152</v>
      </c>
      <c r="H6" s="2282" t="s">
        <v>886</v>
      </c>
      <c r="K6" s="2591" t="s">
        <v>1110</v>
      </c>
      <c r="L6" s="2592"/>
      <c r="M6" s="2592"/>
      <c r="N6" s="2592"/>
      <c r="O6" s="2593" t="s">
        <v>1111</v>
      </c>
      <c r="P6" s="2593"/>
      <c r="Q6" s="2593"/>
      <c r="R6" s="2594"/>
      <c r="U6" s="2268" t="s">
        <v>847</v>
      </c>
      <c r="V6" s="2569" t="s">
        <v>1170</v>
      </c>
      <c r="W6" s="2570"/>
      <c r="X6" s="2571"/>
      <c r="AA6" s="2268" t="s">
        <v>847</v>
      </c>
      <c r="AB6" s="2569" t="s">
        <v>1170</v>
      </c>
      <c r="AC6" s="2570"/>
      <c r="AD6" s="2571"/>
    </row>
    <row r="7" spans="1:30" ht="17.25" x14ac:dyDescent="0.3">
      <c r="B7" s="2270" t="s">
        <v>1147</v>
      </c>
      <c r="C7" s="2271"/>
      <c r="D7" s="2272"/>
      <c r="F7" s="2274" t="s">
        <v>1149</v>
      </c>
      <c r="G7" s="2367">
        <f>C27-G8</f>
        <v>0</v>
      </c>
      <c r="H7" s="2447" t="e">
        <f>(G7/G9)</f>
        <v>#DIV/0!</v>
      </c>
      <c r="K7" s="2382" t="s">
        <v>1152</v>
      </c>
      <c r="L7" s="2346" t="s">
        <v>693</v>
      </c>
      <c r="M7" s="2346" t="s">
        <v>694</v>
      </c>
      <c r="N7" s="2383" t="s">
        <v>1135</v>
      </c>
      <c r="O7" s="2283" t="s">
        <v>1152</v>
      </c>
      <c r="P7" s="2283" t="s">
        <v>693</v>
      </c>
      <c r="Q7" s="2283" t="s">
        <v>694</v>
      </c>
      <c r="R7" s="2343" t="s">
        <v>1135</v>
      </c>
      <c r="S7" s="2355"/>
      <c r="T7" s="2355"/>
      <c r="U7" s="2291"/>
      <c r="V7" s="2283" t="s">
        <v>693</v>
      </c>
      <c r="W7" s="2283" t="s">
        <v>694</v>
      </c>
      <c r="X7" s="2343" t="s">
        <v>1135</v>
      </c>
      <c r="AA7" s="2291"/>
      <c r="AB7" s="2296" t="s">
        <v>693</v>
      </c>
      <c r="AC7" s="2296" t="s">
        <v>694</v>
      </c>
      <c r="AD7" s="2345" t="s">
        <v>1135</v>
      </c>
    </row>
    <row r="8" spans="1:30" ht="17.25" x14ac:dyDescent="0.3">
      <c r="B8" s="2274" t="s">
        <v>1137</v>
      </c>
      <c r="C8" s="2367">
        <f>'Inv. Iniciales ANC'!B10</f>
        <v>0</v>
      </c>
      <c r="D8" s="2450" t="e">
        <f>(C8/C$27)</f>
        <v>#DIV/0!</v>
      </c>
      <c r="F8" s="2274" t="s">
        <v>1150</v>
      </c>
      <c r="G8" s="2446">
        <f>SUM('Financiación Inicial'!F7:G7)+SUM('Financiación Inicial'!F15:G15)</f>
        <v>0</v>
      </c>
      <c r="H8" s="2447" t="e">
        <f>(G8/G9)</f>
        <v>#DIV/0!</v>
      </c>
      <c r="K8" s="2595" t="s">
        <v>1226</v>
      </c>
      <c r="L8" s="2572"/>
      <c r="M8" s="2572"/>
      <c r="N8" s="2573"/>
      <c r="O8" s="2572" t="s">
        <v>543</v>
      </c>
      <c r="P8" s="2572"/>
      <c r="Q8" s="2572"/>
      <c r="R8" s="2573"/>
      <c r="S8" s="2355">
        <f>P9*0.2</f>
        <v>0</v>
      </c>
      <c r="T8" s="2355"/>
      <c r="U8" s="2268" t="s">
        <v>743</v>
      </c>
      <c r="V8" s="2569"/>
      <c r="W8" s="2583"/>
      <c r="X8" s="2584"/>
      <c r="AA8" s="2270" t="s">
        <v>1186</v>
      </c>
      <c r="AB8" s="2557"/>
      <c r="AC8" s="2558"/>
      <c r="AD8" s="2559"/>
    </row>
    <row r="9" spans="1:30" ht="30.75" thickBot="1" x14ac:dyDescent="0.35">
      <c r="B9" s="2274" t="s">
        <v>273</v>
      </c>
      <c r="C9" s="2367">
        <f>'Inv. Iniciales ANC'!B19</f>
        <v>0</v>
      </c>
      <c r="D9" s="2450" t="e">
        <f t="shared" ref="D9:D14" si="0">(C9/C$27)</f>
        <v>#DIV/0!</v>
      </c>
      <c r="F9" s="2280" t="s">
        <v>860</v>
      </c>
      <c r="G9" s="2368">
        <f>SUM(G7:G8)</f>
        <v>0</v>
      </c>
      <c r="H9" s="2448" t="e">
        <f>SUM(H7:H8)</f>
        <v>#DIV/0!</v>
      </c>
      <c r="K9" s="2284" t="s">
        <v>507</v>
      </c>
      <c r="L9" s="2351">
        <v>0</v>
      </c>
      <c r="M9" s="2351">
        <v>0</v>
      </c>
      <c r="N9" s="2352">
        <v>0</v>
      </c>
      <c r="O9" s="2285" t="s">
        <v>1153</v>
      </c>
      <c r="P9" s="2351">
        <f>'Balances anuales'!D26</f>
        <v>0</v>
      </c>
      <c r="Q9" s="2351">
        <f>'Balances anuales'!F26</f>
        <v>0</v>
      </c>
      <c r="R9" s="2352">
        <f>'Balances anuales'!H26</f>
        <v>0</v>
      </c>
      <c r="S9" s="2356">
        <f>S8-P11</f>
        <v>0</v>
      </c>
      <c r="T9" s="2356">
        <f>S8-Q11</f>
        <v>16362.959468393694</v>
      </c>
      <c r="U9" s="2274" t="s">
        <v>1171</v>
      </c>
      <c r="V9" s="2357">
        <f>'Prev.Ventas 0'!N25</f>
        <v>0</v>
      </c>
      <c r="W9" s="2357">
        <f>'Prev.Ventas 1'!N25</f>
        <v>0</v>
      </c>
      <c r="X9" s="2358">
        <f>'Prev.Ventas 2'!N25</f>
        <v>0</v>
      </c>
      <c r="AA9" s="2297" t="s">
        <v>1186</v>
      </c>
      <c r="AB9" s="2363">
        <f>'Resumen Tesorerias'!C12+P31</f>
        <v>0</v>
      </c>
      <c r="AC9" s="2363">
        <f>'Resumen Tesorerias'!D12+Q31-P31</f>
        <v>0</v>
      </c>
      <c r="AD9" s="2376">
        <f>'Resumen Tesorerias'!E12+R31-Q31</f>
        <v>0</v>
      </c>
    </row>
    <row r="10" spans="1:30" ht="30" x14ac:dyDescent="0.3">
      <c r="B10" s="2274" t="s">
        <v>371</v>
      </c>
      <c r="C10" s="2367">
        <f>'Inv. Iniciales ANC'!B42</f>
        <v>0</v>
      </c>
      <c r="D10" s="2450" t="e">
        <f t="shared" si="0"/>
        <v>#DIV/0!</v>
      </c>
      <c r="K10" s="2284" t="s">
        <v>795</v>
      </c>
      <c r="L10" s="2351">
        <v>0</v>
      </c>
      <c r="M10" s="2351">
        <v>0</v>
      </c>
      <c r="N10" s="2352">
        <v>0</v>
      </c>
      <c r="O10" s="2285" t="s">
        <v>1154</v>
      </c>
      <c r="P10" s="2351">
        <f>IF('Balances anuales'!B27&lt;'Balances anuales'!B26*0.2,0,'Balances anuales'!B27-MICROCREDITOS!P11)</f>
        <v>0</v>
      </c>
      <c r="Q10" s="2351">
        <f>IF(P12&gt;0,(P12-S11)+P10,P10)</f>
        <v>0</v>
      </c>
      <c r="R10" s="2352">
        <f>IF(Q12&gt;0,(Q12-T11)+Q10,Q10)</f>
        <v>0</v>
      </c>
      <c r="S10" s="2355"/>
      <c r="T10" s="2355"/>
      <c r="U10" s="2274" t="s">
        <v>1172</v>
      </c>
      <c r="V10" s="2357">
        <f>'PyG anuales'!B8</f>
        <v>0</v>
      </c>
      <c r="W10" s="2357">
        <f>'PyG anuales'!D8</f>
        <v>0</v>
      </c>
      <c r="X10" s="2358">
        <f>'PyG anuales'!G8</f>
        <v>0</v>
      </c>
      <c r="AA10" s="2298" t="s">
        <v>1187</v>
      </c>
      <c r="AB10" s="2299">
        <f>SUM(AB9:AB9)</f>
        <v>0</v>
      </c>
      <c r="AC10" s="2299">
        <f t="shared" ref="AC10:AD10" si="1">SUM(AC9:AC9)</f>
        <v>0</v>
      </c>
      <c r="AD10" s="2300">
        <f t="shared" si="1"/>
        <v>0</v>
      </c>
    </row>
    <row r="11" spans="1:30" ht="24" customHeight="1" x14ac:dyDescent="0.3">
      <c r="B11" s="2274" t="s">
        <v>1138</v>
      </c>
      <c r="C11" s="2367">
        <f>'Inv. Iniciales ANC'!B36</f>
        <v>0</v>
      </c>
      <c r="D11" s="2450" t="e">
        <f t="shared" si="0"/>
        <v>#DIV/0!</v>
      </c>
      <c r="K11" s="2563" t="s">
        <v>1222</v>
      </c>
      <c r="L11" s="2564"/>
      <c r="M11" s="2564"/>
      <c r="N11" s="2565"/>
      <c r="O11" s="2285" t="s">
        <v>1155</v>
      </c>
      <c r="P11" s="2351">
        <f>IF('Balances anuales'!B27&lt;'Balances anuales'!B26*0.2,'Balances anuales'!B27,'Balances anuales'!B26*0.2)</f>
        <v>0</v>
      </c>
      <c r="Q11" s="2351">
        <f>IF(P12&gt;0,IF(S9&lt;$S$8,IF(P12+P11&lt;$S$8,P12+P11,$S$8),$S$8),P11)+IF(P12&lt;0,P12,0)</f>
        <v>-16362.959468393694</v>
      </c>
      <c r="R11" s="2352">
        <f>IF(Q12&gt;0,IF(T9&lt;$S$8,IF(Q12+Q11&lt;$S$8,Q12+Q11,$S$8),$S$8),Q11)+IF(Q12&lt;0,Q12,0)</f>
        <v>-34526.489964217515</v>
      </c>
      <c r="S11" s="2355">
        <f>Q11-P11</f>
        <v>-16362.959468393694</v>
      </c>
      <c r="T11" s="2355">
        <f>R11-Q11</f>
        <v>-18163.530495823819</v>
      </c>
      <c r="U11" s="2274" t="s">
        <v>1</v>
      </c>
      <c r="V11" s="2357">
        <f>'Gastos Financieros'!O59</f>
        <v>0</v>
      </c>
      <c r="W11" s="2357">
        <f>'Gastos Financieros'!O64</f>
        <v>0</v>
      </c>
      <c r="X11" s="2358">
        <f>'Gastos Financieros'!O69</f>
        <v>0</v>
      </c>
      <c r="AA11" s="2298" t="s">
        <v>1012</v>
      </c>
      <c r="AB11" s="2560"/>
      <c r="AC11" s="2561"/>
      <c r="AD11" s="2562"/>
    </row>
    <row r="12" spans="1:30" ht="30.75" thickBot="1" x14ac:dyDescent="0.35">
      <c r="B12" s="2274" t="s">
        <v>1139</v>
      </c>
      <c r="C12" s="2367">
        <f>'Inv. Iniciales ANC'!B25+'Inv. Iniciales ANC'!B30</f>
        <v>0</v>
      </c>
      <c r="D12" s="2450" t="e">
        <f t="shared" si="0"/>
        <v>#DIV/0!</v>
      </c>
      <c r="K12" s="2350" t="s">
        <v>511</v>
      </c>
      <c r="L12" s="2351">
        <f>C18</f>
        <v>0</v>
      </c>
      <c r="M12" s="2351">
        <f>L12</f>
        <v>0</v>
      </c>
      <c r="N12" s="2352">
        <f>M12</f>
        <v>0</v>
      </c>
      <c r="O12" s="2285" t="s">
        <v>1156</v>
      </c>
      <c r="P12" s="2351">
        <f>'Balances anuales'!D30</f>
        <v>-16362.959468393694</v>
      </c>
      <c r="Q12" s="2351">
        <f>'Balances anuales'!F30</f>
        <v>-18163.530495823823</v>
      </c>
      <c r="R12" s="2352">
        <f>'Balances anuales'!H30</f>
        <v>-21557.95289670378</v>
      </c>
      <c r="S12" s="2355"/>
      <c r="T12" s="2355"/>
      <c r="U12" s="2270" t="s">
        <v>1173</v>
      </c>
      <c r="V12" s="2353">
        <f>SUM(V9:V11)</f>
        <v>0</v>
      </c>
      <c r="W12" s="2353">
        <f>SUM(W9:W11)</f>
        <v>0</v>
      </c>
      <c r="X12" s="2353">
        <f t="shared" ref="X12" si="2">SUM(X9:X11)</f>
        <v>0</v>
      </c>
      <c r="AA12" s="2297" t="s">
        <v>1188</v>
      </c>
      <c r="AB12" s="2363">
        <f>'Resumen Gastos Fijos'!B21-MICROCREDITOS!AB13</f>
        <v>14652</v>
      </c>
      <c r="AC12" s="2363">
        <f>'Resumen Gastos Fijos'!C21-MICROCREDITOS!AC13</f>
        <v>15238.080000000002</v>
      </c>
      <c r="AD12" s="2376">
        <f>'Resumen Gastos Fijos'!D21-MICROCREDITOS!AD13</f>
        <v>15847.603200000005</v>
      </c>
    </row>
    <row r="13" spans="1:30" ht="30" x14ac:dyDescent="0.25">
      <c r="B13" s="2274" t="s">
        <v>780</v>
      </c>
      <c r="C13" s="2367">
        <f>'Inversiones AC'!B10</f>
        <v>0</v>
      </c>
      <c r="D13" s="2450" t="e">
        <f t="shared" si="0"/>
        <v>#DIV/0!</v>
      </c>
      <c r="K13" s="2350" t="s">
        <v>512</v>
      </c>
      <c r="L13" s="2351">
        <f>ACTIVO!E18</f>
        <v>0</v>
      </c>
      <c r="M13" s="2351">
        <f>ACTIVO!F18</f>
        <v>0</v>
      </c>
      <c r="N13" s="2352">
        <f>ACTIVO!G18</f>
        <v>0</v>
      </c>
      <c r="O13" s="2286"/>
      <c r="P13" s="2286"/>
      <c r="Q13" s="2286"/>
      <c r="R13" s="2287"/>
      <c r="U13" s="2268" t="s">
        <v>1174</v>
      </c>
      <c r="V13" s="2569"/>
      <c r="W13" s="2583"/>
      <c r="X13" s="2584"/>
      <c r="AA13" s="2297" t="s">
        <v>119</v>
      </c>
      <c r="AB13" s="2363">
        <f>('Resumen Gastos Fijos'!B16-P34)+'Resumen Gastos Fijos'!B17</f>
        <v>1064.6400000000001</v>
      </c>
      <c r="AC13" s="2363">
        <f>('Resumen Gastos Fijos'!C16/12*11)+'Resumen Gastos Fijos'!C17</f>
        <v>1064.6400000000001</v>
      </c>
      <c r="AD13" s="2376">
        <f>('Resumen Gastos Fijos'!D16/12*11)+'Resumen Gastos Fijos'!D17</f>
        <v>2470.5600000000009</v>
      </c>
    </row>
    <row r="14" spans="1:30" ht="44.25" customHeight="1" x14ac:dyDescent="0.25">
      <c r="B14" s="2274" t="s">
        <v>1140</v>
      </c>
      <c r="C14" s="2367">
        <f>'Inv. Iniciales ANC'!B49+'Inv. Iniciales ANC'!B57+'Inv. Iniciales ANC'!B58</f>
        <v>0</v>
      </c>
      <c r="D14" s="2450" t="e">
        <f t="shared" si="0"/>
        <v>#DIV/0!</v>
      </c>
      <c r="K14" s="2350" t="s">
        <v>1224</v>
      </c>
      <c r="L14" s="2351">
        <f>'Inv. Iniciales ANC'!B59+'Inv. Iniciales ANC'!B60</f>
        <v>0</v>
      </c>
      <c r="M14" s="2351">
        <f>L14</f>
        <v>0</v>
      </c>
      <c r="N14" s="2352">
        <f>M14</f>
        <v>0</v>
      </c>
      <c r="O14" s="2286"/>
      <c r="P14" s="2286"/>
      <c r="Q14" s="2286"/>
      <c r="R14" s="2287"/>
      <c r="U14" s="2274" t="s">
        <v>1175</v>
      </c>
      <c r="V14" s="2357">
        <f>'PyG anuales'!B11</f>
        <v>0</v>
      </c>
      <c r="W14" s="2357">
        <f>'PyG anuales'!D11</f>
        <v>0</v>
      </c>
      <c r="X14" s="2358">
        <f>'PyG anuales'!G11</f>
        <v>0</v>
      </c>
      <c r="AA14" s="2297" t="s">
        <v>1189</v>
      </c>
      <c r="AB14" s="2363">
        <f>V16*1.21</f>
        <v>0</v>
      </c>
      <c r="AC14" s="2363">
        <f>W16*1.21</f>
        <v>0</v>
      </c>
      <c r="AD14" s="2376">
        <f>X16*1.21</f>
        <v>0</v>
      </c>
    </row>
    <row r="15" spans="1:30" ht="45" x14ac:dyDescent="0.25">
      <c r="B15" s="2274"/>
      <c r="C15" s="2367"/>
      <c r="D15" s="2273"/>
      <c r="K15" s="2350" t="s">
        <v>1168</v>
      </c>
      <c r="L15" s="2351">
        <f>-Amortizaciones!F19</f>
        <v>0</v>
      </c>
      <c r="M15" s="2351">
        <f>-Amortizaciones!G19+L15</f>
        <v>0</v>
      </c>
      <c r="N15" s="2352">
        <f>-Amortizaciones!H19+M15</f>
        <v>0</v>
      </c>
      <c r="O15" s="2286"/>
      <c r="P15" s="2286"/>
      <c r="Q15" s="2286"/>
      <c r="R15" s="2287"/>
      <c r="U15" s="2274" t="s">
        <v>1176</v>
      </c>
      <c r="V15" s="2357">
        <f>'Resumen Gastos Fijos'!B41</f>
        <v>0</v>
      </c>
      <c r="W15" s="2357">
        <f>'Resumen Gastos Fijos'!C41</f>
        <v>0</v>
      </c>
      <c r="X15" s="2358">
        <f>'Resumen Gastos Fijos'!D41</f>
        <v>0</v>
      </c>
      <c r="AA15" s="2297" t="s">
        <v>1190</v>
      </c>
      <c r="AB15" s="2363">
        <f>('Resumen Gastos Fijos'!B35+'Resumen Gastos Fijos'!B36+'Resumen Gastos Fijos'!B40+'Resumen Gastos Fijos'!B43)*1.21</f>
        <v>0</v>
      </c>
      <c r="AC15" s="2363">
        <f>('Resumen Gastos Fijos'!C35+'Resumen Gastos Fijos'!C36+'Resumen Gastos Fijos'!C40+'Resumen Gastos Fijos'!C43)*1.21</f>
        <v>0</v>
      </c>
      <c r="AD15" s="2376">
        <f>('Resumen Gastos Fijos'!D35+'Resumen Gastos Fijos'!D36+'Resumen Gastos Fijos'!D40+'Resumen Gastos Fijos'!D43)*1.21</f>
        <v>0</v>
      </c>
    </row>
    <row r="16" spans="1:30" x14ac:dyDescent="0.25">
      <c r="B16" s="2274"/>
      <c r="C16" s="2367"/>
      <c r="D16" s="2273"/>
      <c r="K16" s="2563" t="s">
        <v>1223</v>
      </c>
      <c r="L16" s="2564"/>
      <c r="M16" s="2564"/>
      <c r="N16" s="2565"/>
      <c r="O16" s="2286"/>
      <c r="P16" s="2286"/>
      <c r="Q16" s="2286"/>
      <c r="R16" s="2287"/>
      <c r="U16" s="2274" t="s">
        <v>1177</v>
      </c>
      <c r="V16" s="2357">
        <f>'Resumen Gastos Fijos'!B30+'Resumen Gastos Fijos'!B31+'Resumen Gastos Fijos'!B32+'Resumen Gastos Fijos'!B33+'Resumen Gastos Fijos'!B34</f>
        <v>0</v>
      </c>
      <c r="W16" s="2357">
        <f>'Resumen Gastos Fijos'!C30+'Resumen Gastos Fijos'!C31+'Resumen Gastos Fijos'!C32+'Resumen Gastos Fijos'!C33+'Resumen Gastos Fijos'!C34</f>
        <v>0</v>
      </c>
      <c r="X16" s="2358">
        <f>'Resumen Gastos Fijos'!D30+'Resumen Gastos Fijos'!D31+'Resumen Gastos Fijos'!D32+'Resumen Gastos Fijos'!D33+'Resumen Gastos Fijos'!D34</f>
        <v>0</v>
      </c>
      <c r="AA16" s="2297" t="s">
        <v>1024</v>
      </c>
      <c r="AB16" s="2363">
        <f>'Resumen Gastos Fijos'!B42*1.21</f>
        <v>0</v>
      </c>
      <c r="AC16" s="2363">
        <f>'Resumen Gastos Fijos'!C42*1.21</f>
        <v>0</v>
      </c>
      <c r="AD16" s="2376">
        <f>'Resumen Gastos Fijos'!D42*1.21</f>
        <v>0</v>
      </c>
    </row>
    <row r="17" spans="2:30" x14ac:dyDescent="0.25">
      <c r="B17" s="2270" t="s">
        <v>1205</v>
      </c>
      <c r="C17" s="2275"/>
      <c r="D17" s="2276"/>
      <c r="K17" s="2284" t="s">
        <v>1157</v>
      </c>
      <c r="L17" s="2351">
        <f>Amortizaciones!B9+Amortizaciones!B10</f>
        <v>0</v>
      </c>
      <c r="M17" s="2351">
        <f>L17</f>
        <v>0</v>
      </c>
      <c r="N17" s="2352">
        <f>M17</f>
        <v>0</v>
      </c>
      <c r="O17" s="2286"/>
      <c r="P17" s="2286"/>
      <c r="Q17" s="2286"/>
      <c r="R17" s="2287"/>
      <c r="U17" s="2274" t="s">
        <v>1178</v>
      </c>
      <c r="V17" s="2357">
        <v>0</v>
      </c>
      <c r="W17" s="2357">
        <f>V17</f>
        <v>0</v>
      </c>
      <c r="X17" s="2358">
        <f>W17</f>
        <v>0</v>
      </c>
      <c r="AA17" s="2297" t="s">
        <v>1191</v>
      </c>
      <c r="AB17" s="2363">
        <f>'Resumen Gastos Fijos'!B26+'Resumen Gastos Fijos'!B27+'Resumen Gastos Fijos'!B29+('Resumen Gastos Fijos'!B37+'Resumen Gastos Fijos'!B38+'Resumen Gastos Fijos'!B39+'Resumen Gastos Fijos'!B44)*1.21+(Préstamos!N18-MICROCREDITOS!AB20)+Leasing!N20+('Gastos Financieros'!O11)</f>
        <v>646.31946839369516</v>
      </c>
      <c r="AC17" s="2363">
        <f>'Resumen Gastos Fijos'!C26+'Resumen Gastos Fijos'!C27+'Resumen Gastos Fijos'!C29+('Resumen Gastos Fijos'!C37+'Resumen Gastos Fijos'!C38+'Resumen Gastos Fijos'!C39+'Resumen Gastos Fijos'!C44)*1.21+(Préstamos!N24-MICROCREDITOS!AC20)+Renting!N29+Leasing!N27+(P21+P22-Q21-Q22)+('Gastos Financieros'!O20)</f>
        <v>1860.8104958238205</v>
      </c>
      <c r="AD17" s="2363">
        <f>'Resumen Gastos Fijos'!D26+'Resumen Gastos Fijos'!D27+'Resumen Gastos Fijos'!D29+('Resumen Gastos Fijos'!D37+'Resumen Gastos Fijos'!D38+'Resumen Gastos Fijos'!D39+'Resumen Gastos Fijos'!D44)*1.21+(Préstamos!N30-MICROCREDITOS!AD20)+Renting!N37+Leasing!N34+(Q21+Q22-R21-R22)+('Gastos Financieros'!O29)</f>
        <v>3239.7896967037746</v>
      </c>
    </row>
    <row r="18" spans="2:30" x14ac:dyDescent="0.25">
      <c r="B18" s="2274" t="s">
        <v>511</v>
      </c>
      <c r="C18" s="2367">
        <f>'Inv. Iniciales ANC'!B61</f>
        <v>0</v>
      </c>
      <c r="D18" s="2450" t="e">
        <f>(C18/C$27)</f>
        <v>#DIV/0!</v>
      </c>
      <c r="K18" s="2284" t="s">
        <v>849</v>
      </c>
      <c r="L18" s="2351">
        <f>Amortizaciones!B12</f>
        <v>0</v>
      </c>
      <c r="M18" s="2351">
        <f>$L$18</f>
        <v>0</v>
      </c>
      <c r="N18" s="2352">
        <f>$L$18</f>
        <v>0</v>
      </c>
      <c r="O18" s="2288"/>
      <c r="P18" s="2288"/>
      <c r="Q18" s="2288"/>
      <c r="R18" s="2289"/>
      <c r="U18" s="2274" t="s">
        <v>1179</v>
      </c>
      <c r="V18" s="2357">
        <f>'Resumen Gastos Fijos'!B27+'Resumen Gastos Fijos'!B28+'Resumen Gastos Fijos'!B29+'Resumen Gastos Fijos'!B35+'Resumen Gastos Fijos'!B36+'Resumen Gastos Fijos'!B37+'Resumen Gastos Fijos'!B38+'Resumen Gastos Fijos'!B39+'Resumen Gastos Fijos'!B40+'Resumen Gastos Fijos'!B42+'Resumen Gastos Fijos'!B43+'Resumen Gastos Fijos'!B44</f>
        <v>0</v>
      </c>
      <c r="W18" s="2357">
        <f>'Resumen Gastos Fijos'!C27+'Resumen Gastos Fijos'!C28+'Resumen Gastos Fijos'!C29+'Resumen Gastos Fijos'!C35+'Resumen Gastos Fijos'!C36+'Resumen Gastos Fijos'!C37+'Resumen Gastos Fijos'!C38+'Resumen Gastos Fijos'!C39+'Resumen Gastos Fijos'!C40+'Resumen Gastos Fijos'!C42+'Resumen Gastos Fijos'!C43+'Resumen Gastos Fijos'!C44</f>
        <v>0</v>
      </c>
      <c r="X18" s="2358">
        <f>'Resumen Gastos Fijos'!D27+'Resumen Gastos Fijos'!D28+'Resumen Gastos Fijos'!D29+'Resumen Gastos Fijos'!D35+'Resumen Gastos Fijos'!D36+'Resumen Gastos Fijos'!D37+'Resumen Gastos Fijos'!D38+'Resumen Gastos Fijos'!D39+'Resumen Gastos Fijos'!D40+'Resumen Gastos Fijos'!D42+'Resumen Gastos Fijos'!D43+'Resumen Gastos Fijos'!D44</f>
        <v>0</v>
      </c>
      <c r="AA18" s="2297" t="s">
        <v>1192</v>
      </c>
      <c r="AB18" s="2363">
        <f>V15*1.21</f>
        <v>0</v>
      </c>
      <c r="AC18" s="2363">
        <f>W15*1.21</f>
        <v>0</v>
      </c>
      <c r="AD18" s="2376">
        <f>X15*1.21</f>
        <v>0</v>
      </c>
    </row>
    <row r="19" spans="2:30" ht="30" x14ac:dyDescent="0.25">
      <c r="B19" s="2274" t="s">
        <v>1141</v>
      </c>
      <c r="C19" s="2367">
        <f>'Inv. Iniciales ANC'!B60</f>
        <v>0</v>
      </c>
      <c r="D19" s="2450" t="e">
        <f t="shared" ref="D19:D24" si="3">(C19/C$27)</f>
        <v>#DIV/0!</v>
      </c>
      <c r="K19" s="2284" t="s">
        <v>1158</v>
      </c>
      <c r="L19" s="2351">
        <f>Amortizaciones!B11</f>
        <v>0</v>
      </c>
      <c r="M19" s="2351">
        <f>L19</f>
        <v>0</v>
      </c>
      <c r="N19" s="2352">
        <f>M19</f>
        <v>0</v>
      </c>
      <c r="O19" s="2572" t="s">
        <v>1229</v>
      </c>
      <c r="P19" s="2572"/>
      <c r="Q19" s="2572"/>
      <c r="R19" s="2573"/>
      <c r="U19" s="2274" t="s">
        <v>1180</v>
      </c>
      <c r="V19" s="2357">
        <f>'Resumen Gastos Fijos'!B26</f>
        <v>0</v>
      </c>
      <c r="W19" s="2357">
        <f>'Resumen Gastos Fijos'!C26</f>
        <v>0</v>
      </c>
      <c r="X19" s="2358">
        <f>'Resumen Gastos Fijos'!D26</f>
        <v>0</v>
      </c>
      <c r="AA19" s="2297" t="s">
        <v>1193</v>
      </c>
      <c r="AB19" s="2363">
        <f>'G.F. 0'!O29</f>
        <v>0</v>
      </c>
      <c r="AC19" s="2363">
        <f>'G.F. 1'!O29</f>
        <v>0</v>
      </c>
      <c r="AD19" s="2376">
        <f>'G.F. 2'!O29</f>
        <v>0</v>
      </c>
    </row>
    <row r="20" spans="2:30" ht="60" x14ac:dyDescent="0.25">
      <c r="B20" s="2274" t="s">
        <v>1142</v>
      </c>
      <c r="C20" s="2367">
        <f>'Inv. Iniciales ANC'!B81</f>
        <v>0</v>
      </c>
      <c r="D20" s="2450" t="e">
        <f t="shared" si="3"/>
        <v>#DIV/0!</v>
      </c>
      <c r="K20" s="2284" t="s">
        <v>850</v>
      </c>
      <c r="L20" s="2351">
        <f>Amortizaciones!B14</f>
        <v>0</v>
      </c>
      <c r="M20" s="2351">
        <f>$L$20</f>
        <v>0</v>
      </c>
      <c r="N20" s="2352">
        <f>$L$20</f>
        <v>0</v>
      </c>
      <c r="O20" s="2285" t="s">
        <v>592</v>
      </c>
      <c r="P20" s="2351">
        <f>'Balances anuales'!D33</f>
        <v>0</v>
      </c>
      <c r="Q20" s="2351">
        <f>'Balances anuales'!F33</f>
        <v>0</v>
      </c>
      <c r="R20" s="2352">
        <f>'Balances anuales'!H33</f>
        <v>0</v>
      </c>
      <c r="U20" s="2274" t="s">
        <v>1181</v>
      </c>
      <c r="V20" s="2357">
        <f>'PyG anuales'!B14+'PyG anuales'!B15</f>
        <v>15716.64</v>
      </c>
      <c r="W20" s="2357">
        <f>'PyG anuales'!D14+'PyG anuales'!D15</f>
        <v>16302.720000000001</v>
      </c>
      <c r="X20" s="2358">
        <f>'PyG anuales'!G14+'PyG anuales'!G15</f>
        <v>18318.163200000006</v>
      </c>
      <c r="AA20" s="2297" t="s">
        <v>1194</v>
      </c>
      <c r="AB20" s="2363">
        <f>Préstamos!C13*Préstamos!K6+(Préstamos!C6*Préstamos!C8)</f>
        <v>0</v>
      </c>
      <c r="AC20" s="2363">
        <f>Préstamos!C13*Préstamos!K7</f>
        <v>0</v>
      </c>
      <c r="AD20" s="2363">
        <f>Préstamos!C13*Préstamos!K8</f>
        <v>0</v>
      </c>
    </row>
    <row r="21" spans="2:30" ht="45" x14ac:dyDescent="0.25">
      <c r="B21" s="2274" t="s">
        <v>1143</v>
      </c>
      <c r="C21" s="2367">
        <f>'Inv. Iniciales ANC'!B72</f>
        <v>0</v>
      </c>
      <c r="D21" s="2450" t="e">
        <f t="shared" si="3"/>
        <v>#DIV/0!</v>
      </c>
      <c r="K21" s="2284" t="s">
        <v>1159</v>
      </c>
      <c r="L21" s="2351">
        <f>Amortizaciones!B16</f>
        <v>0</v>
      </c>
      <c r="M21" s="2351">
        <f>$L$21</f>
        <v>0</v>
      </c>
      <c r="N21" s="2352">
        <f>$L$21</f>
        <v>0</v>
      </c>
      <c r="O21" s="2285" t="s">
        <v>142</v>
      </c>
      <c r="P21" s="2351">
        <f>'Financiación Inicial'!B20-MICROCREDITOS!P22</f>
        <v>0</v>
      </c>
      <c r="Q21" s="2351">
        <f>P21*2/3-Q22</f>
        <v>0</v>
      </c>
      <c r="R21" s="2352">
        <f>P21/3-R22</f>
        <v>0</v>
      </c>
      <c r="U21" s="2274" t="s">
        <v>1182</v>
      </c>
      <c r="V21" s="2357">
        <f>'Gastos Financieros'!O15</f>
        <v>646.31946839369516</v>
      </c>
      <c r="W21" s="2357">
        <f>'Gastos Financieros'!O24</f>
        <v>1860.8104958238205</v>
      </c>
      <c r="X21" s="2358">
        <f>'Gastos Financieros'!O33</f>
        <v>3239.7896967037746</v>
      </c>
      <c r="AA21" s="2297" t="s">
        <v>1195</v>
      </c>
      <c r="AB21" s="2363">
        <f>'Resumen Tesorerias'!C16+L29</f>
        <v>0</v>
      </c>
      <c r="AC21" s="2363">
        <f>'Resumen Tesorerias'!D16+M29-L29</f>
        <v>0</v>
      </c>
      <c r="AD21" s="2376">
        <f>'Resumen Tesorerias'!E16+N29-M29</f>
        <v>0</v>
      </c>
    </row>
    <row r="22" spans="2:30" ht="30" x14ac:dyDescent="0.25">
      <c r="B22" s="2274" t="s">
        <v>1144</v>
      </c>
      <c r="C22" s="2367">
        <f>'Inv. Iniciales ANC'!B69</f>
        <v>0</v>
      </c>
      <c r="D22" s="2450" t="e">
        <f t="shared" si="3"/>
        <v>#DIV/0!</v>
      </c>
      <c r="K22" s="2284" t="s">
        <v>371</v>
      </c>
      <c r="L22" s="2351">
        <f>Amortizaciones!B15</f>
        <v>0</v>
      </c>
      <c r="M22" s="2351">
        <f>$L$22</f>
        <v>0</v>
      </c>
      <c r="N22" s="2352">
        <f>$L$22</f>
        <v>0</v>
      </c>
      <c r="O22" s="2385" t="s">
        <v>1160</v>
      </c>
      <c r="P22" s="2451">
        <v>0</v>
      </c>
      <c r="Q22" s="2386">
        <f>P22*2/3</f>
        <v>0</v>
      </c>
      <c r="R22" s="2387">
        <f>P22/3</f>
        <v>0</v>
      </c>
      <c r="U22" s="2274" t="s">
        <v>998</v>
      </c>
      <c r="V22" s="2357">
        <f>'PyG anuales'!B17</f>
        <v>0</v>
      </c>
      <c r="W22" s="2357">
        <f>'PyG anuales'!D17</f>
        <v>0</v>
      </c>
      <c r="X22" s="2358">
        <f>'PyG anuales'!G17</f>
        <v>0</v>
      </c>
      <c r="AA22" s="2364" t="s">
        <v>1209</v>
      </c>
      <c r="AB22" s="2363">
        <f>'Resumen Tesorerias'!C22+'Resumen Tesorerias'!C23</f>
        <v>0</v>
      </c>
      <c r="AC22" s="2363">
        <f>'Resumen Tesorerias'!D22+'Resumen Tesorerias'!D23</f>
        <v>0</v>
      </c>
      <c r="AD22" s="2376">
        <f>'Resumen Tesorerias'!E22+'Resumen Tesorerias'!E23</f>
        <v>0</v>
      </c>
    </row>
    <row r="23" spans="2:30" ht="45" x14ac:dyDescent="0.25">
      <c r="B23" s="2274" t="s">
        <v>1145</v>
      </c>
      <c r="C23" s="2367">
        <f>'Inv. Iniciales ANC'!B54+'Inv. Iniciales ANC'!B59+'Inv. Iniciales ANC'!B73+'Inv. Iniciales ANC'!B74+'Inv. Iniciales ANC'!B75</f>
        <v>0</v>
      </c>
      <c r="D23" s="2450" t="e">
        <f t="shared" si="3"/>
        <v>#DIV/0!</v>
      </c>
      <c r="K23" s="2284" t="s">
        <v>395</v>
      </c>
      <c r="L23" s="2351">
        <f>Amortizaciones!B17+Amortizaciones!B13</f>
        <v>0</v>
      </c>
      <c r="M23" s="2351">
        <f>$L$23</f>
        <v>0</v>
      </c>
      <c r="N23" s="2384">
        <f>$L$23</f>
        <v>0</v>
      </c>
      <c r="O23" s="2574"/>
      <c r="P23" s="2575"/>
      <c r="Q23" s="2575"/>
      <c r="R23" s="2576"/>
      <c r="U23" s="2274" t="s">
        <v>515</v>
      </c>
      <c r="V23" s="2357">
        <v>0</v>
      </c>
      <c r="W23" s="2357">
        <v>0</v>
      </c>
      <c r="X23" s="2358">
        <v>0</v>
      </c>
      <c r="AA23" s="2297"/>
      <c r="AB23" s="2363"/>
      <c r="AC23" s="2363"/>
      <c r="AD23" s="2376"/>
    </row>
    <row r="24" spans="2:30" ht="60.75" thickBot="1" x14ac:dyDescent="0.3">
      <c r="B24" s="2274" t="s">
        <v>1146</v>
      </c>
      <c r="C24" s="2367">
        <f>'Balances anuales'!B23-SUM(C8:C14)-SUM(C18:C23)</f>
        <v>0</v>
      </c>
      <c r="D24" s="2450" t="e">
        <f t="shared" si="3"/>
        <v>#DIV/0!</v>
      </c>
      <c r="K24" s="2347" t="s">
        <v>1161</v>
      </c>
      <c r="L24" s="2351">
        <f>-(SUM(Amortizaciones!F10:F17)+SUM(Amortizaciones!C10:C17))</f>
        <v>0</v>
      </c>
      <c r="M24" s="2351">
        <f>L24-(SUM(Amortizaciones!G10:G17))</f>
        <v>0</v>
      </c>
      <c r="N24" s="2384">
        <f>M24-(SUM(Amortizaciones!H10:H17))</f>
        <v>0</v>
      </c>
      <c r="O24" s="2577"/>
      <c r="P24" s="2578"/>
      <c r="Q24" s="2578"/>
      <c r="R24" s="2579"/>
      <c r="U24" s="2274"/>
      <c r="V24" s="2292"/>
      <c r="W24" s="2292"/>
      <c r="X24" s="2293"/>
      <c r="AA24" s="2297"/>
      <c r="AB24" s="2295"/>
      <c r="AC24" s="2295"/>
      <c r="AD24" s="2301"/>
    </row>
    <row r="25" spans="2:30" x14ac:dyDescent="0.25">
      <c r="B25" s="2274"/>
      <c r="C25" s="2278"/>
      <c r="D25" s="2279"/>
      <c r="K25" s="2563" t="s">
        <v>1227</v>
      </c>
      <c r="L25" s="2564"/>
      <c r="M25" s="2564"/>
      <c r="N25" s="2564"/>
      <c r="O25" s="2577"/>
      <c r="P25" s="2578"/>
      <c r="Q25" s="2578"/>
      <c r="R25" s="2579"/>
      <c r="U25" s="2274"/>
      <c r="V25" s="2292"/>
      <c r="W25" s="2292"/>
      <c r="X25" s="2293"/>
      <c r="AA25" s="2298" t="s">
        <v>1196</v>
      </c>
      <c r="AB25" s="2359">
        <f>SUM(AB12:AB23)</f>
        <v>16362.959468393694</v>
      </c>
      <c r="AC25" s="2359">
        <f t="shared" ref="AC25:AD25" si="4">SUM(AC12:AC23)</f>
        <v>18163.530495823823</v>
      </c>
      <c r="AD25" s="2360">
        <f t="shared" si="4"/>
        <v>21557.95289670378</v>
      </c>
    </row>
    <row r="26" spans="2:30" ht="45.75" thickBot="1" x14ac:dyDescent="0.3">
      <c r="B26" s="2277"/>
      <c r="C26" s="2278"/>
      <c r="D26" s="2279"/>
      <c r="K26" s="2347" t="s">
        <v>1228</v>
      </c>
      <c r="L26" s="2351">
        <f>'Inv. Iniciales ANC'!B81</f>
        <v>0</v>
      </c>
      <c r="M26" s="2351">
        <f>L26</f>
        <v>0</v>
      </c>
      <c r="N26" s="2384">
        <f>M26</f>
        <v>0</v>
      </c>
      <c r="O26" s="2388"/>
      <c r="P26" s="2389"/>
      <c r="Q26" s="2389"/>
      <c r="R26" s="2390"/>
      <c r="U26" s="2274"/>
      <c r="V26" s="2292"/>
      <c r="W26" s="2292"/>
      <c r="X26" s="2293"/>
      <c r="AA26" s="2302" t="s">
        <v>1170</v>
      </c>
      <c r="AB26" s="2365">
        <f>SUM(AB10-AB25)</f>
        <v>-16362.959468393694</v>
      </c>
      <c r="AC26" s="2365">
        <f t="shared" ref="AC26:AD26" si="5">SUM(AC10-AC25)</f>
        <v>-18163.530495823823</v>
      </c>
      <c r="AD26" s="2366">
        <f t="shared" si="5"/>
        <v>-21557.95289670378</v>
      </c>
    </row>
    <row r="27" spans="2:30" ht="16.5" thickBot="1" x14ac:dyDescent="0.3">
      <c r="B27" s="2280" t="s">
        <v>860</v>
      </c>
      <c r="C27" s="2368">
        <f>SUM(C8:C24)</f>
        <v>0</v>
      </c>
      <c r="D27" s="2449" t="e">
        <f>SUM(D18:D24,D8:D14)</f>
        <v>#DIV/0!</v>
      </c>
      <c r="K27" s="2580" t="s">
        <v>1225</v>
      </c>
      <c r="L27" s="2581"/>
      <c r="M27" s="2581"/>
      <c r="N27" s="2582"/>
      <c r="O27" s="2581" t="s">
        <v>1230</v>
      </c>
      <c r="P27" s="2581"/>
      <c r="Q27" s="2581"/>
      <c r="R27" s="2582"/>
      <c r="U27" s="2270" t="s">
        <v>1183</v>
      </c>
      <c r="V27" s="2359">
        <f>SUM(V14:V23)</f>
        <v>16362.959468393694</v>
      </c>
      <c r="W27" s="2359">
        <f t="shared" ref="W27" si="6">SUM(W14:W23)</f>
        <v>18163.530495823823</v>
      </c>
      <c r="X27" s="2360">
        <f>SUM(X14:X23)</f>
        <v>21557.95289670378</v>
      </c>
      <c r="AA27" s="2298" t="s">
        <v>1197</v>
      </c>
      <c r="AB27" s="2359">
        <f>'Resumen Tesorerias'!B28</f>
        <v>0</v>
      </c>
      <c r="AC27" s="2359">
        <f>AB28</f>
        <v>-16362.959468393694</v>
      </c>
      <c r="AD27" s="2360">
        <f>AC28</f>
        <v>-34526.489964217515</v>
      </c>
    </row>
    <row r="28" spans="2:30" s="1679" customFormat="1" ht="16.5" thickBot="1" x14ac:dyDescent="0.3">
      <c r="K28" s="2284" t="s">
        <v>780</v>
      </c>
      <c r="L28" s="2351">
        <f>'Balances anuales'!D16</f>
        <v>0</v>
      </c>
      <c r="M28" s="2351">
        <f>'Balances anuales'!F16</f>
        <v>0</v>
      </c>
      <c r="N28" s="2352">
        <f>'Balances anuales'!H16</f>
        <v>0</v>
      </c>
      <c r="O28" s="2285" t="s">
        <v>142</v>
      </c>
      <c r="P28" s="2351">
        <f>'Balances anuales'!D39-P29</f>
        <v>0</v>
      </c>
      <c r="Q28" s="2351">
        <f>'Balances anuales'!F39-Q29</f>
        <v>0</v>
      </c>
      <c r="R28" s="2352">
        <f>'Balances anuales'!H39-R29</f>
        <v>0</v>
      </c>
      <c r="U28" s="2294" t="s">
        <v>1184</v>
      </c>
      <c r="V28" s="2361">
        <f>SUM(V12,-V27)</f>
        <v>-16362.959468393694</v>
      </c>
      <c r="W28" s="2361">
        <f t="shared" ref="W28:X28" si="7">SUM(W12,-W27)</f>
        <v>-18163.530495823823</v>
      </c>
      <c r="X28" s="2362">
        <f t="shared" si="7"/>
        <v>-21557.95289670378</v>
      </c>
      <c r="AA28" s="2303" t="s">
        <v>1198</v>
      </c>
      <c r="AB28" s="2361">
        <f>SUM(AB26:AB27)</f>
        <v>-16362.959468393694</v>
      </c>
      <c r="AC28" s="2361">
        <f>SUM(AC26:AC27)</f>
        <v>-34526.489964217515</v>
      </c>
      <c r="AD28" s="2362">
        <f>SUM(AD26:AD27)</f>
        <v>-56084.442860921292</v>
      </c>
    </row>
    <row r="29" spans="2:30" s="1679" customFormat="1" ht="30" x14ac:dyDescent="0.25">
      <c r="K29" s="2284" t="s">
        <v>1162</v>
      </c>
      <c r="L29" s="2452">
        <v>0</v>
      </c>
      <c r="M29" s="2452">
        <v>0</v>
      </c>
      <c r="N29" s="2453">
        <v>0</v>
      </c>
      <c r="O29" s="2454" t="s">
        <v>1160</v>
      </c>
      <c r="P29" s="2452">
        <v>0</v>
      </c>
      <c r="Q29" s="2452">
        <v>0</v>
      </c>
      <c r="R29" s="2453">
        <v>0</v>
      </c>
    </row>
    <row r="30" spans="2:30" s="1679" customFormat="1" x14ac:dyDescent="0.25">
      <c r="K30" s="2284" t="s">
        <v>781</v>
      </c>
      <c r="L30" s="2351">
        <f>'Balances anuales'!D17-L31</f>
        <v>0</v>
      </c>
      <c r="M30" s="2351">
        <f>'Balances anuales'!F17-M31</f>
        <v>0</v>
      </c>
      <c r="N30" s="2352">
        <f>'Balances anuales'!H17-N31</f>
        <v>0</v>
      </c>
      <c r="O30" s="2454" t="s">
        <v>1163</v>
      </c>
      <c r="P30" s="2351">
        <f>'Balances anuales'!D42</f>
        <v>0</v>
      </c>
      <c r="Q30" s="2351">
        <f>'Balances anuales'!F42</f>
        <v>0</v>
      </c>
      <c r="R30" s="2352">
        <f>'Balances anuales'!H42</f>
        <v>0</v>
      </c>
    </row>
    <row r="31" spans="2:30" s="1679" customFormat="1" ht="30" x14ac:dyDescent="0.25">
      <c r="K31" s="2284" t="s">
        <v>1164</v>
      </c>
      <c r="L31" s="2452">
        <v>0</v>
      </c>
      <c r="M31" s="2452">
        <v>0</v>
      </c>
      <c r="N31" s="2453">
        <v>0</v>
      </c>
      <c r="O31" s="2454" t="s">
        <v>1165</v>
      </c>
      <c r="P31" s="2452">
        <v>0</v>
      </c>
      <c r="Q31" s="2452">
        <v>0</v>
      </c>
      <c r="R31" s="2453">
        <v>0</v>
      </c>
      <c r="S31" s="2348"/>
      <c r="T31" s="2348"/>
      <c r="U31" s="2348"/>
    </row>
    <row r="32" spans="2:30" s="1679" customFormat="1" ht="61.5" customHeight="1" x14ac:dyDescent="0.25">
      <c r="K32" s="2284" t="s">
        <v>550</v>
      </c>
      <c r="L32" s="2351">
        <f>'Balances anuales'!D15</f>
        <v>0</v>
      </c>
      <c r="M32" s="2351">
        <f>'Balances anuales'!F15</f>
        <v>0</v>
      </c>
      <c r="N32" s="2352">
        <v>0</v>
      </c>
      <c r="O32" s="2285" t="s">
        <v>612</v>
      </c>
      <c r="P32" s="2351">
        <v>0</v>
      </c>
      <c r="Q32" s="2351">
        <v>0</v>
      </c>
      <c r="R32" s="2352">
        <v>0</v>
      </c>
    </row>
    <row r="33" spans="11:18" s="1679" customFormat="1" ht="45" x14ac:dyDescent="0.25">
      <c r="K33" s="2284" t="s">
        <v>1166</v>
      </c>
      <c r="L33" s="2351">
        <f>'Balances anuales'!D19+'Balances anuales'!D20+'Balances anuales'!D18</f>
        <v>0</v>
      </c>
      <c r="M33" s="2351">
        <f>'Balances anuales'!F19+'Balances anuales'!F20+'Balances anuales'!F18</f>
        <v>0</v>
      </c>
      <c r="N33" s="2351">
        <f>'Balances anuales'!H19+'Balances anuales'!H20+'Balances anuales'!H18</f>
        <v>0</v>
      </c>
      <c r="O33" s="2285" t="s">
        <v>1167</v>
      </c>
      <c r="P33" s="2351">
        <f>'Balances anuales'!D40+'Balances anuales'!D41</f>
        <v>0</v>
      </c>
      <c r="Q33" s="2351">
        <f>'Balances anuales'!F40+'Balances anuales'!F41</f>
        <v>0</v>
      </c>
      <c r="R33" s="2352">
        <f>'Balances anuales'!H40+'Balances anuales'!H41</f>
        <v>0</v>
      </c>
    </row>
    <row r="34" spans="11:18" s="1679" customFormat="1" ht="45" x14ac:dyDescent="0.25">
      <c r="K34" s="2284" t="s">
        <v>1199</v>
      </c>
      <c r="L34" s="2351">
        <f>IF(AB28&lt;0,0,AB28-L35)</f>
        <v>0</v>
      </c>
      <c r="M34" s="2351">
        <f>IF(AC28&lt;0,0,AC28-M35)</f>
        <v>0</v>
      </c>
      <c r="N34" s="2352">
        <f>IF(AD28&lt;0,0,AD28-N35)</f>
        <v>0</v>
      </c>
      <c r="O34" s="2285" t="s">
        <v>1200</v>
      </c>
      <c r="P34" s="2351">
        <f>'Resumen Gastos Fijos'!B16/12</f>
        <v>0</v>
      </c>
      <c r="Q34" s="2351">
        <f>'Resumen Gastos Fijos'!C16/12</f>
        <v>0</v>
      </c>
      <c r="R34" s="2352">
        <v>0</v>
      </c>
    </row>
    <row r="35" spans="11:18" s="1679" customFormat="1" ht="60" x14ac:dyDescent="0.25">
      <c r="K35" s="2284" t="s">
        <v>1201</v>
      </c>
      <c r="L35" s="2351">
        <f>IF(AB28&lt;0,0,AB28*0.8)</f>
        <v>0</v>
      </c>
      <c r="M35" s="2351">
        <f>IF(AC28&lt;0,0,AC28*0.8)</f>
        <v>0</v>
      </c>
      <c r="N35" s="2352">
        <f>IF(AD28&lt;0,0,AD28*0.8)</f>
        <v>0</v>
      </c>
      <c r="O35" s="2285" t="s">
        <v>1202</v>
      </c>
      <c r="P35" s="2351">
        <f>'Balances anuales'!D37+IF(AB28&lt;0,-AB28,0)-P34</f>
        <v>16362.959468393694</v>
      </c>
      <c r="Q35" s="2351">
        <f>'Balances anuales'!F37+IF(AC28&lt;0,-AC28,0)-Q34</f>
        <v>34526.489964217515</v>
      </c>
      <c r="R35" s="2352">
        <f>'Balances anuales'!H37+IF(AD28&lt;0,-AD28,0)-R34</f>
        <v>56084.442860921292</v>
      </c>
    </row>
    <row r="36" spans="11:18" s="1679" customFormat="1" ht="30.75" thickBot="1" x14ac:dyDescent="0.3">
      <c r="K36" s="2304" t="s">
        <v>1203</v>
      </c>
      <c r="L36" s="2353">
        <f>SUM(L28:L35,L17:L24,L26,L12:L15,L9:L10)</f>
        <v>0</v>
      </c>
      <c r="M36" s="2353">
        <f t="shared" ref="M36:N36" si="8">SUM(M28:M35,M17:M24,M26,M12:M15,M9:M10)</f>
        <v>0</v>
      </c>
      <c r="N36" s="2354">
        <f t="shared" si="8"/>
        <v>0</v>
      </c>
      <c r="O36" s="2290" t="s">
        <v>1204</v>
      </c>
      <c r="P36" s="2353">
        <f>SUM(P28:P35,P20:P25,P12:P15,P9:P11)</f>
        <v>0</v>
      </c>
      <c r="Q36" s="2353">
        <f>SUM(Q28:Q35,Q20:Q25,Q12:Q15,Q9:Q11)</f>
        <v>0</v>
      </c>
      <c r="R36" s="2354">
        <f>SUM(R28:R35,R20:R25,R12:R15,R9:R11)</f>
        <v>0</v>
      </c>
    </row>
    <row r="37" spans="11:18" s="1679" customFormat="1" x14ac:dyDescent="0.25"/>
    <row r="38" spans="11:18" s="1679" customFormat="1" x14ac:dyDescent="0.25"/>
    <row r="39" spans="11:18" s="1679" customFormat="1" x14ac:dyDescent="0.25"/>
    <row r="40" spans="11:18" s="1679" customFormat="1" x14ac:dyDescent="0.25"/>
    <row r="41" spans="11:18" s="1679" customFormat="1" x14ac:dyDescent="0.25"/>
    <row r="42" spans="11:18" s="1679" customFormat="1" x14ac:dyDescent="0.25"/>
    <row r="43" spans="11:18" s="1679" customFormat="1" x14ac:dyDescent="0.25"/>
    <row r="44" spans="11:18" s="1679" customFormat="1" x14ac:dyDescent="0.25"/>
    <row r="45" spans="11:18" s="1679" customFormat="1" x14ac:dyDescent="0.25"/>
    <row r="46" spans="11:18" s="1679" customFormat="1" x14ac:dyDescent="0.25"/>
    <row r="47" spans="11:18" s="1679" customFormat="1" x14ac:dyDescent="0.25"/>
    <row r="48" spans="11:18" s="1679" customFormat="1" x14ac:dyDescent="0.25"/>
    <row r="49" s="1679" customFormat="1" x14ac:dyDescent="0.25"/>
    <row r="50" s="1679" customFormat="1" x14ac:dyDescent="0.25"/>
    <row r="51" s="1679" customFormat="1" x14ac:dyDescent="0.25"/>
    <row r="52" s="1679" customFormat="1" x14ac:dyDescent="0.25"/>
    <row r="53" s="1679" customFormat="1" x14ac:dyDescent="0.25"/>
    <row r="54" s="1679" customFormat="1" x14ac:dyDescent="0.25"/>
    <row r="55" s="1679" customFormat="1" x14ac:dyDescent="0.25"/>
    <row r="56" s="1679" customFormat="1" x14ac:dyDescent="0.25"/>
    <row r="57" s="1679" customFormat="1" x14ac:dyDescent="0.25"/>
    <row r="58" s="1679" customFormat="1" x14ac:dyDescent="0.25"/>
    <row r="59" s="1679" customFormat="1" x14ac:dyDescent="0.25"/>
    <row r="60" s="1679" customFormat="1" x14ac:dyDescent="0.25"/>
    <row r="61" s="1679" customFormat="1" x14ac:dyDescent="0.25"/>
    <row r="62" s="1679" customFormat="1" x14ac:dyDescent="0.25"/>
    <row r="63" s="1679" customFormat="1" x14ac:dyDescent="0.25"/>
    <row r="64" s="1679" customFormat="1" x14ac:dyDescent="0.25"/>
    <row r="65" s="1679" customFormat="1" x14ac:dyDescent="0.25"/>
    <row r="66" s="1679" customFormat="1" x14ac:dyDescent="0.25"/>
    <row r="67" s="1679" customFormat="1" x14ac:dyDescent="0.25"/>
    <row r="68" s="1679" customFormat="1" x14ac:dyDescent="0.25"/>
    <row r="69" s="1679" customFormat="1" x14ac:dyDescent="0.25"/>
    <row r="70" s="1679" customFormat="1" x14ac:dyDescent="0.25"/>
    <row r="71" s="1679" customFormat="1" x14ac:dyDescent="0.25"/>
    <row r="72" s="1679" customFormat="1" x14ac:dyDescent="0.25"/>
    <row r="73" s="1679" customFormat="1" x14ac:dyDescent="0.25"/>
    <row r="74" s="1679" customFormat="1" x14ac:dyDescent="0.25"/>
    <row r="75" s="1679" customFormat="1" x14ac:dyDescent="0.25"/>
    <row r="76" s="1679" customFormat="1" x14ac:dyDescent="0.25"/>
    <row r="77" s="1679" customFormat="1" x14ac:dyDescent="0.25"/>
    <row r="78" s="1679" customFormat="1" ht="16.5" customHeight="1" x14ac:dyDescent="0.25"/>
    <row r="79" s="1679" customFormat="1" x14ac:dyDescent="0.25"/>
    <row r="80" s="1679" customFormat="1" x14ac:dyDescent="0.25"/>
    <row r="81" s="1679" customFormat="1" x14ac:dyDescent="0.25"/>
    <row r="82" s="1679" customFormat="1" x14ac:dyDescent="0.25"/>
    <row r="83" s="1679" customFormat="1" x14ac:dyDescent="0.25"/>
    <row r="84" s="1679" customFormat="1" x14ac:dyDescent="0.25"/>
    <row r="85" s="1679" customFormat="1" x14ac:dyDescent="0.25"/>
    <row r="86" s="1679" customFormat="1" x14ac:dyDescent="0.25"/>
    <row r="87" s="1679" customFormat="1" x14ac:dyDescent="0.25"/>
    <row r="88" s="1679" customFormat="1" x14ac:dyDescent="0.25"/>
    <row r="89" s="1679" customFormat="1" x14ac:dyDescent="0.25"/>
    <row r="90" s="1679" customFormat="1" x14ac:dyDescent="0.25"/>
    <row r="91" s="1679" customFormat="1" x14ac:dyDescent="0.25"/>
    <row r="92" s="1679" customFormat="1" x14ac:dyDescent="0.25"/>
    <row r="93" s="1679" customFormat="1" x14ac:dyDescent="0.25"/>
    <row r="94" s="1679" customFormat="1" x14ac:dyDescent="0.25"/>
    <row r="95" s="1679" customFormat="1" x14ac:dyDescent="0.25"/>
    <row r="96" s="1679" customFormat="1" x14ac:dyDescent="0.25"/>
    <row r="97" s="1679" customFormat="1" x14ac:dyDescent="0.25"/>
    <row r="98" s="1679" customFormat="1" x14ac:dyDescent="0.25"/>
    <row r="99" s="1679" customFormat="1" x14ac:dyDescent="0.25"/>
    <row r="100" s="1679" customFormat="1" x14ac:dyDescent="0.25"/>
    <row r="101" s="1679" customFormat="1" x14ac:dyDescent="0.25"/>
    <row r="102" s="1679" customFormat="1" x14ac:dyDescent="0.25"/>
    <row r="103" s="1679" customFormat="1" x14ac:dyDescent="0.25"/>
    <row r="104" s="1679" customFormat="1" x14ac:dyDescent="0.25"/>
    <row r="105" s="1679" customFormat="1" x14ac:dyDescent="0.25"/>
    <row r="106" s="1679" customFormat="1" x14ac:dyDescent="0.25"/>
    <row r="107" s="1679" customFormat="1" x14ac:dyDescent="0.25"/>
    <row r="108" s="1679" customFormat="1" x14ac:dyDescent="0.25"/>
    <row r="109" s="1679" customFormat="1" x14ac:dyDescent="0.25"/>
    <row r="110" s="1679" customFormat="1" x14ac:dyDescent="0.25"/>
    <row r="111" s="1679" customFormat="1" x14ac:dyDescent="0.25"/>
    <row r="112" s="1679" customFormat="1" x14ac:dyDescent="0.25"/>
    <row r="113" s="1679" customFormat="1" x14ac:dyDescent="0.25"/>
    <row r="114" s="1679" customFormat="1" x14ac:dyDescent="0.25"/>
    <row r="115" s="1679" customFormat="1" x14ac:dyDescent="0.25"/>
    <row r="116" s="1679" customFormat="1" x14ac:dyDescent="0.25"/>
    <row r="117" s="1679" customFormat="1" x14ac:dyDescent="0.25"/>
    <row r="118" s="1679" customFormat="1" x14ac:dyDescent="0.25"/>
    <row r="119" s="1679" customFormat="1" x14ac:dyDescent="0.25"/>
    <row r="120" s="1679" customFormat="1" x14ac:dyDescent="0.25"/>
    <row r="121" s="1679" customFormat="1" x14ac:dyDescent="0.25"/>
    <row r="122" s="1679" customFormat="1" x14ac:dyDescent="0.25"/>
    <row r="123" s="1679" customFormat="1" x14ac:dyDescent="0.25"/>
    <row r="124" s="1679" customFormat="1" x14ac:dyDescent="0.25"/>
    <row r="125" s="1679" customFormat="1" x14ac:dyDescent="0.25"/>
    <row r="126" s="1679" customFormat="1" x14ac:dyDescent="0.25"/>
    <row r="127" s="1679" customFormat="1" x14ac:dyDescent="0.25"/>
    <row r="128" s="1679" customFormat="1" x14ac:dyDescent="0.25"/>
    <row r="129" s="1679" customFormat="1" x14ac:dyDescent="0.25"/>
    <row r="130" s="1679" customFormat="1" x14ac:dyDescent="0.25"/>
    <row r="131" s="1679" customFormat="1" x14ac:dyDescent="0.25"/>
    <row r="132" s="1679" customFormat="1" x14ac:dyDescent="0.25"/>
    <row r="133" s="1679" customFormat="1" x14ac:dyDescent="0.25"/>
    <row r="134" s="1679" customFormat="1" x14ac:dyDescent="0.25"/>
    <row r="135" s="1679" customFormat="1" x14ac:dyDescent="0.25"/>
    <row r="136" s="1679" customFormat="1" x14ac:dyDescent="0.25"/>
    <row r="137" s="1679" customFormat="1" x14ac:dyDescent="0.25"/>
    <row r="138" s="1679" customFormat="1" x14ac:dyDescent="0.25"/>
    <row r="139" s="1679" customFormat="1" x14ac:dyDescent="0.25"/>
    <row r="140" s="1679" customFormat="1" x14ac:dyDescent="0.25"/>
    <row r="141" s="1679" customFormat="1" x14ac:dyDescent="0.25"/>
    <row r="142" s="1679" customFormat="1" x14ac:dyDescent="0.25"/>
    <row r="143" s="1679" customFormat="1" x14ac:dyDescent="0.25"/>
    <row r="144" s="1679" customFormat="1" x14ac:dyDescent="0.25"/>
    <row r="145" s="1679" customFormat="1" x14ac:dyDescent="0.25"/>
    <row r="146" s="1679" customFormat="1" x14ac:dyDescent="0.25"/>
    <row r="147" s="1679" customFormat="1" x14ac:dyDescent="0.25"/>
    <row r="148" s="1679" customFormat="1" x14ac:dyDescent="0.25"/>
    <row r="149" s="1679" customFormat="1" x14ac:dyDescent="0.25"/>
    <row r="150" s="1679" customFormat="1" x14ac:dyDescent="0.25"/>
    <row r="151" s="1679" customFormat="1" x14ac:dyDescent="0.25"/>
    <row r="152" s="1679" customFormat="1" x14ac:dyDescent="0.25"/>
    <row r="153" s="1679" customFormat="1" x14ac:dyDescent="0.25"/>
    <row r="154" s="1679" customFormat="1" x14ac:dyDescent="0.25"/>
    <row r="155" s="1679" customFormat="1" x14ac:dyDescent="0.25"/>
    <row r="156" s="1679" customFormat="1" x14ac:dyDescent="0.25"/>
    <row r="157" s="1679" customFormat="1" x14ac:dyDescent="0.25"/>
    <row r="158" s="1679" customFormat="1" x14ac:dyDescent="0.25"/>
    <row r="159" s="1679" customFormat="1" x14ac:dyDescent="0.25"/>
    <row r="160" s="1679" customFormat="1" x14ac:dyDescent="0.25"/>
    <row r="161" s="1679" customFormat="1" x14ac:dyDescent="0.25"/>
    <row r="162" s="1679" customFormat="1" x14ac:dyDescent="0.25"/>
    <row r="163" s="1679" customFormat="1" x14ac:dyDescent="0.25"/>
    <row r="164" s="1679" customFormat="1" x14ac:dyDescent="0.25"/>
    <row r="165" s="1679" customFormat="1" x14ac:dyDescent="0.25"/>
    <row r="166" s="1679" customFormat="1" x14ac:dyDescent="0.25"/>
    <row r="167" s="1679" customFormat="1" x14ac:dyDescent="0.25"/>
    <row r="168" s="1679" customFormat="1" x14ac:dyDescent="0.25"/>
    <row r="169" s="1679" customFormat="1" x14ac:dyDescent="0.25"/>
    <row r="170" s="1679" customFormat="1" x14ac:dyDescent="0.25"/>
    <row r="171" s="1679" customFormat="1" x14ac:dyDescent="0.25"/>
    <row r="172" s="1679" customFormat="1" x14ac:dyDescent="0.25"/>
    <row r="173" s="1679" customFormat="1" x14ac:dyDescent="0.25"/>
    <row r="174" s="1679" customFormat="1" x14ac:dyDescent="0.25"/>
    <row r="175" s="1679" customFormat="1" x14ac:dyDescent="0.25"/>
    <row r="176" s="1679" customFormat="1" x14ac:dyDescent="0.25"/>
    <row r="177" s="1679" customFormat="1" x14ac:dyDescent="0.25"/>
    <row r="178" s="1679" customFormat="1" x14ac:dyDescent="0.25"/>
    <row r="179" s="1679" customFormat="1" x14ac:dyDescent="0.25"/>
    <row r="180" s="1679" customFormat="1" x14ac:dyDescent="0.25"/>
    <row r="181" s="1679" customFormat="1" x14ac:dyDescent="0.25"/>
    <row r="182" s="1679" customFormat="1" x14ac:dyDescent="0.25"/>
    <row r="183" s="1679" customFormat="1" x14ac:dyDescent="0.25"/>
    <row r="184" s="1679" customFormat="1" x14ac:dyDescent="0.25"/>
    <row r="185" s="1679" customFormat="1" x14ac:dyDescent="0.25"/>
    <row r="186" s="1679" customFormat="1" x14ac:dyDescent="0.25"/>
    <row r="187" s="1679" customFormat="1" x14ac:dyDescent="0.25"/>
    <row r="188" s="1679" customFormat="1" x14ac:dyDescent="0.25"/>
    <row r="189" s="1679" customFormat="1" x14ac:dyDescent="0.25"/>
    <row r="190" s="1679" customFormat="1" x14ac:dyDescent="0.25"/>
    <row r="191" s="1679" customFormat="1" x14ac:dyDescent="0.25"/>
    <row r="192" s="1679" customFormat="1" x14ac:dyDescent="0.25"/>
    <row r="193" s="1679" customFormat="1" x14ac:dyDescent="0.25"/>
    <row r="194" s="1679" customFormat="1" x14ac:dyDescent="0.25"/>
    <row r="195" s="1679" customFormat="1" x14ac:dyDescent="0.25"/>
    <row r="196" s="1679" customFormat="1" x14ac:dyDescent="0.25"/>
    <row r="197" s="1679" customFormat="1" x14ac:dyDescent="0.25"/>
    <row r="198" s="1679" customFormat="1" x14ac:dyDescent="0.25"/>
    <row r="199" s="1679" customFormat="1" x14ac:dyDescent="0.25"/>
    <row r="200" s="1679" customFormat="1" x14ac:dyDescent="0.25"/>
    <row r="201" s="1679" customFormat="1" x14ac:dyDescent="0.25"/>
    <row r="202" s="1679" customFormat="1" x14ac:dyDescent="0.25"/>
    <row r="203" s="1679" customFormat="1" x14ac:dyDescent="0.25"/>
    <row r="204" s="1679" customFormat="1" x14ac:dyDescent="0.25"/>
    <row r="205" s="1679" customFormat="1" x14ac:dyDescent="0.25"/>
    <row r="206" s="1679" customFormat="1" x14ac:dyDescent="0.25"/>
    <row r="207" s="1679" customFormat="1" x14ac:dyDescent="0.25"/>
    <row r="208" s="1679" customFormat="1" x14ac:dyDescent="0.25"/>
    <row r="209" s="1679" customFormat="1" x14ac:dyDescent="0.25"/>
    <row r="210" s="1679" customFormat="1" x14ac:dyDescent="0.25"/>
    <row r="211" s="1679" customFormat="1" x14ac:dyDescent="0.25"/>
    <row r="212" s="1679" customFormat="1" x14ac:dyDescent="0.25"/>
    <row r="213" s="1679" customFormat="1" x14ac:dyDescent="0.25"/>
    <row r="214" s="1679" customFormat="1" x14ac:dyDescent="0.25"/>
    <row r="215" s="1679" customFormat="1" x14ac:dyDescent="0.25"/>
    <row r="216" s="1679" customFormat="1" x14ac:dyDescent="0.25"/>
    <row r="217" s="1679" customFormat="1" x14ac:dyDescent="0.25"/>
    <row r="218" s="1679" customFormat="1" x14ac:dyDescent="0.25"/>
    <row r="219" s="1679" customFormat="1" x14ac:dyDescent="0.25"/>
    <row r="220" s="1679" customFormat="1" x14ac:dyDescent="0.25"/>
    <row r="221" s="1679" customFormat="1" x14ac:dyDescent="0.25"/>
    <row r="222" s="1679" customFormat="1" x14ac:dyDescent="0.25"/>
    <row r="223" s="1679" customFormat="1" x14ac:dyDescent="0.25"/>
    <row r="224" s="1679" customFormat="1" x14ac:dyDescent="0.25"/>
    <row r="225" s="1679" customFormat="1" x14ac:dyDescent="0.25"/>
    <row r="226" s="1679" customFormat="1" x14ac:dyDescent="0.25"/>
    <row r="227" s="1679" customFormat="1" x14ac:dyDescent="0.25"/>
    <row r="228" s="1679" customFormat="1" x14ac:dyDescent="0.25"/>
    <row r="229" s="1679" customFormat="1" x14ac:dyDescent="0.25"/>
    <row r="230" s="1679" customFormat="1" x14ac:dyDescent="0.25"/>
    <row r="231" s="1679" customFormat="1" x14ac:dyDescent="0.25"/>
    <row r="232" s="1679" customFormat="1" x14ac:dyDescent="0.25"/>
    <row r="233" s="1679" customFormat="1" x14ac:dyDescent="0.25"/>
    <row r="234" s="1679" customFormat="1" x14ac:dyDescent="0.25"/>
    <row r="235" s="1679" customFormat="1" x14ac:dyDescent="0.25"/>
    <row r="236" s="1679" customFormat="1" x14ac:dyDescent="0.25"/>
    <row r="237" s="1679" customFormat="1" x14ac:dyDescent="0.25"/>
    <row r="238" s="1679" customFormat="1" x14ac:dyDescent="0.25"/>
    <row r="239" s="1679" customFormat="1" x14ac:dyDescent="0.25"/>
    <row r="240" s="1679" customFormat="1" x14ac:dyDescent="0.25"/>
    <row r="241" s="1679" customFormat="1" x14ac:dyDescent="0.25"/>
    <row r="242" s="1679" customFormat="1" x14ac:dyDescent="0.25"/>
    <row r="243" s="1679" customFormat="1" x14ac:dyDescent="0.25"/>
    <row r="244" s="1679" customFormat="1" x14ac:dyDescent="0.25"/>
    <row r="245" s="1679" customFormat="1" x14ac:dyDescent="0.25"/>
    <row r="246" s="1679" customFormat="1" x14ac:dyDescent="0.25"/>
    <row r="247" s="1679" customFormat="1" x14ac:dyDescent="0.25"/>
    <row r="248" s="1679" customFormat="1" x14ac:dyDescent="0.25"/>
    <row r="249" s="1679" customFormat="1" x14ac:dyDescent="0.25"/>
    <row r="250" s="1679" customFormat="1" x14ac:dyDescent="0.25"/>
    <row r="251" s="1679" customFormat="1" x14ac:dyDescent="0.25"/>
    <row r="252" s="1679" customFormat="1" x14ac:dyDescent="0.25"/>
    <row r="253" s="1679" customFormat="1" x14ac:dyDescent="0.25"/>
    <row r="254" s="1679" customFormat="1" x14ac:dyDescent="0.25"/>
    <row r="255" s="1679" customFormat="1" x14ac:dyDescent="0.25"/>
    <row r="256" s="1679" customFormat="1" x14ac:dyDescent="0.25"/>
    <row r="257" s="1679" customFormat="1" x14ac:dyDescent="0.25"/>
    <row r="258" s="1679" customFormat="1" x14ac:dyDescent="0.25"/>
    <row r="259" s="1679" customFormat="1" x14ac:dyDescent="0.25"/>
    <row r="260" s="1679" customFormat="1" x14ac:dyDescent="0.25"/>
    <row r="261" s="1679" customFormat="1" x14ac:dyDescent="0.25"/>
    <row r="262" s="1679" customFormat="1" x14ac:dyDescent="0.25"/>
    <row r="263" s="1679" customFormat="1" x14ac:dyDescent="0.25"/>
    <row r="264" s="1679" customFormat="1" x14ac:dyDescent="0.25"/>
    <row r="265" s="1679" customFormat="1" x14ac:dyDescent="0.25"/>
    <row r="266" s="1679" customFormat="1" x14ac:dyDescent="0.25"/>
    <row r="267" s="1679" customFormat="1" x14ac:dyDescent="0.25"/>
    <row r="268" s="1679" customFormat="1" x14ac:dyDescent="0.25"/>
    <row r="269" s="1679" customFormat="1" x14ac:dyDescent="0.25"/>
    <row r="270" s="1679" customFormat="1" x14ac:dyDescent="0.25"/>
    <row r="271" s="1679" customFormat="1" x14ac:dyDescent="0.25"/>
    <row r="272" s="1679" customFormat="1" x14ac:dyDescent="0.25"/>
    <row r="273" s="1679" customFormat="1" x14ac:dyDescent="0.25"/>
    <row r="274" s="1679" customFormat="1" x14ac:dyDescent="0.25"/>
    <row r="275" s="1679" customFormat="1" x14ac:dyDescent="0.25"/>
    <row r="276" s="1679" customFormat="1" x14ac:dyDescent="0.25"/>
    <row r="277" s="1679" customFormat="1" x14ac:dyDescent="0.25"/>
    <row r="278" s="1679" customFormat="1" x14ac:dyDescent="0.25"/>
    <row r="279" s="1679" customFormat="1" x14ac:dyDescent="0.25"/>
    <row r="280" s="1679" customFormat="1" x14ac:dyDescent="0.25"/>
    <row r="281" s="1679" customFormat="1" x14ac:dyDescent="0.25"/>
    <row r="282" s="1679" customFormat="1" x14ac:dyDescent="0.25"/>
    <row r="283" s="1679" customFormat="1" x14ac:dyDescent="0.25"/>
    <row r="284" s="1679" customFormat="1" x14ac:dyDescent="0.25"/>
    <row r="285" s="1679" customFormat="1" x14ac:dyDescent="0.25"/>
    <row r="286" s="1679" customFormat="1" x14ac:dyDescent="0.25"/>
    <row r="287" s="1679" customFormat="1" x14ac:dyDescent="0.25"/>
    <row r="288" s="1679" customFormat="1" x14ac:dyDescent="0.25"/>
    <row r="289" s="1679" customFormat="1" x14ac:dyDescent="0.25"/>
    <row r="290" s="1679" customFormat="1" x14ac:dyDescent="0.25"/>
    <row r="291" s="1679" customFormat="1" x14ac:dyDescent="0.25"/>
    <row r="292" s="1679" customFormat="1" x14ac:dyDescent="0.25"/>
    <row r="293" s="1679" customFormat="1" x14ac:dyDescent="0.25"/>
    <row r="294" s="1679" customFormat="1" x14ac:dyDescent="0.25"/>
    <row r="295" s="1679" customFormat="1" x14ac:dyDescent="0.25"/>
    <row r="296" s="1679" customFormat="1" x14ac:dyDescent="0.25"/>
    <row r="297" s="1679" customFormat="1" x14ac:dyDescent="0.25"/>
    <row r="298" s="1679" customFormat="1" x14ac:dyDescent="0.25"/>
    <row r="299" s="1679" customFormat="1" x14ac:dyDescent="0.25"/>
    <row r="300" s="1679" customFormat="1" x14ac:dyDescent="0.25"/>
    <row r="301" s="1679" customFormat="1" x14ac:dyDescent="0.25"/>
    <row r="302" s="1679" customFormat="1" x14ac:dyDescent="0.25"/>
    <row r="303" s="1679" customFormat="1" x14ac:dyDescent="0.25"/>
    <row r="304" s="1679" customFormat="1" x14ac:dyDescent="0.25"/>
    <row r="305" s="1679" customFormat="1" x14ac:dyDescent="0.25"/>
    <row r="306" s="1679" customFormat="1" x14ac:dyDescent="0.25"/>
    <row r="307" s="1679" customFormat="1" x14ac:dyDescent="0.25"/>
    <row r="308" s="1679" customFormat="1" x14ac:dyDescent="0.25"/>
    <row r="309" s="1679" customFormat="1" x14ac:dyDescent="0.25"/>
    <row r="310" s="1679" customFormat="1" x14ac:dyDescent="0.25"/>
    <row r="311" s="1679" customFormat="1" x14ac:dyDescent="0.25"/>
    <row r="312" s="1679" customFormat="1" x14ac:dyDescent="0.25"/>
    <row r="313" s="1679" customFormat="1" x14ac:dyDescent="0.25"/>
    <row r="314" s="1679" customFormat="1" x14ac:dyDescent="0.25"/>
    <row r="315" s="1679" customFormat="1" x14ac:dyDescent="0.25"/>
    <row r="316" s="1679" customFormat="1" x14ac:dyDescent="0.25"/>
    <row r="317" s="1679" customFormat="1" x14ac:dyDescent="0.25"/>
    <row r="318" s="1679" customFormat="1" x14ac:dyDescent="0.25"/>
    <row r="319" s="1679" customFormat="1" x14ac:dyDescent="0.25"/>
    <row r="320" s="1679" customFormat="1" x14ac:dyDescent="0.25"/>
    <row r="321" s="1679" customFormat="1" x14ac:dyDescent="0.25"/>
    <row r="322" s="1679" customFormat="1" x14ac:dyDescent="0.25"/>
    <row r="323" s="1679" customFormat="1" x14ac:dyDescent="0.25"/>
    <row r="324" s="1679" customFormat="1" x14ac:dyDescent="0.25"/>
    <row r="325" s="1679" customFormat="1" x14ac:dyDescent="0.25"/>
    <row r="326" s="1679" customFormat="1" x14ac:dyDescent="0.25"/>
    <row r="327" s="1679" customFormat="1" x14ac:dyDescent="0.25"/>
    <row r="328" s="1679" customFormat="1" x14ac:dyDescent="0.25"/>
    <row r="329" s="1679" customFormat="1" x14ac:dyDescent="0.25"/>
    <row r="330" s="1679" customFormat="1" x14ac:dyDescent="0.25"/>
    <row r="331" s="1679" customFormat="1" x14ac:dyDescent="0.25"/>
    <row r="332" s="1679" customFormat="1" x14ac:dyDescent="0.25"/>
    <row r="333" s="1679" customFormat="1" x14ac:dyDescent="0.25"/>
    <row r="334" s="1679" customFormat="1" x14ac:dyDescent="0.25"/>
    <row r="335" s="1679" customFormat="1" x14ac:dyDescent="0.25"/>
    <row r="336" s="1679" customFormat="1" x14ac:dyDescent="0.25"/>
    <row r="337" s="1679" customFormat="1" x14ac:dyDescent="0.25"/>
    <row r="338" s="1679" customFormat="1" x14ac:dyDescent="0.25"/>
    <row r="339" s="1679" customFormat="1" x14ac:dyDescent="0.25"/>
    <row r="340" s="1679" customFormat="1" x14ac:dyDescent="0.25"/>
    <row r="341" s="1679" customFormat="1" x14ac:dyDescent="0.25"/>
    <row r="342" s="1679" customFormat="1" x14ac:dyDescent="0.25"/>
    <row r="343" s="1679" customFormat="1" x14ac:dyDescent="0.25"/>
    <row r="344" s="1679" customFormat="1" x14ac:dyDescent="0.25"/>
    <row r="345" s="1679" customFormat="1" x14ac:dyDescent="0.25"/>
    <row r="346" s="1679" customFormat="1" x14ac:dyDescent="0.25"/>
    <row r="347" s="1679" customFormat="1" x14ac:dyDescent="0.25"/>
    <row r="348" s="1679" customFormat="1" x14ac:dyDescent="0.25"/>
    <row r="349" s="1679" customFormat="1" x14ac:dyDescent="0.25"/>
    <row r="350" s="1679" customFormat="1" x14ac:dyDescent="0.25"/>
    <row r="351" s="1679" customFormat="1" x14ac:dyDescent="0.25"/>
    <row r="352" s="1679" customFormat="1" x14ac:dyDescent="0.25"/>
    <row r="353" s="1679" customFormat="1" x14ac:dyDescent="0.25"/>
    <row r="354" s="1679" customFormat="1" x14ac:dyDescent="0.25"/>
    <row r="355" s="1679" customFormat="1" x14ac:dyDescent="0.25"/>
    <row r="356" s="1679" customFormat="1" x14ac:dyDescent="0.25"/>
    <row r="357" s="1679" customFormat="1" x14ac:dyDescent="0.25"/>
    <row r="358" s="1679" customFormat="1" x14ac:dyDescent="0.25"/>
    <row r="359" s="1679" customFormat="1" x14ac:dyDescent="0.25"/>
    <row r="360" s="1679" customFormat="1" x14ac:dyDescent="0.25"/>
    <row r="361" s="1679" customFormat="1" x14ac:dyDescent="0.25"/>
    <row r="362" s="1679" customFormat="1" x14ac:dyDescent="0.25"/>
    <row r="363" s="1679" customFormat="1" x14ac:dyDescent="0.25"/>
    <row r="364" s="1679" customFormat="1" x14ac:dyDescent="0.25"/>
    <row r="365" s="1679" customFormat="1" x14ac:dyDescent="0.25"/>
    <row r="366" s="1679" customFormat="1" x14ac:dyDescent="0.25"/>
    <row r="367" s="1679" customFormat="1" x14ac:dyDescent="0.25"/>
    <row r="368" s="1679" customFormat="1" x14ac:dyDescent="0.25"/>
    <row r="369" s="1679" customFormat="1" x14ac:dyDescent="0.25"/>
    <row r="370" s="1679" customFormat="1" x14ac:dyDescent="0.25"/>
    <row r="371" s="1679" customFormat="1" x14ac:dyDescent="0.25"/>
    <row r="372" s="1679" customFormat="1" x14ac:dyDescent="0.25"/>
    <row r="373" s="1679" customFormat="1" x14ac:dyDescent="0.25"/>
    <row r="374" s="1679" customFormat="1" x14ac:dyDescent="0.25"/>
    <row r="375" s="1679" customFormat="1" x14ac:dyDescent="0.25"/>
    <row r="376" s="1679" customFormat="1" x14ac:dyDescent="0.25"/>
    <row r="377" s="1679" customFormat="1" x14ac:dyDescent="0.25"/>
    <row r="378" s="1679" customFormat="1" x14ac:dyDescent="0.25"/>
    <row r="379" s="1679" customFormat="1" x14ac:dyDescent="0.25"/>
    <row r="380" s="1679" customFormat="1" x14ac:dyDescent="0.25"/>
    <row r="381" s="1679" customFormat="1" x14ac:dyDescent="0.25"/>
    <row r="382" s="1679" customFormat="1" x14ac:dyDescent="0.25"/>
    <row r="383" s="1679" customFormat="1" x14ac:dyDescent="0.25"/>
    <row r="384" s="1679" customFormat="1" x14ac:dyDescent="0.25"/>
    <row r="385" s="1679" customFormat="1" x14ac:dyDescent="0.25"/>
    <row r="386" s="1679" customFormat="1" x14ac:dyDescent="0.25"/>
    <row r="387" s="1679" customFormat="1" x14ac:dyDescent="0.25"/>
    <row r="388" s="1679" customFormat="1" x14ac:dyDescent="0.25"/>
    <row r="389" s="1679" customFormat="1" x14ac:dyDescent="0.25"/>
    <row r="390" s="1679" customFormat="1" x14ac:dyDescent="0.25"/>
    <row r="391" s="1679" customFormat="1" x14ac:dyDescent="0.25"/>
    <row r="392" s="1679" customFormat="1" x14ac:dyDescent="0.25"/>
    <row r="393" s="1679" customFormat="1" x14ac:dyDescent="0.25"/>
    <row r="394" s="1679" customFormat="1" x14ac:dyDescent="0.25"/>
    <row r="395" s="1679" customFormat="1" x14ac:dyDescent="0.25"/>
    <row r="396" s="1679" customFormat="1" x14ac:dyDescent="0.25"/>
    <row r="397" s="1679" customFormat="1" x14ac:dyDescent="0.25"/>
    <row r="398" s="1679" customFormat="1" x14ac:dyDescent="0.25"/>
    <row r="399" s="1679" customFormat="1" x14ac:dyDescent="0.25"/>
    <row r="400" s="1679" customFormat="1" x14ac:dyDescent="0.25"/>
    <row r="401" s="1679" customFormat="1" x14ac:dyDescent="0.25"/>
    <row r="402" s="1679" customFormat="1" x14ac:dyDescent="0.25"/>
    <row r="403" s="1679" customFormat="1" x14ac:dyDescent="0.25"/>
    <row r="404" s="1679" customFormat="1" x14ac:dyDescent="0.25"/>
    <row r="405" s="1679" customFormat="1" x14ac:dyDescent="0.25"/>
    <row r="406" s="1679" customFormat="1" x14ac:dyDescent="0.25"/>
    <row r="407" s="1679" customFormat="1" x14ac:dyDescent="0.25"/>
    <row r="408" s="1679" customFormat="1" x14ac:dyDescent="0.25"/>
    <row r="409" s="1679" customFormat="1" x14ac:dyDescent="0.25"/>
    <row r="410" s="1679" customFormat="1" x14ac:dyDescent="0.25"/>
    <row r="411" s="1679" customFormat="1" x14ac:dyDescent="0.25"/>
    <row r="412" s="1679" customFormat="1" x14ac:dyDescent="0.25"/>
    <row r="413" s="1679" customFormat="1" x14ac:dyDescent="0.25"/>
    <row r="414" s="1679" customFormat="1" x14ac:dyDescent="0.25"/>
    <row r="415" s="1679" customFormat="1" x14ac:dyDescent="0.25"/>
    <row r="416" s="1679" customFormat="1" x14ac:dyDescent="0.25"/>
    <row r="417" s="1679" customFormat="1" x14ac:dyDescent="0.25"/>
    <row r="418" s="1679" customFormat="1" x14ac:dyDescent="0.25"/>
    <row r="419" s="1679" customFormat="1" x14ac:dyDescent="0.25"/>
    <row r="420" s="1679" customFormat="1" x14ac:dyDescent="0.25"/>
    <row r="421" s="1679" customFormat="1" x14ac:dyDescent="0.25"/>
    <row r="422" s="1679" customFormat="1" x14ac:dyDescent="0.25"/>
    <row r="423" s="1679" customFormat="1" x14ac:dyDescent="0.25"/>
    <row r="424" s="1679" customFormat="1" x14ac:dyDescent="0.25"/>
    <row r="425" s="1679" customFormat="1" x14ac:dyDescent="0.25"/>
    <row r="426" s="1679" customFormat="1" x14ac:dyDescent="0.25"/>
    <row r="427" s="1679" customFormat="1" x14ac:dyDescent="0.25"/>
    <row r="428" s="1679" customFormat="1" x14ac:dyDescent="0.25"/>
    <row r="429" s="1679" customFormat="1" x14ac:dyDescent="0.25"/>
    <row r="430" s="1679" customFormat="1" x14ac:dyDescent="0.25"/>
    <row r="431" s="1679" customFormat="1" x14ac:dyDescent="0.25"/>
    <row r="432" s="1679" customFormat="1" x14ac:dyDescent="0.25"/>
    <row r="433" s="1679" customFormat="1" x14ac:dyDescent="0.25"/>
    <row r="434" s="1679" customFormat="1" x14ac:dyDescent="0.25"/>
    <row r="435" s="1679" customFormat="1" x14ac:dyDescent="0.25"/>
    <row r="436" s="1679" customFormat="1" x14ac:dyDescent="0.25"/>
    <row r="437" s="1679" customFormat="1" x14ac:dyDescent="0.25"/>
    <row r="438" s="1679" customFormat="1" x14ac:dyDescent="0.25"/>
    <row r="439" s="1679" customFormat="1" x14ac:dyDescent="0.25"/>
    <row r="440" s="1679" customFormat="1" x14ac:dyDescent="0.25"/>
    <row r="441" s="1679" customFormat="1" x14ac:dyDescent="0.25"/>
    <row r="442" s="1679" customFormat="1" x14ac:dyDescent="0.25"/>
    <row r="443" s="1679" customFormat="1" x14ac:dyDescent="0.25"/>
    <row r="444" s="1679" customFormat="1" x14ac:dyDescent="0.25"/>
    <row r="445" s="1679" customFormat="1" x14ac:dyDescent="0.25"/>
    <row r="446" s="1679" customFormat="1" x14ac:dyDescent="0.25"/>
    <row r="447" s="1679" customFormat="1" x14ac:dyDescent="0.25"/>
    <row r="448" s="1679" customFormat="1" x14ac:dyDescent="0.25"/>
    <row r="449" s="1679" customFormat="1" x14ac:dyDescent="0.25"/>
    <row r="450" s="1679" customFormat="1" x14ac:dyDescent="0.25"/>
    <row r="451" s="1679" customFormat="1" x14ac:dyDescent="0.25"/>
    <row r="452" s="1679" customFormat="1" x14ac:dyDescent="0.25"/>
    <row r="453" s="1679" customFormat="1" x14ac:dyDescent="0.25"/>
    <row r="454" s="1679" customFormat="1" x14ac:dyDescent="0.25"/>
    <row r="455" s="1679" customFormat="1" x14ac:dyDescent="0.25"/>
    <row r="456" s="1679" customFormat="1" x14ac:dyDescent="0.25"/>
    <row r="457" s="1679" customFormat="1" x14ac:dyDescent="0.25"/>
    <row r="458" s="1679" customFormat="1" x14ac:dyDescent="0.25"/>
    <row r="459" s="1679" customFormat="1" x14ac:dyDescent="0.25"/>
    <row r="460" s="1679" customFormat="1" x14ac:dyDescent="0.25"/>
    <row r="461" s="1679" customFormat="1" x14ac:dyDescent="0.25"/>
    <row r="462" s="1679" customFormat="1" x14ac:dyDescent="0.25"/>
    <row r="463" s="1679" customFormat="1" x14ac:dyDescent="0.25"/>
    <row r="464" s="1679" customFormat="1" x14ac:dyDescent="0.25"/>
    <row r="465" s="1679" customFormat="1" x14ac:dyDescent="0.25"/>
    <row r="466" s="1679" customFormat="1" x14ac:dyDescent="0.25"/>
    <row r="467" s="1679" customFormat="1" x14ac:dyDescent="0.25"/>
    <row r="468" s="1679" customFormat="1" x14ac:dyDescent="0.25"/>
    <row r="469" s="1679" customFormat="1" x14ac:dyDescent="0.25"/>
    <row r="470" s="1679" customFormat="1" x14ac:dyDescent="0.25"/>
    <row r="471" s="1679" customFormat="1" x14ac:dyDescent="0.25"/>
    <row r="472" s="1679" customFormat="1" x14ac:dyDescent="0.25"/>
    <row r="473" s="1679" customFormat="1" x14ac:dyDescent="0.25"/>
    <row r="474" s="1679" customFormat="1" x14ac:dyDescent="0.25"/>
    <row r="475" s="1679" customFormat="1" x14ac:dyDescent="0.25"/>
    <row r="476" s="1679" customFormat="1" x14ac:dyDescent="0.25"/>
    <row r="477" s="1679" customFormat="1" x14ac:dyDescent="0.25"/>
    <row r="478" s="1679" customFormat="1" x14ac:dyDescent="0.25"/>
    <row r="479" s="1679" customFormat="1" x14ac:dyDescent="0.25"/>
    <row r="480" s="1679" customFormat="1" x14ac:dyDescent="0.25"/>
    <row r="481" s="1679" customFormat="1" x14ac:dyDescent="0.25"/>
    <row r="482" s="1679" customFormat="1" x14ac:dyDescent="0.25"/>
    <row r="483" s="1679" customFormat="1" x14ac:dyDescent="0.25"/>
    <row r="484" s="1679" customFormat="1" x14ac:dyDescent="0.25"/>
    <row r="485" s="1679" customFormat="1" x14ac:dyDescent="0.25"/>
    <row r="486" s="1679" customFormat="1" x14ac:dyDescent="0.25"/>
    <row r="487" s="1679" customFormat="1" x14ac:dyDescent="0.25"/>
    <row r="488" s="1679" customFormat="1" x14ac:dyDescent="0.25"/>
    <row r="489" s="1679" customFormat="1" x14ac:dyDescent="0.25"/>
    <row r="490" s="1679" customFormat="1" x14ac:dyDescent="0.25"/>
    <row r="491" s="1679" customFormat="1" x14ac:dyDescent="0.25"/>
    <row r="492" s="1679" customFormat="1" x14ac:dyDescent="0.25"/>
    <row r="493" s="1679" customFormat="1" x14ac:dyDescent="0.25"/>
    <row r="494" s="1679" customFormat="1" x14ac:dyDescent="0.25"/>
    <row r="495" s="1679" customFormat="1" x14ac:dyDescent="0.25"/>
    <row r="496" s="1679" customFormat="1" x14ac:dyDescent="0.25"/>
    <row r="497" s="1679" customFormat="1" x14ac:dyDescent="0.25"/>
    <row r="498" s="1679" customFormat="1" x14ac:dyDescent="0.25"/>
    <row r="499" s="1679" customFormat="1" x14ac:dyDescent="0.25"/>
    <row r="500" s="1679" customFormat="1" x14ac:dyDescent="0.25"/>
    <row r="501" s="1679" customFormat="1" x14ac:dyDescent="0.25"/>
    <row r="502" s="1679" customFormat="1" x14ac:dyDescent="0.25"/>
    <row r="503" s="1679" customFormat="1" x14ac:dyDescent="0.25"/>
    <row r="504" s="1679" customFormat="1" x14ac:dyDescent="0.25"/>
    <row r="505" s="1679" customFormat="1" x14ac:dyDescent="0.25"/>
    <row r="506" s="1679" customFormat="1" x14ac:dyDescent="0.25"/>
    <row r="507" s="1679" customFormat="1" x14ac:dyDescent="0.25"/>
    <row r="508" s="1679" customFormat="1" x14ac:dyDescent="0.25"/>
    <row r="509" s="1679" customFormat="1" x14ac:dyDescent="0.25"/>
    <row r="510" s="1679" customFormat="1" x14ac:dyDescent="0.25"/>
    <row r="511" s="1679" customFormat="1" x14ac:dyDescent="0.25"/>
    <row r="512" s="1679" customFormat="1" x14ac:dyDescent="0.25"/>
    <row r="513" s="1679" customFormat="1" x14ac:dyDescent="0.25"/>
    <row r="514" s="1679" customFormat="1" x14ac:dyDescent="0.25"/>
    <row r="515" s="1679" customFormat="1" x14ac:dyDescent="0.25"/>
    <row r="516" s="1679" customFormat="1" x14ac:dyDescent="0.25"/>
    <row r="517" s="1679" customFormat="1" x14ac:dyDescent="0.25"/>
    <row r="518" s="1679" customFormat="1" x14ac:dyDescent="0.25"/>
    <row r="519" s="1679" customFormat="1" x14ac:dyDescent="0.25"/>
    <row r="520" s="1679" customFormat="1" x14ac:dyDescent="0.25"/>
    <row r="521" s="1679" customFormat="1" x14ac:dyDescent="0.25"/>
    <row r="522" s="1679" customFormat="1" x14ac:dyDescent="0.25"/>
    <row r="523" s="1679" customFormat="1" x14ac:dyDescent="0.25"/>
    <row r="524" s="1679" customFormat="1" x14ac:dyDescent="0.25"/>
    <row r="525" s="1679" customFormat="1" x14ac:dyDescent="0.25"/>
    <row r="526" s="1679" customFormat="1" x14ac:dyDescent="0.25"/>
    <row r="527" s="1679" customFormat="1" x14ac:dyDescent="0.25"/>
    <row r="528" s="1679" customFormat="1" x14ac:dyDescent="0.25"/>
    <row r="529" s="1679" customFormat="1" x14ac:dyDescent="0.25"/>
    <row r="530" s="1679" customFormat="1" x14ac:dyDescent="0.25"/>
    <row r="531" s="1679" customFormat="1" x14ac:dyDescent="0.25"/>
    <row r="532" s="1679" customFormat="1" x14ac:dyDescent="0.25"/>
    <row r="533" s="1679" customFormat="1" x14ac:dyDescent="0.25"/>
    <row r="534" s="1679" customFormat="1" x14ac:dyDescent="0.25"/>
    <row r="535" s="1679" customFormat="1" x14ac:dyDescent="0.25"/>
    <row r="536" s="1679" customFormat="1" x14ac:dyDescent="0.25"/>
    <row r="537" s="1679" customFormat="1" x14ac:dyDescent="0.25"/>
    <row r="538" s="1679" customFormat="1" x14ac:dyDescent="0.25"/>
    <row r="539" s="1679" customFormat="1" x14ac:dyDescent="0.25"/>
    <row r="540" s="1679" customFormat="1" x14ac:dyDescent="0.25"/>
    <row r="541" s="1679" customFormat="1" x14ac:dyDescent="0.25"/>
    <row r="542" s="1679" customFormat="1" x14ac:dyDescent="0.25"/>
    <row r="543" s="1679" customFormat="1" x14ac:dyDescent="0.25"/>
    <row r="544" s="1679" customFormat="1" x14ac:dyDescent="0.25"/>
    <row r="545" s="1679" customFormat="1" x14ac:dyDescent="0.25"/>
    <row r="546" s="1679" customFormat="1" x14ac:dyDescent="0.25"/>
    <row r="547" s="1679" customFormat="1" x14ac:dyDescent="0.25"/>
    <row r="548" s="1679" customFormat="1" x14ac:dyDescent="0.25"/>
    <row r="549" s="1679" customFormat="1" x14ac:dyDescent="0.25"/>
    <row r="550" s="1679" customFormat="1" x14ac:dyDescent="0.25"/>
    <row r="551" s="1679" customFormat="1" x14ac:dyDescent="0.25"/>
    <row r="552" s="1679" customFormat="1" x14ac:dyDescent="0.25"/>
    <row r="553" s="1679" customFormat="1" x14ac:dyDescent="0.25"/>
    <row r="554" s="1679" customFormat="1" x14ac:dyDescent="0.25"/>
    <row r="555" s="1679" customFormat="1" x14ac:dyDescent="0.25"/>
    <row r="556" s="1679" customFormat="1" x14ac:dyDescent="0.25"/>
    <row r="557" s="1679" customFormat="1" x14ac:dyDescent="0.25"/>
    <row r="558" s="1679" customFormat="1" x14ac:dyDescent="0.25"/>
    <row r="559" s="1679" customFormat="1" x14ac:dyDescent="0.25"/>
    <row r="560" s="1679" customFormat="1" x14ac:dyDescent="0.25"/>
    <row r="561" s="1679" customFormat="1" x14ac:dyDescent="0.25"/>
    <row r="562" s="1679" customFormat="1" x14ac:dyDescent="0.25"/>
    <row r="563" s="1679" customFormat="1" x14ac:dyDescent="0.25"/>
    <row r="564" s="1679" customFormat="1" x14ac:dyDescent="0.25"/>
    <row r="565" s="1679" customFormat="1" x14ac:dyDescent="0.25"/>
    <row r="566" s="1679" customFormat="1" x14ac:dyDescent="0.25"/>
    <row r="567" s="1679" customFormat="1" x14ac:dyDescent="0.25"/>
    <row r="568" s="1679" customFormat="1" x14ac:dyDescent="0.25"/>
    <row r="569" s="1679" customFormat="1" x14ac:dyDescent="0.25"/>
    <row r="570" s="1679" customFormat="1" x14ac:dyDescent="0.25"/>
    <row r="571" s="1679" customFormat="1" x14ac:dyDescent="0.25"/>
    <row r="572" s="1679" customFormat="1" x14ac:dyDescent="0.25"/>
    <row r="573" s="1679" customFormat="1" x14ac:dyDescent="0.25"/>
    <row r="574" s="1679" customFormat="1" x14ac:dyDescent="0.25"/>
    <row r="575" s="1679" customFormat="1" x14ac:dyDescent="0.25"/>
    <row r="576" s="1679" customFormat="1" x14ac:dyDescent="0.25"/>
    <row r="577" s="1679" customFormat="1" x14ac:dyDescent="0.25"/>
    <row r="578" s="1679" customFormat="1" x14ac:dyDescent="0.25"/>
    <row r="579" s="1679" customFormat="1" x14ac:dyDescent="0.25"/>
    <row r="580" s="1679" customFormat="1" x14ac:dyDescent="0.25"/>
    <row r="581" s="1679" customFormat="1" x14ac:dyDescent="0.25"/>
    <row r="582" s="1679" customFormat="1" x14ac:dyDescent="0.25"/>
    <row r="583" s="1679" customFormat="1" x14ac:dyDescent="0.25"/>
    <row r="584" s="1679" customFormat="1" x14ac:dyDescent="0.25"/>
    <row r="585" s="1679" customFormat="1" x14ac:dyDescent="0.25"/>
    <row r="586" s="1679" customFormat="1" x14ac:dyDescent="0.25"/>
    <row r="587" s="1679" customFormat="1" x14ac:dyDescent="0.25"/>
    <row r="588" s="1679" customFormat="1" x14ac:dyDescent="0.25"/>
    <row r="589" s="1679" customFormat="1" x14ac:dyDescent="0.25"/>
    <row r="590" s="1679" customFormat="1" x14ac:dyDescent="0.25"/>
    <row r="591" s="1679" customFormat="1" x14ac:dyDescent="0.25"/>
    <row r="592" s="1679" customFormat="1" x14ac:dyDescent="0.25"/>
    <row r="593" s="1679" customFormat="1" x14ac:dyDescent="0.25"/>
    <row r="594" s="1679" customFormat="1" x14ac:dyDescent="0.25"/>
    <row r="595" s="1679" customFormat="1" x14ac:dyDescent="0.25"/>
    <row r="596" s="1679" customFormat="1" x14ac:dyDescent="0.25"/>
    <row r="597" s="1679" customFormat="1" x14ac:dyDescent="0.25"/>
    <row r="598" s="1679" customFormat="1" x14ac:dyDescent="0.25"/>
    <row r="599" s="1679" customFormat="1" x14ac:dyDescent="0.25"/>
    <row r="600" s="1679" customFormat="1" x14ac:dyDescent="0.25"/>
    <row r="601" s="1679" customFormat="1" x14ac:dyDescent="0.25"/>
    <row r="602" s="1679" customFormat="1" x14ac:dyDescent="0.25"/>
    <row r="603" s="1679" customFormat="1" x14ac:dyDescent="0.25"/>
    <row r="604" s="1679" customFormat="1" x14ac:dyDescent="0.25"/>
    <row r="605" s="1679" customFormat="1" x14ac:dyDescent="0.25"/>
    <row r="606" s="1679" customFormat="1" x14ac:dyDescent="0.25"/>
    <row r="607" s="1679" customFormat="1" x14ac:dyDescent="0.25"/>
    <row r="608" s="1679" customFormat="1" x14ac:dyDescent="0.25"/>
    <row r="609" s="1679" customFormat="1" x14ac:dyDescent="0.25"/>
    <row r="610" s="1679" customFormat="1" x14ac:dyDescent="0.25"/>
    <row r="611" s="1679" customFormat="1" x14ac:dyDescent="0.25"/>
    <row r="612" s="1679" customFormat="1" x14ac:dyDescent="0.25"/>
    <row r="613" s="1679" customFormat="1" x14ac:dyDescent="0.25"/>
    <row r="614" s="1679" customFormat="1" x14ac:dyDescent="0.25"/>
    <row r="615" s="1679" customFormat="1" x14ac:dyDescent="0.25"/>
    <row r="616" s="1679" customFormat="1" x14ac:dyDescent="0.25"/>
    <row r="617" s="1679" customFormat="1" x14ac:dyDescent="0.25"/>
    <row r="618" s="1679" customFormat="1" x14ac:dyDescent="0.25"/>
    <row r="619" s="1679" customFormat="1" x14ac:dyDescent="0.25"/>
    <row r="620" s="1679" customFormat="1" x14ac:dyDescent="0.25"/>
    <row r="621" s="1679" customFormat="1" x14ac:dyDescent="0.25"/>
    <row r="622" s="1679" customFormat="1" x14ac:dyDescent="0.25"/>
    <row r="623" s="1679" customFormat="1" x14ac:dyDescent="0.25"/>
    <row r="624" s="1679" customFormat="1" x14ac:dyDescent="0.25"/>
    <row r="625" s="1679" customFormat="1" x14ac:dyDescent="0.25"/>
    <row r="626" s="1679" customFormat="1" x14ac:dyDescent="0.25"/>
    <row r="627" s="1679" customFormat="1" x14ac:dyDescent="0.25"/>
    <row r="628" s="1679" customFormat="1" x14ac:dyDescent="0.25"/>
    <row r="629" s="1679" customFormat="1" x14ac:dyDescent="0.25"/>
    <row r="630" s="1679" customFormat="1" x14ac:dyDescent="0.25"/>
    <row r="631" s="1679" customFormat="1" x14ac:dyDescent="0.25"/>
    <row r="632" s="1679" customFormat="1" x14ac:dyDescent="0.25"/>
    <row r="633" s="1679" customFormat="1" x14ac:dyDescent="0.25"/>
    <row r="634" s="1679" customFormat="1" x14ac:dyDescent="0.25"/>
    <row r="635" s="1679" customFormat="1" x14ac:dyDescent="0.25"/>
    <row r="636" s="1679" customFormat="1" x14ac:dyDescent="0.25"/>
    <row r="637" s="1679" customFormat="1" x14ac:dyDescent="0.25"/>
    <row r="638" s="1679" customFormat="1" x14ac:dyDescent="0.25"/>
    <row r="639" s="1679" customFormat="1" x14ac:dyDescent="0.25"/>
    <row r="640" s="1679" customFormat="1" x14ac:dyDescent="0.25"/>
    <row r="641" s="1679" customFormat="1" x14ac:dyDescent="0.25"/>
    <row r="642" s="1679" customFormat="1" x14ac:dyDescent="0.25"/>
    <row r="643" s="1679" customFormat="1" x14ac:dyDescent="0.25"/>
    <row r="644" s="1679" customFormat="1" x14ac:dyDescent="0.25"/>
    <row r="645" s="1679" customFormat="1" x14ac:dyDescent="0.25"/>
    <row r="646" s="1679" customFormat="1" x14ac:dyDescent="0.25"/>
    <row r="647" s="1679" customFormat="1" x14ac:dyDescent="0.25"/>
    <row r="648" s="1679" customFormat="1" x14ac:dyDescent="0.25"/>
    <row r="649" s="1679" customFormat="1" x14ac:dyDescent="0.25"/>
    <row r="650" s="1679" customFormat="1" x14ac:dyDescent="0.25"/>
    <row r="651" s="1679" customFormat="1" x14ac:dyDescent="0.25"/>
    <row r="652" s="1679" customFormat="1" x14ac:dyDescent="0.25"/>
    <row r="653" s="1679" customFormat="1" x14ac:dyDescent="0.25"/>
    <row r="654" s="1679" customFormat="1" x14ac:dyDescent="0.25"/>
    <row r="655" s="1679" customFormat="1" x14ac:dyDescent="0.25"/>
    <row r="656" s="1679" customFormat="1" x14ac:dyDescent="0.25"/>
    <row r="657" s="1679" customFormat="1" x14ac:dyDescent="0.25"/>
    <row r="658" s="1679" customFormat="1" x14ac:dyDescent="0.25"/>
    <row r="659" s="1679" customFormat="1" x14ac:dyDescent="0.25"/>
    <row r="660" s="1679" customFormat="1" x14ac:dyDescent="0.25"/>
    <row r="661" s="1679" customFormat="1" x14ac:dyDescent="0.25"/>
    <row r="662" s="1679" customFormat="1" x14ac:dyDescent="0.25"/>
    <row r="663" s="1679" customFormat="1" x14ac:dyDescent="0.25"/>
    <row r="664" s="1679" customFormat="1" x14ac:dyDescent="0.25"/>
    <row r="665" s="1679" customFormat="1" x14ac:dyDescent="0.25"/>
    <row r="666" s="1679" customFormat="1" x14ac:dyDescent="0.25"/>
    <row r="667" s="1679" customFormat="1" x14ac:dyDescent="0.25"/>
    <row r="668" s="1679" customFormat="1" x14ac:dyDescent="0.25"/>
    <row r="669" s="1679" customFormat="1" x14ac:dyDescent="0.25"/>
    <row r="670" s="1679" customFormat="1" x14ac:dyDescent="0.25"/>
    <row r="671" s="1679" customFormat="1" x14ac:dyDescent="0.25"/>
    <row r="672" s="1679" customFormat="1" x14ac:dyDescent="0.25"/>
    <row r="673" s="1679" customFormat="1" x14ac:dyDescent="0.25"/>
    <row r="674" s="1679" customFormat="1" x14ac:dyDescent="0.25"/>
    <row r="675" s="1679" customFormat="1" x14ac:dyDescent="0.25"/>
    <row r="676" s="1679" customFormat="1" x14ac:dyDescent="0.25"/>
    <row r="677" s="1679" customFormat="1" x14ac:dyDescent="0.25"/>
    <row r="678" s="1679" customFormat="1" x14ac:dyDescent="0.25"/>
    <row r="679" s="1679" customFormat="1" x14ac:dyDescent="0.25"/>
    <row r="680" s="1679" customFormat="1" x14ac:dyDescent="0.25"/>
    <row r="681" s="1679" customFormat="1" x14ac:dyDescent="0.25"/>
    <row r="682" s="1679" customFormat="1" x14ac:dyDescent="0.25"/>
    <row r="683" s="1679" customFormat="1" x14ac:dyDescent="0.25"/>
    <row r="684" s="1679" customFormat="1" x14ac:dyDescent="0.25"/>
    <row r="685" s="1679" customFormat="1" x14ac:dyDescent="0.25"/>
    <row r="686" s="1679" customFormat="1" x14ac:dyDescent="0.25"/>
    <row r="687" s="1679" customFormat="1" x14ac:dyDescent="0.25"/>
    <row r="688" s="1679" customFormat="1" x14ac:dyDescent="0.25"/>
    <row r="689" s="1679" customFormat="1" x14ac:dyDescent="0.25"/>
    <row r="690" s="1679" customFormat="1" x14ac:dyDescent="0.25"/>
    <row r="691" s="1679" customFormat="1" x14ac:dyDescent="0.25"/>
    <row r="692" s="1679" customFormat="1" x14ac:dyDescent="0.25"/>
    <row r="693" s="1679" customFormat="1" x14ac:dyDescent="0.25"/>
    <row r="694" s="1679" customFormat="1" x14ac:dyDescent="0.25"/>
    <row r="695" s="1679" customFormat="1" x14ac:dyDescent="0.25"/>
    <row r="696" s="1679" customFormat="1" x14ac:dyDescent="0.25"/>
    <row r="697" s="1679" customFormat="1" x14ac:dyDescent="0.25"/>
    <row r="698" s="1679" customFormat="1" x14ac:dyDescent="0.25"/>
    <row r="699" s="1679" customFormat="1" x14ac:dyDescent="0.25"/>
    <row r="700" s="1679" customFormat="1" x14ac:dyDescent="0.25"/>
    <row r="701" s="1679" customFormat="1" x14ac:dyDescent="0.25"/>
    <row r="702" s="1679" customFormat="1" x14ac:dyDescent="0.25"/>
    <row r="703" s="1679" customFormat="1" x14ac:dyDescent="0.25"/>
    <row r="704" s="1679" customFormat="1" x14ac:dyDescent="0.25"/>
    <row r="705" s="1679" customFormat="1" x14ac:dyDescent="0.25"/>
    <row r="706" s="1679" customFormat="1" x14ac:dyDescent="0.25"/>
    <row r="707" s="1679" customFormat="1" x14ac:dyDescent="0.25"/>
    <row r="708" s="1679" customFormat="1" x14ac:dyDescent="0.25"/>
    <row r="709" s="1679" customFormat="1" x14ac:dyDescent="0.25"/>
    <row r="710" s="1679" customFormat="1" x14ac:dyDescent="0.25"/>
    <row r="711" s="1679" customFormat="1" x14ac:dyDescent="0.25"/>
    <row r="712" s="1679" customFormat="1" x14ac:dyDescent="0.25"/>
    <row r="713" s="1679" customFormat="1" x14ac:dyDescent="0.25"/>
    <row r="714" s="1679" customFormat="1" x14ac:dyDescent="0.25"/>
    <row r="715" s="1679" customFormat="1" x14ac:dyDescent="0.25"/>
    <row r="716" s="1679" customFormat="1" x14ac:dyDescent="0.25"/>
    <row r="717" s="1679" customFormat="1" x14ac:dyDescent="0.25"/>
    <row r="718" s="1679" customFormat="1" x14ac:dyDescent="0.25"/>
    <row r="719" s="1679" customFormat="1" x14ac:dyDescent="0.25"/>
    <row r="720" s="1679" customFormat="1" x14ac:dyDescent="0.25"/>
    <row r="721" s="1679" customFormat="1" x14ac:dyDescent="0.25"/>
    <row r="722" s="1679" customFormat="1" x14ac:dyDescent="0.25"/>
    <row r="723" s="1679" customFormat="1" x14ac:dyDescent="0.25"/>
    <row r="724" s="1679" customFormat="1" x14ac:dyDescent="0.25"/>
    <row r="725" s="1679" customFormat="1" x14ac:dyDescent="0.25"/>
    <row r="726" s="1679" customFormat="1" x14ac:dyDescent="0.25"/>
    <row r="727" s="1679" customFormat="1" x14ac:dyDescent="0.25"/>
    <row r="728" s="1679" customFormat="1" x14ac:dyDescent="0.25"/>
    <row r="729" s="1679" customFormat="1" x14ac:dyDescent="0.25"/>
    <row r="730" s="1679" customFormat="1" x14ac:dyDescent="0.25"/>
    <row r="731" s="1679" customFormat="1" x14ac:dyDescent="0.25"/>
    <row r="732" s="1679" customFormat="1" x14ac:dyDescent="0.25"/>
    <row r="733" s="1679" customFormat="1" x14ac:dyDescent="0.25"/>
    <row r="734" s="1679" customFormat="1" x14ac:dyDescent="0.25"/>
    <row r="735" s="1679" customFormat="1" x14ac:dyDescent="0.25"/>
    <row r="736" s="1679" customFormat="1" x14ac:dyDescent="0.25"/>
    <row r="737" s="1679" customFormat="1" x14ac:dyDescent="0.25"/>
    <row r="738" s="1679" customFormat="1" x14ac:dyDescent="0.25"/>
    <row r="739" s="1679" customFormat="1" x14ac:dyDescent="0.25"/>
    <row r="740" s="1679" customFormat="1" x14ac:dyDescent="0.25"/>
    <row r="741" s="1679" customFormat="1" x14ac:dyDescent="0.25"/>
    <row r="742" s="1679" customFormat="1" x14ac:dyDescent="0.25"/>
    <row r="743" s="1679" customFormat="1" x14ac:dyDescent="0.25"/>
    <row r="744" s="1679" customFormat="1" x14ac:dyDescent="0.25"/>
    <row r="745" s="1679" customFormat="1" x14ac:dyDescent="0.25"/>
    <row r="746" s="1679" customFormat="1" x14ac:dyDescent="0.25"/>
    <row r="747" s="1679" customFormat="1" x14ac:dyDescent="0.25"/>
    <row r="748" s="1679" customFormat="1" x14ac:dyDescent="0.25"/>
    <row r="749" s="1679" customFormat="1" x14ac:dyDescent="0.25"/>
    <row r="750" s="1679" customFormat="1" x14ac:dyDescent="0.25"/>
    <row r="751" s="1679" customFormat="1" x14ac:dyDescent="0.25"/>
    <row r="752" s="1679" customFormat="1" x14ac:dyDescent="0.25"/>
    <row r="753" s="1679" customFormat="1" x14ac:dyDescent="0.25"/>
    <row r="754" s="1679" customFormat="1" x14ac:dyDescent="0.25"/>
    <row r="755" s="1679" customFormat="1" x14ac:dyDescent="0.25"/>
    <row r="756" s="1679" customFormat="1" x14ac:dyDescent="0.25"/>
    <row r="757" s="1679" customFormat="1" x14ac:dyDescent="0.25"/>
    <row r="758" s="1679" customFormat="1" x14ac:dyDescent="0.25"/>
    <row r="759" s="1679" customFormat="1" x14ac:dyDescent="0.25"/>
    <row r="760" s="1679" customFormat="1" x14ac:dyDescent="0.25"/>
    <row r="761" s="1679" customFormat="1" x14ac:dyDescent="0.25"/>
    <row r="762" s="1679" customFormat="1" x14ac:dyDescent="0.25"/>
    <row r="763" s="1679" customFormat="1" x14ac:dyDescent="0.25"/>
    <row r="764" s="1679" customFormat="1" x14ac:dyDescent="0.25"/>
    <row r="765" s="1679" customFormat="1" x14ac:dyDescent="0.25"/>
    <row r="766" s="1679" customFormat="1" x14ac:dyDescent="0.25"/>
    <row r="767" s="1679" customFormat="1" x14ac:dyDescent="0.25"/>
    <row r="768" s="1679" customFormat="1" x14ac:dyDescent="0.25"/>
    <row r="769" s="1679" customFormat="1" x14ac:dyDescent="0.25"/>
    <row r="770" s="1679" customFormat="1" x14ac:dyDescent="0.25"/>
    <row r="771" s="1679" customFormat="1" x14ac:dyDescent="0.25"/>
    <row r="772" s="1679" customFormat="1" x14ac:dyDescent="0.25"/>
    <row r="773" s="1679" customFormat="1" x14ac:dyDescent="0.25"/>
    <row r="774" s="1679" customFormat="1" x14ac:dyDescent="0.25"/>
    <row r="775" s="1679" customFormat="1" x14ac:dyDescent="0.25"/>
    <row r="776" s="1679" customFormat="1" x14ac:dyDescent="0.25"/>
    <row r="777" s="1679" customFormat="1" x14ac:dyDescent="0.25"/>
    <row r="778" s="1679" customFormat="1" x14ac:dyDescent="0.25"/>
    <row r="779" s="1679" customFormat="1" x14ac:dyDescent="0.25"/>
    <row r="780" s="1679" customFormat="1" x14ac:dyDescent="0.25"/>
    <row r="781" s="1679" customFormat="1" x14ac:dyDescent="0.25"/>
    <row r="782" s="1679" customFormat="1" x14ac:dyDescent="0.25"/>
    <row r="783" s="1679" customFormat="1" x14ac:dyDescent="0.25"/>
    <row r="784" s="1679" customFormat="1" x14ac:dyDescent="0.25"/>
    <row r="785" s="1679" customFormat="1" x14ac:dyDescent="0.25"/>
    <row r="786" s="1679" customFormat="1" x14ac:dyDescent="0.25"/>
    <row r="787" s="1679" customFormat="1" x14ac:dyDescent="0.25"/>
    <row r="788" s="1679" customFormat="1" x14ac:dyDescent="0.25"/>
    <row r="789" s="1679" customFormat="1" x14ac:dyDescent="0.25"/>
    <row r="790" s="1679" customFormat="1" x14ac:dyDescent="0.25"/>
    <row r="791" s="1679" customFormat="1" x14ac:dyDescent="0.25"/>
    <row r="792" s="1679" customFormat="1" x14ac:dyDescent="0.25"/>
    <row r="793" s="1679" customFormat="1" x14ac:dyDescent="0.25"/>
    <row r="794" s="1679" customFormat="1" x14ac:dyDescent="0.25"/>
    <row r="795" s="1679" customFormat="1" x14ac:dyDescent="0.25"/>
    <row r="796" s="1679" customFormat="1" x14ac:dyDescent="0.25"/>
    <row r="797" s="1679" customFormat="1" x14ac:dyDescent="0.25"/>
    <row r="798" s="1679" customFormat="1" x14ac:dyDescent="0.25"/>
    <row r="799" s="1679" customFormat="1" x14ac:dyDescent="0.25"/>
    <row r="800" s="1679" customFormat="1" x14ac:dyDescent="0.25"/>
    <row r="801" s="1679" customFormat="1" x14ac:dyDescent="0.25"/>
    <row r="802" s="1679" customFormat="1" x14ac:dyDescent="0.25"/>
    <row r="803" s="1679" customFormat="1" x14ac:dyDescent="0.25"/>
    <row r="804" s="1679" customFormat="1" x14ac:dyDescent="0.25"/>
    <row r="805" s="1679" customFormat="1" x14ac:dyDescent="0.25"/>
    <row r="806" s="1679" customFormat="1" x14ac:dyDescent="0.25"/>
    <row r="807" s="1679" customFormat="1" x14ac:dyDescent="0.25"/>
    <row r="808" s="1679" customFormat="1" x14ac:dyDescent="0.25"/>
    <row r="809" s="1679" customFormat="1" x14ac:dyDescent="0.25"/>
    <row r="810" s="1679" customFormat="1" x14ac:dyDescent="0.25"/>
    <row r="811" s="1679" customFormat="1" x14ac:dyDescent="0.25"/>
    <row r="812" s="1679" customFormat="1" x14ac:dyDescent="0.25"/>
    <row r="813" s="1679" customFormat="1" x14ac:dyDescent="0.25"/>
    <row r="814" s="1679" customFormat="1" x14ac:dyDescent="0.25"/>
    <row r="815" s="1679" customFormat="1" x14ac:dyDescent="0.25"/>
    <row r="816" s="1679" customFormat="1" x14ac:dyDescent="0.25"/>
    <row r="817" s="1679" customFormat="1" x14ac:dyDescent="0.25"/>
    <row r="818" s="1679" customFormat="1" x14ac:dyDescent="0.25"/>
    <row r="819" s="1679" customFormat="1" x14ac:dyDescent="0.25"/>
    <row r="820" s="1679" customFormat="1" x14ac:dyDescent="0.25"/>
    <row r="821" s="1679" customFormat="1" x14ac:dyDescent="0.25"/>
    <row r="822" s="1679" customFormat="1" x14ac:dyDescent="0.25"/>
    <row r="823" s="1679" customFormat="1" x14ac:dyDescent="0.25"/>
    <row r="824" s="1679" customFormat="1" x14ac:dyDescent="0.25"/>
    <row r="825" s="1679" customFormat="1" x14ac:dyDescent="0.25"/>
    <row r="826" s="1679" customFormat="1" x14ac:dyDescent="0.25"/>
    <row r="827" s="1679" customFormat="1" x14ac:dyDescent="0.25"/>
    <row r="828" s="1679" customFormat="1" x14ac:dyDescent="0.25"/>
    <row r="829" s="1679" customFormat="1" x14ac:dyDescent="0.25"/>
    <row r="830" s="1679" customFormat="1" x14ac:dyDescent="0.25"/>
    <row r="831" s="1679" customFormat="1" x14ac:dyDescent="0.25"/>
    <row r="832" s="1679" customFormat="1" x14ac:dyDescent="0.25"/>
    <row r="833" s="1679" customFormat="1" x14ac:dyDescent="0.25"/>
    <row r="834" s="1679" customFormat="1" x14ac:dyDescent="0.25"/>
    <row r="835" s="1679" customFormat="1" x14ac:dyDescent="0.25"/>
    <row r="836" s="1679" customFormat="1" x14ac:dyDescent="0.25"/>
    <row r="837" s="1679" customFormat="1" x14ac:dyDescent="0.25"/>
    <row r="838" s="1679" customFormat="1" x14ac:dyDescent="0.25"/>
    <row r="839" s="1679" customFormat="1" x14ac:dyDescent="0.25"/>
    <row r="840" s="1679" customFormat="1" x14ac:dyDescent="0.25"/>
    <row r="841" s="1679" customFormat="1" x14ac:dyDescent="0.25"/>
    <row r="842" s="1679" customFormat="1" x14ac:dyDescent="0.25"/>
    <row r="843" s="1679" customFormat="1" x14ac:dyDescent="0.25"/>
    <row r="844" s="1679" customFormat="1" x14ac:dyDescent="0.25"/>
    <row r="845" s="1679" customFormat="1" x14ac:dyDescent="0.25"/>
    <row r="846" s="1679" customFormat="1" x14ac:dyDescent="0.25"/>
    <row r="847" s="1679" customFormat="1" x14ac:dyDescent="0.25"/>
    <row r="848" s="1679" customFormat="1" x14ac:dyDescent="0.25"/>
    <row r="849" s="1679" customFormat="1" x14ac:dyDescent="0.25"/>
    <row r="850" s="1679" customFormat="1" x14ac:dyDescent="0.25"/>
    <row r="851" s="1679" customFormat="1" x14ac:dyDescent="0.25"/>
    <row r="852" s="1679" customFormat="1" x14ac:dyDescent="0.25"/>
    <row r="853" s="1679" customFormat="1" x14ac:dyDescent="0.25"/>
    <row r="854" s="1679" customFormat="1" x14ac:dyDescent="0.25"/>
    <row r="855" s="1679" customFormat="1" x14ac:dyDescent="0.25"/>
    <row r="856" s="1679" customFormat="1" x14ac:dyDescent="0.25"/>
    <row r="857" s="1679" customFormat="1" x14ac:dyDescent="0.25"/>
    <row r="858" s="1679" customFormat="1" x14ac:dyDescent="0.25"/>
    <row r="859" s="1679" customFormat="1" x14ac:dyDescent="0.25"/>
    <row r="860" s="1679" customFormat="1" x14ac:dyDescent="0.25"/>
    <row r="861" s="1679" customFormat="1" x14ac:dyDescent="0.25"/>
    <row r="862" s="1679" customFormat="1" x14ac:dyDescent="0.25"/>
    <row r="863" s="1679" customFormat="1" x14ac:dyDescent="0.25"/>
    <row r="864" s="1679" customFormat="1" x14ac:dyDescent="0.25"/>
    <row r="865" s="1679" customFormat="1" x14ac:dyDescent="0.25"/>
    <row r="866" s="1679" customFormat="1" x14ac:dyDescent="0.25"/>
    <row r="867" s="1679" customFormat="1" x14ac:dyDescent="0.25"/>
    <row r="868" s="1679" customFormat="1" x14ac:dyDescent="0.25"/>
    <row r="869" s="1679" customFormat="1" x14ac:dyDescent="0.25"/>
    <row r="870" s="1679" customFormat="1" x14ac:dyDescent="0.25"/>
    <row r="871" s="1679" customFormat="1" x14ac:dyDescent="0.25"/>
    <row r="872" s="1679" customFormat="1" x14ac:dyDescent="0.25"/>
    <row r="873" s="1679" customFormat="1" x14ac:dyDescent="0.25"/>
    <row r="874" s="1679" customFormat="1" x14ac:dyDescent="0.25"/>
    <row r="875" s="1679" customFormat="1" x14ac:dyDescent="0.25"/>
    <row r="876" s="1679" customFormat="1" x14ac:dyDescent="0.25"/>
    <row r="877" s="1679" customFormat="1" x14ac:dyDescent="0.25"/>
    <row r="878" s="1679" customFormat="1" x14ac:dyDescent="0.25"/>
    <row r="879" s="1679" customFormat="1" x14ac:dyDescent="0.25"/>
    <row r="880" s="1679" customFormat="1" x14ac:dyDescent="0.25"/>
    <row r="881" s="1679" customFormat="1" x14ac:dyDescent="0.25"/>
    <row r="882" s="1679" customFormat="1" x14ac:dyDescent="0.25"/>
    <row r="883" s="1679" customFormat="1" x14ac:dyDescent="0.25"/>
    <row r="884" s="1679" customFormat="1" x14ac:dyDescent="0.25"/>
    <row r="885" s="1679" customFormat="1" x14ac:dyDescent="0.25"/>
    <row r="886" s="1679" customFormat="1" x14ac:dyDescent="0.25"/>
    <row r="887" s="1679" customFormat="1" x14ac:dyDescent="0.25"/>
    <row r="888" s="1679" customFormat="1" x14ac:dyDescent="0.25"/>
    <row r="889" s="1679" customFormat="1" x14ac:dyDescent="0.25"/>
    <row r="890" s="1679" customFormat="1" x14ac:dyDescent="0.25"/>
    <row r="891" s="1679" customFormat="1" x14ac:dyDescent="0.25"/>
    <row r="892" s="1679" customFormat="1" x14ac:dyDescent="0.25"/>
    <row r="893" s="1679" customFormat="1" x14ac:dyDescent="0.25"/>
    <row r="894" s="1679" customFormat="1" x14ac:dyDescent="0.25"/>
    <row r="895" s="1679" customFormat="1" x14ac:dyDescent="0.25"/>
    <row r="896" s="1679" customFormat="1" x14ac:dyDescent="0.25"/>
    <row r="897" s="1679" customFormat="1" x14ac:dyDescent="0.25"/>
    <row r="898" s="1679" customFormat="1" x14ac:dyDescent="0.25"/>
    <row r="899" s="1679" customFormat="1" x14ac:dyDescent="0.25"/>
    <row r="900" s="1679" customFormat="1" x14ac:dyDescent="0.25"/>
    <row r="901" s="1679" customFormat="1" x14ac:dyDescent="0.25"/>
    <row r="902" s="1679" customFormat="1" x14ac:dyDescent="0.25"/>
    <row r="903" s="1679" customFormat="1" x14ac:dyDescent="0.25"/>
    <row r="904" s="1679" customFormat="1" x14ac:dyDescent="0.25"/>
    <row r="905" s="1679" customFormat="1" x14ac:dyDescent="0.25"/>
    <row r="906" s="1679" customFormat="1" x14ac:dyDescent="0.25"/>
    <row r="907" s="1679" customFormat="1" x14ac:dyDescent="0.25"/>
    <row r="908" s="1679" customFormat="1" x14ac:dyDescent="0.25"/>
    <row r="909" s="1679" customFormat="1" x14ac:dyDescent="0.25"/>
    <row r="910" s="1679" customFormat="1" x14ac:dyDescent="0.25"/>
    <row r="911" s="1679" customFormat="1" x14ac:dyDescent="0.25"/>
    <row r="912" s="1679" customFormat="1" x14ac:dyDescent="0.25"/>
    <row r="913" s="1679" customFormat="1" x14ac:dyDescent="0.25"/>
    <row r="914" s="1679" customFormat="1" x14ac:dyDescent="0.25"/>
    <row r="915" s="1679" customFormat="1" x14ac:dyDescent="0.25"/>
    <row r="916" s="1679" customFormat="1" x14ac:dyDescent="0.25"/>
    <row r="917" s="1679" customFormat="1" x14ac:dyDescent="0.25"/>
    <row r="918" s="1679" customFormat="1" x14ac:dyDescent="0.25"/>
    <row r="919" s="1679" customFormat="1" x14ac:dyDescent="0.25"/>
    <row r="920" s="1679" customFormat="1" x14ac:dyDescent="0.25"/>
    <row r="921" s="1679" customFormat="1" x14ac:dyDescent="0.25"/>
    <row r="922" s="1679" customFormat="1" x14ac:dyDescent="0.25"/>
    <row r="923" s="1679" customFormat="1" x14ac:dyDescent="0.25"/>
    <row r="924" s="1679" customFormat="1" x14ac:dyDescent="0.25"/>
    <row r="925" s="1679" customFormat="1" x14ac:dyDescent="0.25"/>
    <row r="926" s="1679" customFormat="1" x14ac:dyDescent="0.25"/>
    <row r="927" s="1679" customFormat="1" x14ac:dyDescent="0.25"/>
    <row r="928" s="1679" customFormat="1" x14ac:dyDescent="0.25"/>
    <row r="929" s="1679" customFormat="1" x14ac:dyDescent="0.25"/>
    <row r="930" s="1679" customFormat="1" x14ac:dyDescent="0.25"/>
    <row r="931" s="1679" customFormat="1" x14ac:dyDescent="0.25"/>
    <row r="932" s="1679" customFormat="1" x14ac:dyDescent="0.25"/>
    <row r="933" s="1679" customFormat="1" x14ac:dyDescent="0.25"/>
    <row r="934" s="1679" customFormat="1" x14ac:dyDescent="0.25"/>
    <row r="935" s="1679" customFormat="1" x14ac:dyDescent="0.25"/>
    <row r="936" s="1679" customFormat="1" x14ac:dyDescent="0.25"/>
    <row r="937" s="1679" customFormat="1" x14ac:dyDescent="0.25"/>
    <row r="938" s="1679" customFormat="1" x14ac:dyDescent="0.25"/>
    <row r="939" s="1679" customFormat="1" x14ac:dyDescent="0.25"/>
    <row r="940" s="1679" customFormat="1" x14ac:dyDescent="0.25"/>
    <row r="941" s="1679" customFormat="1" x14ac:dyDescent="0.25"/>
    <row r="942" s="1679" customFormat="1" x14ac:dyDescent="0.25"/>
    <row r="943" s="1679" customFormat="1" x14ac:dyDescent="0.25"/>
    <row r="944" s="1679" customFormat="1" x14ac:dyDescent="0.25"/>
    <row r="945" s="1679" customFormat="1" x14ac:dyDescent="0.25"/>
    <row r="946" s="1679" customFormat="1" x14ac:dyDescent="0.25"/>
    <row r="947" s="1679" customFormat="1" x14ac:dyDescent="0.25"/>
    <row r="948" s="1679" customFormat="1" x14ac:dyDescent="0.25"/>
    <row r="949" s="1679" customFormat="1" x14ac:dyDescent="0.25"/>
    <row r="950" s="1679" customFormat="1" x14ac:dyDescent="0.25"/>
    <row r="951" s="1679" customFormat="1" x14ac:dyDescent="0.25"/>
    <row r="952" s="1679" customFormat="1" x14ac:dyDescent="0.25"/>
    <row r="953" s="1679" customFormat="1" x14ac:dyDescent="0.25"/>
    <row r="954" s="1679" customFormat="1" x14ac:dyDescent="0.25"/>
    <row r="955" s="1679" customFormat="1" x14ac:dyDescent="0.25"/>
    <row r="956" s="1679" customFormat="1" x14ac:dyDescent="0.25"/>
    <row r="957" s="1679" customFormat="1" x14ac:dyDescent="0.25"/>
    <row r="958" s="1679" customFormat="1" x14ac:dyDescent="0.25"/>
    <row r="959" s="1679" customFormat="1" x14ac:dyDescent="0.25"/>
    <row r="960" s="1679" customFormat="1" x14ac:dyDescent="0.25"/>
    <row r="961" s="1679" customFormat="1" x14ac:dyDescent="0.25"/>
    <row r="962" s="1679" customFormat="1" x14ac:dyDescent="0.25"/>
    <row r="963" s="1679" customFormat="1" x14ac:dyDescent="0.25"/>
    <row r="964" s="1679" customFormat="1" x14ac:dyDescent="0.25"/>
    <row r="965" s="1679" customFormat="1" x14ac:dyDescent="0.25"/>
    <row r="966" s="1679" customFormat="1" x14ac:dyDescent="0.25"/>
    <row r="967" s="1679" customFormat="1" x14ac:dyDescent="0.25"/>
    <row r="968" s="1679" customFormat="1" x14ac:dyDescent="0.25"/>
    <row r="969" s="1679" customFormat="1" x14ac:dyDescent="0.25"/>
    <row r="970" s="1679" customFormat="1" x14ac:dyDescent="0.25"/>
    <row r="971" s="1679" customFormat="1" x14ac:dyDescent="0.25"/>
    <row r="972" s="1679" customFormat="1" x14ac:dyDescent="0.25"/>
    <row r="973" s="1679" customFormat="1" x14ac:dyDescent="0.25"/>
    <row r="974" s="1679" customFormat="1" x14ac:dyDescent="0.25"/>
    <row r="975" s="1679" customFormat="1" x14ac:dyDescent="0.25"/>
    <row r="976" s="1679" customFormat="1" x14ac:dyDescent="0.25"/>
    <row r="977" s="1679" customFormat="1" x14ac:dyDescent="0.25"/>
    <row r="978" s="1679" customFormat="1" x14ac:dyDescent="0.25"/>
    <row r="979" s="1679" customFormat="1" x14ac:dyDescent="0.25"/>
    <row r="980" s="1679" customFormat="1" x14ac:dyDescent="0.25"/>
    <row r="981" s="1679" customFormat="1" x14ac:dyDescent="0.25"/>
    <row r="982" s="1679" customFormat="1" x14ac:dyDescent="0.25"/>
    <row r="983" s="1679" customFormat="1" x14ac:dyDescent="0.25"/>
    <row r="984" s="1679" customFormat="1" x14ac:dyDescent="0.25"/>
    <row r="985" s="1679" customFormat="1" x14ac:dyDescent="0.25"/>
    <row r="986" s="1679" customFormat="1" x14ac:dyDescent="0.25"/>
    <row r="987" s="1679" customFormat="1" x14ac:dyDescent="0.25"/>
    <row r="988" s="1679" customFormat="1" x14ac:dyDescent="0.25"/>
    <row r="989" s="1679" customFormat="1" x14ac:dyDescent="0.25"/>
    <row r="990" s="1679" customFormat="1" x14ac:dyDescent="0.25"/>
    <row r="991" s="1679" customFormat="1" x14ac:dyDescent="0.25"/>
    <row r="992" s="1679" customFormat="1" x14ac:dyDescent="0.25"/>
    <row r="993" s="1679" customFormat="1" x14ac:dyDescent="0.25"/>
    <row r="994" s="1679" customFormat="1" x14ac:dyDescent="0.25"/>
    <row r="995" s="1679" customFormat="1" x14ac:dyDescent="0.25"/>
    <row r="996" s="1679" customFormat="1" x14ac:dyDescent="0.25"/>
    <row r="997" s="1679" customFormat="1" x14ac:dyDescent="0.25"/>
    <row r="998" s="1679" customFormat="1" x14ac:dyDescent="0.25"/>
    <row r="999" s="1679" customFormat="1" x14ac:dyDescent="0.25"/>
    <row r="1000" s="1679" customFormat="1" x14ac:dyDescent="0.25"/>
    <row r="1001" s="1679" customFormat="1" x14ac:dyDescent="0.25"/>
    <row r="1002" s="1679" customFormat="1" x14ac:dyDescent="0.25"/>
    <row r="1003" s="1679" customFormat="1" x14ac:dyDescent="0.25"/>
    <row r="1004" s="1679" customFormat="1" x14ac:dyDescent="0.25"/>
    <row r="1005" s="1679" customFormat="1" x14ac:dyDescent="0.25"/>
    <row r="1006" s="1679" customFormat="1" x14ac:dyDescent="0.25"/>
    <row r="1007" s="1679" customFormat="1" x14ac:dyDescent="0.25"/>
    <row r="1008" s="1679" customFormat="1" x14ac:dyDescent="0.25"/>
    <row r="1009" s="1679" customFormat="1" x14ac:dyDescent="0.25"/>
    <row r="1010" s="1679" customFormat="1" x14ac:dyDescent="0.25"/>
    <row r="1011" s="1679" customFormat="1" x14ac:dyDescent="0.25"/>
    <row r="1012" s="1679" customFormat="1" x14ac:dyDescent="0.25"/>
    <row r="1013" s="1679" customFormat="1" x14ac:dyDescent="0.25"/>
    <row r="1014" s="1679" customFormat="1" x14ac:dyDescent="0.25"/>
    <row r="1015" s="1679" customFormat="1" x14ac:dyDescent="0.25"/>
    <row r="1016" s="1679" customFormat="1" x14ac:dyDescent="0.25"/>
    <row r="1017" s="1679" customFormat="1" x14ac:dyDescent="0.25"/>
    <row r="1018" s="1679" customFormat="1" x14ac:dyDescent="0.25"/>
    <row r="1019" s="1679" customFormat="1" x14ac:dyDescent="0.25"/>
    <row r="1020" s="1679" customFormat="1" x14ac:dyDescent="0.25"/>
    <row r="1021" s="1679" customFormat="1" x14ac:dyDescent="0.25"/>
    <row r="1022" s="1679" customFormat="1" x14ac:dyDescent="0.25"/>
    <row r="1023" s="1679" customFormat="1" x14ac:dyDescent="0.25"/>
    <row r="1024" s="1679" customFormat="1" x14ac:dyDescent="0.25"/>
    <row r="1025" s="1679" customFormat="1" x14ac:dyDescent="0.25"/>
    <row r="1026" s="1679" customFormat="1" x14ac:dyDescent="0.25"/>
    <row r="1027" s="1679" customFormat="1" x14ac:dyDescent="0.25"/>
    <row r="1028" s="1679" customFormat="1" x14ac:dyDescent="0.25"/>
    <row r="1029" s="1679" customFormat="1" x14ac:dyDescent="0.25"/>
    <row r="1030" s="1679" customFormat="1" x14ac:dyDescent="0.25"/>
    <row r="1031" s="1679" customFormat="1" x14ac:dyDescent="0.25"/>
    <row r="1032" s="1679" customFormat="1" x14ac:dyDescent="0.25"/>
    <row r="1033" s="1679" customFormat="1" x14ac:dyDescent="0.25"/>
    <row r="1034" s="1679" customFormat="1" x14ac:dyDescent="0.25"/>
    <row r="1035" s="1679" customFormat="1" x14ac:dyDescent="0.25"/>
    <row r="1036" s="1679" customFormat="1" x14ac:dyDescent="0.25"/>
    <row r="1037" s="1679" customFormat="1" x14ac:dyDescent="0.25"/>
    <row r="1038" s="1679" customFormat="1" x14ac:dyDescent="0.25"/>
    <row r="1039" s="1679" customFormat="1" x14ac:dyDescent="0.25"/>
    <row r="1040" s="1679" customFormat="1" x14ac:dyDescent="0.25"/>
    <row r="1041" s="1679" customFormat="1" x14ac:dyDescent="0.25"/>
    <row r="1042" s="1679" customFormat="1" x14ac:dyDescent="0.25"/>
    <row r="1043" s="1679" customFormat="1" x14ac:dyDescent="0.25"/>
    <row r="1044" s="1679" customFormat="1" x14ac:dyDescent="0.25"/>
    <row r="1045" s="1679" customFormat="1" x14ac:dyDescent="0.25"/>
    <row r="1046" s="1679" customFormat="1" x14ac:dyDescent="0.25"/>
    <row r="1047" s="1679" customFormat="1" x14ac:dyDescent="0.25"/>
    <row r="1048" s="1679" customFormat="1" x14ac:dyDescent="0.25"/>
    <row r="1049" s="1679" customFormat="1" x14ac:dyDescent="0.25"/>
    <row r="1050" s="1679" customFormat="1" x14ac:dyDescent="0.25"/>
    <row r="1051" s="1679" customFormat="1" x14ac:dyDescent="0.25"/>
    <row r="1052" s="1679" customFormat="1" x14ac:dyDescent="0.25"/>
    <row r="1053" s="1679" customFormat="1" x14ac:dyDescent="0.25"/>
    <row r="1054" s="1679" customFormat="1" x14ac:dyDescent="0.25"/>
    <row r="1055" s="1679" customFormat="1" x14ac:dyDescent="0.25"/>
    <row r="1056" s="1679" customFormat="1" x14ac:dyDescent="0.25"/>
    <row r="1057" s="1679" customFormat="1" x14ac:dyDescent="0.25"/>
    <row r="1058" s="1679" customFormat="1" x14ac:dyDescent="0.25"/>
    <row r="1059" s="1679" customFormat="1" x14ac:dyDescent="0.25"/>
    <row r="1060" s="1679" customFormat="1" x14ac:dyDescent="0.25"/>
    <row r="1061" s="1679" customFormat="1" x14ac:dyDescent="0.25"/>
    <row r="1062" s="1679" customFormat="1" x14ac:dyDescent="0.25"/>
    <row r="1063" s="1679" customFormat="1" x14ac:dyDescent="0.25"/>
    <row r="1064" s="1679" customFormat="1" x14ac:dyDescent="0.25"/>
    <row r="1065" s="1679" customFormat="1" x14ac:dyDescent="0.25"/>
    <row r="1066" s="1679" customFormat="1" x14ac:dyDescent="0.25"/>
    <row r="1067" s="1679" customFormat="1" x14ac:dyDescent="0.25"/>
    <row r="1068" s="1679" customFormat="1" x14ac:dyDescent="0.25"/>
    <row r="1069" s="1679" customFormat="1" x14ac:dyDescent="0.25"/>
    <row r="1070" s="1679" customFormat="1" x14ac:dyDescent="0.25"/>
    <row r="1071" s="1679" customFormat="1" x14ac:dyDescent="0.25"/>
    <row r="1072" s="1679" customFormat="1" x14ac:dyDescent="0.25"/>
    <row r="1073" s="1679" customFormat="1" x14ac:dyDescent="0.25"/>
    <row r="1074" s="1679" customFormat="1" x14ac:dyDescent="0.25"/>
    <row r="1075" s="1679" customFormat="1" x14ac:dyDescent="0.25"/>
    <row r="1076" s="1679" customFormat="1" x14ac:dyDescent="0.25"/>
    <row r="1077" s="1679" customFormat="1" x14ac:dyDescent="0.25"/>
    <row r="1078" s="1679" customFormat="1" x14ac:dyDescent="0.25"/>
    <row r="1079" s="1679" customFormat="1" x14ac:dyDescent="0.25"/>
    <row r="1080" s="1679" customFormat="1" x14ac:dyDescent="0.25"/>
    <row r="1081" s="1679" customFormat="1" x14ac:dyDescent="0.25"/>
    <row r="1082" s="1679" customFormat="1" x14ac:dyDescent="0.25"/>
    <row r="1083" s="1679" customFormat="1" x14ac:dyDescent="0.25"/>
    <row r="1084" s="1679" customFormat="1" x14ac:dyDescent="0.25"/>
    <row r="1085" s="1679" customFormat="1" x14ac:dyDescent="0.25"/>
    <row r="1086" s="1679" customFormat="1" x14ac:dyDescent="0.25"/>
    <row r="1087" s="1679" customFormat="1" x14ac:dyDescent="0.25"/>
    <row r="1088" s="1679" customFormat="1" x14ac:dyDescent="0.25"/>
    <row r="1089" s="1679" customFormat="1" x14ac:dyDescent="0.25"/>
    <row r="1090" s="1679" customFormat="1" x14ac:dyDescent="0.25"/>
    <row r="1091" s="1679" customFormat="1" x14ac:dyDescent="0.25"/>
    <row r="1092" s="1679" customFormat="1" x14ac:dyDescent="0.25"/>
    <row r="1093" s="1679" customFormat="1" x14ac:dyDescent="0.25"/>
    <row r="1094" s="1679" customFormat="1" x14ac:dyDescent="0.25"/>
    <row r="1095" s="1679" customFormat="1" x14ac:dyDescent="0.25"/>
    <row r="1096" s="1679" customFormat="1" x14ac:dyDescent="0.25"/>
    <row r="1097" s="1679" customFormat="1" x14ac:dyDescent="0.25"/>
    <row r="1098" s="1679" customFormat="1" x14ac:dyDescent="0.25"/>
    <row r="1099" s="1679" customFormat="1" x14ac:dyDescent="0.25"/>
    <row r="1100" s="1679" customFormat="1" x14ac:dyDescent="0.25"/>
    <row r="1101" s="1679" customFormat="1" x14ac:dyDescent="0.25"/>
    <row r="1102" s="1679" customFormat="1" x14ac:dyDescent="0.25"/>
    <row r="1103" s="1679" customFormat="1" x14ac:dyDescent="0.25"/>
    <row r="1104" s="1679" customFormat="1" x14ac:dyDescent="0.25"/>
    <row r="1105" s="1679" customFormat="1" x14ac:dyDescent="0.25"/>
    <row r="1106" s="1679" customFormat="1" x14ac:dyDescent="0.25"/>
    <row r="1107" s="1679" customFormat="1" x14ac:dyDescent="0.25"/>
    <row r="1108" s="1679" customFormat="1" x14ac:dyDescent="0.25"/>
    <row r="1109" s="1679" customFormat="1" x14ac:dyDescent="0.25"/>
    <row r="1110" s="1679" customFormat="1" x14ac:dyDescent="0.25"/>
    <row r="1111" s="1679" customFormat="1" x14ac:dyDescent="0.25"/>
    <row r="1112" s="1679" customFormat="1" x14ac:dyDescent="0.25"/>
    <row r="1113" s="1679" customFormat="1" x14ac:dyDescent="0.25"/>
    <row r="1114" s="1679" customFormat="1" x14ac:dyDescent="0.25"/>
    <row r="1115" s="1679" customFormat="1" x14ac:dyDescent="0.25"/>
    <row r="1116" s="1679" customFormat="1" x14ac:dyDescent="0.25"/>
    <row r="1117" s="1679" customFormat="1" x14ac:dyDescent="0.25"/>
    <row r="1118" s="1679" customFormat="1" x14ac:dyDescent="0.25"/>
    <row r="1119" s="1679" customFormat="1" x14ac:dyDescent="0.25"/>
    <row r="1120" s="1679" customFormat="1" x14ac:dyDescent="0.25"/>
    <row r="1121" s="1679" customFormat="1" x14ac:dyDescent="0.25"/>
    <row r="1122" s="1679" customFormat="1" x14ac:dyDescent="0.25"/>
    <row r="1123" s="1679" customFormat="1" x14ac:dyDescent="0.25"/>
    <row r="1124" s="1679" customFormat="1" x14ac:dyDescent="0.25"/>
    <row r="1125" s="1679" customFormat="1" x14ac:dyDescent="0.25"/>
    <row r="1126" s="1679" customFormat="1" x14ac:dyDescent="0.25"/>
    <row r="1127" s="1679" customFormat="1" x14ac:dyDescent="0.25"/>
    <row r="1128" s="1679" customFormat="1" x14ac:dyDescent="0.25"/>
    <row r="1129" s="1679" customFormat="1" x14ac:dyDescent="0.25"/>
    <row r="1130" s="1679" customFormat="1" x14ac:dyDescent="0.25"/>
    <row r="1131" s="1679" customFormat="1" x14ac:dyDescent="0.25"/>
    <row r="1132" s="1679" customFormat="1" x14ac:dyDescent="0.25"/>
    <row r="1133" s="1679" customFormat="1" x14ac:dyDescent="0.25"/>
    <row r="1134" s="1679" customFormat="1" x14ac:dyDescent="0.25"/>
    <row r="1135" s="1679" customFormat="1" x14ac:dyDescent="0.25"/>
    <row r="1136" s="1679" customFormat="1" x14ac:dyDescent="0.25"/>
    <row r="1137" s="1679" customFormat="1" x14ac:dyDescent="0.25"/>
    <row r="1138" s="1679" customFormat="1" x14ac:dyDescent="0.25"/>
    <row r="1139" s="1679" customFormat="1" x14ac:dyDescent="0.25"/>
    <row r="1140" s="1679" customFormat="1" x14ac:dyDescent="0.25"/>
    <row r="1141" s="1679" customFormat="1" x14ac:dyDescent="0.25"/>
    <row r="1142" s="1679" customFormat="1" x14ac:dyDescent="0.25"/>
    <row r="1143" s="1679" customFormat="1" x14ac:dyDescent="0.25"/>
    <row r="1144" s="1679" customFormat="1" x14ac:dyDescent="0.25"/>
    <row r="1145" s="1679" customFormat="1" x14ac:dyDescent="0.25"/>
    <row r="1146" s="1679" customFormat="1" x14ac:dyDescent="0.25"/>
    <row r="1147" s="1679" customFormat="1" x14ac:dyDescent="0.25"/>
    <row r="1148" s="1679" customFormat="1" x14ac:dyDescent="0.25"/>
    <row r="1149" s="1679" customFormat="1" x14ac:dyDescent="0.25"/>
    <row r="1150" s="1679" customFormat="1" x14ac:dyDescent="0.25"/>
    <row r="1151" s="1679" customFormat="1" x14ac:dyDescent="0.25"/>
    <row r="1152" s="1679" customFormat="1" x14ac:dyDescent="0.25"/>
    <row r="1153" s="1679" customFormat="1" x14ac:dyDescent="0.25"/>
    <row r="1154" s="1679" customFormat="1" x14ac:dyDescent="0.25"/>
    <row r="1155" s="1679" customFormat="1" x14ac:dyDescent="0.25"/>
    <row r="1156" s="1679" customFormat="1" x14ac:dyDescent="0.25"/>
    <row r="1157" s="1679" customFormat="1" x14ac:dyDescent="0.25"/>
    <row r="1158" s="1679" customFormat="1" x14ac:dyDescent="0.25"/>
    <row r="1159" s="1679" customFormat="1" x14ac:dyDescent="0.25"/>
    <row r="1160" s="1679" customFormat="1" x14ac:dyDescent="0.25"/>
    <row r="1161" s="1679" customFormat="1" x14ac:dyDescent="0.25"/>
    <row r="1162" s="1679" customFormat="1" x14ac:dyDescent="0.25"/>
    <row r="1163" s="1679" customFormat="1" x14ac:dyDescent="0.25"/>
    <row r="1164" s="1679" customFormat="1" x14ac:dyDescent="0.25"/>
    <row r="1165" s="1679" customFormat="1" x14ac:dyDescent="0.25"/>
    <row r="1166" s="1679" customFormat="1" x14ac:dyDescent="0.25"/>
    <row r="1167" s="1679" customFormat="1" x14ac:dyDescent="0.25"/>
    <row r="1168" s="1679" customFormat="1" x14ac:dyDescent="0.25"/>
    <row r="1169" s="1679" customFormat="1" x14ac:dyDescent="0.25"/>
    <row r="1170" s="1679" customFormat="1" x14ac:dyDescent="0.25"/>
    <row r="1171" s="1679" customFormat="1" x14ac:dyDescent="0.25"/>
    <row r="1172" s="1679" customFormat="1" x14ac:dyDescent="0.25"/>
    <row r="1173" s="1679" customFormat="1" x14ac:dyDescent="0.25"/>
    <row r="1174" s="1679" customFormat="1" x14ac:dyDescent="0.25"/>
    <row r="1175" s="1679" customFormat="1" x14ac:dyDescent="0.25"/>
    <row r="1176" s="1679" customFormat="1" x14ac:dyDescent="0.25"/>
    <row r="1177" s="1679" customFormat="1" x14ac:dyDescent="0.25"/>
    <row r="1178" s="1679" customFormat="1" x14ac:dyDescent="0.25"/>
    <row r="1179" s="1679" customFormat="1" x14ac:dyDescent="0.25"/>
    <row r="1180" s="1679" customFormat="1" x14ac:dyDescent="0.25"/>
    <row r="1181" s="1679" customFormat="1" x14ac:dyDescent="0.25"/>
    <row r="1182" s="1679" customFormat="1" x14ac:dyDescent="0.25"/>
    <row r="1183" s="1679" customFormat="1" x14ac:dyDescent="0.25"/>
    <row r="1184" s="1679" customFormat="1" x14ac:dyDescent="0.25"/>
    <row r="1185" s="1679" customFormat="1" x14ac:dyDescent="0.25"/>
    <row r="1186" s="1679" customFormat="1" x14ac:dyDescent="0.25"/>
    <row r="1187" s="1679" customFormat="1" x14ac:dyDescent="0.25"/>
    <row r="1188" s="1679" customFormat="1" x14ac:dyDescent="0.25"/>
    <row r="1189" s="1679" customFormat="1" x14ac:dyDescent="0.25"/>
    <row r="1190" s="1679" customFormat="1" x14ac:dyDescent="0.25"/>
    <row r="1191" s="1679" customFormat="1" x14ac:dyDescent="0.25"/>
    <row r="1192" s="1679" customFormat="1" x14ac:dyDescent="0.25"/>
    <row r="1193" s="1679" customFormat="1" x14ac:dyDescent="0.25"/>
    <row r="1194" s="1679" customFormat="1" x14ac:dyDescent="0.25"/>
    <row r="1195" s="1679" customFormat="1" x14ac:dyDescent="0.25"/>
    <row r="1196" s="1679" customFormat="1" x14ac:dyDescent="0.25"/>
    <row r="1197" s="1679" customFormat="1" x14ac:dyDescent="0.25"/>
    <row r="1198" s="1679" customFormat="1" x14ac:dyDescent="0.25"/>
    <row r="1199" s="1679" customFormat="1" x14ac:dyDescent="0.25"/>
    <row r="1200" s="1679" customFormat="1" x14ac:dyDescent="0.25"/>
    <row r="1201" s="1679" customFormat="1" x14ac:dyDescent="0.25"/>
    <row r="1202" s="1679" customFormat="1" x14ac:dyDescent="0.25"/>
    <row r="1203" s="1679" customFormat="1" x14ac:dyDescent="0.25"/>
    <row r="1204" s="1679" customFormat="1" x14ac:dyDescent="0.25"/>
    <row r="1205" s="1679" customFormat="1" x14ac:dyDescent="0.25"/>
    <row r="1206" s="1679" customFormat="1" x14ac:dyDescent="0.25"/>
    <row r="1207" s="1679" customFormat="1" x14ac:dyDescent="0.25"/>
    <row r="1208" s="1679" customFormat="1" x14ac:dyDescent="0.25"/>
    <row r="1209" s="1679" customFormat="1" x14ac:dyDescent="0.25"/>
    <row r="1210" s="1679" customFormat="1" x14ac:dyDescent="0.25"/>
    <row r="1211" s="1679" customFormat="1" x14ac:dyDescent="0.25"/>
    <row r="1212" s="1679" customFormat="1" x14ac:dyDescent="0.25"/>
    <row r="1213" s="1679" customFormat="1" x14ac:dyDescent="0.25"/>
    <row r="1214" s="1679" customFormat="1" x14ac:dyDescent="0.25"/>
    <row r="1215" s="1679" customFormat="1" x14ac:dyDescent="0.25"/>
    <row r="1216" s="1679" customFormat="1" x14ac:dyDescent="0.25"/>
    <row r="1217" s="1679" customFormat="1" x14ac:dyDescent="0.25"/>
    <row r="1218" s="1679" customFormat="1" x14ac:dyDescent="0.25"/>
    <row r="1219" s="1679" customFormat="1" x14ac:dyDescent="0.25"/>
    <row r="1220" s="1679" customFormat="1" x14ac:dyDescent="0.25"/>
    <row r="1221" s="1679" customFormat="1" x14ac:dyDescent="0.25"/>
    <row r="1222" s="1679" customFormat="1" x14ac:dyDescent="0.25"/>
    <row r="1223" s="1679" customFormat="1" x14ac:dyDescent="0.25"/>
    <row r="1224" s="1679" customFormat="1" x14ac:dyDescent="0.25"/>
    <row r="1225" s="1679" customFormat="1" x14ac:dyDescent="0.25"/>
    <row r="1226" s="1679" customFormat="1" x14ac:dyDescent="0.25"/>
    <row r="1227" s="1679" customFormat="1" x14ac:dyDescent="0.25"/>
    <row r="1228" s="1679" customFormat="1" x14ac:dyDescent="0.25"/>
    <row r="1229" s="1679" customFormat="1" x14ac:dyDescent="0.25"/>
    <row r="1230" s="1679" customFormat="1" x14ac:dyDescent="0.25"/>
    <row r="1231" s="1679" customFormat="1" x14ac:dyDescent="0.25"/>
    <row r="1232" s="1679" customFormat="1" x14ac:dyDescent="0.25"/>
    <row r="1233" s="1679" customFormat="1" x14ac:dyDescent="0.25"/>
    <row r="1234" s="1679" customFormat="1" x14ac:dyDescent="0.25"/>
    <row r="1235" s="1679" customFormat="1" x14ac:dyDescent="0.25"/>
    <row r="1236" s="1679" customFormat="1" x14ac:dyDescent="0.25"/>
    <row r="1237" s="1679" customFormat="1" x14ac:dyDescent="0.25"/>
    <row r="1238" s="1679" customFormat="1" x14ac:dyDescent="0.25"/>
    <row r="1239" s="1679" customFormat="1" x14ac:dyDescent="0.25"/>
    <row r="1240" s="1679" customFormat="1" x14ac:dyDescent="0.25"/>
    <row r="1241" s="1679" customFormat="1" x14ac:dyDescent="0.25"/>
    <row r="1242" s="1679" customFormat="1" x14ac:dyDescent="0.25"/>
    <row r="1243" s="1679" customFormat="1" x14ac:dyDescent="0.25"/>
    <row r="1244" s="1679" customFormat="1" x14ac:dyDescent="0.25"/>
    <row r="1245" s="1679" customFormat="1" x14ac:dyDescent="0.25"/>
    <row r="1246" s="1679" customFormat="1" x14ac:dyDescent="0.25"/>
    <row r="1247" s="1679" customFormat="1" x14ac:dyDescent="0.25"/>
    <row r="1248" s="1679" customFormat="1" x14ac:dyDescent="0.25"/>
    <row r="1249" s="1679" customFormat="1" x14ac:dyDescent="0.25"/>
    <row r="1250" s="1679" customFormat="1" x14ac:dyDescent="0.25"/>
    <row r="1251" s="1679" customFormat="1" x14ac:dyDescent="0.25"/>
    <row r="1252" s="1679" customFormat="1" x14ac:dyDescent="0.25"/>
    <row r="1253" s="1679" customFormat="1" x14ac:dyDescent="0.25"/>
    <row r="1254" s="1679" customFormat="1" x14ac:dyDescent="0.25"/>
    <row r="1255" s="1679" customFormat="1" x14ac:dyDescent="0.25"/>
    <row r="1256" s="1679" customFormat="1" x14ac:dyDescent="0.25"/>
    <row r="1257" s="1679" customFormat="1" x14ac:dyDescent="0.25"/>
    <row r="1258" s="1679" customFormat="1" x14ac:dyDescent="0.25"/>
    <row r="1259" s="1679" customFormat="1" x14ac:dyDescent="0.25"/>
    <row r="1260" s="1679" customFormat="1" x14ac:dyDescent="0.25"/>
    <row r="1261" s="1679" customFormat="1" x14ac:dyDescent="0.25"/>
    <row r="1262" s="1679" customFormat="1" x14ac:dyDescent="0.25"/>
    <row r="1263" s="1679" customFormat="1" x14ac:dyDescent="0.25"/>
    <row r="1264" s="1679" customFormat="1" x14ac:dyDescent="0.25"/>
    <row r="1265" s="1679" customFormat="1" x14ac:dyDescent="0.25"/>
    <row r="1266" s="1679" customFormat="1" x14ac:dyDescent="0.25"/>
    <row r="1267" s="1679" customFormat="1" x14ac:dyDescent="0.25"/>
    <row r="1268" s="1679" customFormat="1" x14ac:dyDescent="0.25"/>
    <row r="1269" s="1679" customFormat="1" x14ac:dyDescent="0.25"/>
    <row r="1270" s="1679" customFormat="1" x14ac:dyDescent="0.25"/>
    <row r="1271" s="1679" customFormat="1" x14ac:dyDescent="0.25"/>
    <row r="1272" s="1679" customFormat="1" x14ac:dyDescent="0.25"/>
    <row r="1273" s="1679" customFormat="1" x14ac:dyDescent="0.25"/>
    <row r="1274" s="1679" customFormat="1" x14ac:dyDescent="0.25"/>
    <row r="1275" s="1679" customFormat="1" x14ac:dyDescent="0.25"/>
    <row r="1276" s="1679" customFormat="1" x14ac:dyDescent="0.25"/>
    <row r="1277" s="1679" customFormat="1" x14ac:dyDescent="0.25"/>
    <row r="1278" s="1679" customFormat="1" x14ac:dyDescent="0.25"/>
    <row r="1279" s="1679" customFormat="1" x14ac:dyDescent="0.25"/>
    <row r="1280" s="1679" customFormat="1" x14ac:dyDescent="0.25"/>
    <row r="1281" s="1679" customFormat="1" x14ac:dyDescent="0.25"/>
    <row r="1282" s="1679" customFormat="1" x14ac:dyDescent="0.25"/>
    <row r="1283" s="1679" customFormat="1" x14ac:dyDescent="0.25"/>
    <row r="1284" s="1679" customFormat="1" x14ac:dyDescent="0.25"/>
    <row r="1285" s="1679" customFormat="1" x14ac:dyDescent="0.25"/>
    <row r="1286" s="1679" customFormat="1" x14ac:dyDescent="0.25"/>
    <row r="1287" s="1679" customFormat="1" x14ac:dyDescent="0.25"/>
    <row r="1288" s="1679" customFormat="1" x14ac:dyDescent="0.25"/>
    <row r="1289" s="1679" customFormat="1" x14ac:dyDescent="0.25"/>
    <row r="1290" s="1679" customFormat="1" x14ac:dyDescent="0.25"/>
    <row r="1291" s="1679" customFormat="1" x14ac:dyDescent="0.25"/>
    <row r="1292" s="1679" customFormat="1" x14ac:dyDescent="0.25"/>
    <row r="1293" s="1679" customFormat="1" x14ac:dyDescent="0.25"/>
    <row r="1294" s="1679" customFormat="1" x14ac:dyDescent="0.25"/>
    <row r="1295" s="1679" customFormat="1" x14ac:dyDescent="0.25"/>
    <row r="1296" s="1679" customFormat="1" x14ac:dyDescent="0.25"/>
    <row r="1297" s="1679" customFormat="1" x14ac:dyDescent="0.25"/>
    <row r="1298" s="1679" customFormat="1" x14ac:dyDescent="0.25"/>
    <row r="1299" s="1679" customFormat="1" x14ac:dyDescent="0.25"/>
    <row r="1300" s="1679" customFormat="1" x14ac:dyDescent="0.25"/>
    <row r="1301" s="1679" customFormat="1" x14ac:dyDescent="0.25"/>
    <row r="1302" s="1679" customFormat="1" x14ac:dyDescent="0.25"/>
    <row r="1303" s="1679" customFormat="1" x14ac:dyDescent="0.25"/>
    <row r="1304" s="1679" customFormat="1" x14ac:dyDescent="0.25"/>
    <row r="1305" s="1679" customFormat="1" x14ac:dyDescent="0.25"/>
    <row r="1306" s="1679" customFormat="1" x14ac:dyDescent="0.25"/>
    <row r="1307" s="1679" customFormat="1" x14ac:dyDescent="0.25"/>
    <row r="1308" s="1679" customFormat="1" x14ac:dyDescent="0.25"/>
    <row r="1309" s="1679" customFormat="1" x14ac:dyDescent="0.25"/>
    <row r="1310" s="1679" customFormat="1" x14ac:dyDescent="0.25"/>
    <row r="1311" s="1679" customFormat="1" x14ac:dyDescent="0.25"/>
    <row r="1312" s="1679" customFormat="1" x14ac:dyDescent="0.25"/>
    <row r="1313" s="1679" customFormat="1" x14ac:dyDescent="0.25"/>
    <row r="1314" s="1679" customFormat="1" x14ac:dyDescent="0.25"/>
    <row r="1315" s="1679" customFormat="1" x14ac:dyDescent="0.25"/>
    <row r="1316" s="1679" customFormat="1" x14ac:dyDescent="0.25"/>
    <row r="1317" s="1679" customFormat="1" x14ac:dyDescent="0.25"/>
    <row r="1318" s="1679" customFormat="1" x14ac:dyDescent="0.25"/>
    <row r="1319" s="1679" customFormat="1" x14ac:dyDescent="0.25"/>
    <row r="1320" s="1679" customFormat="1" x14ac:dyDescent="0.25"/>
    <row r="1321" s="1679" customFormat="1" x14ac:dyDescent="0.25"/>
    <row r="1322" s="1679" customFormat="1" x14ac:dyDescent="0.25"/>
    <row r="1323" s="1679" customFormat="1" x14ac:dyDescent="0.25"/>
    <row r="1324" s="1679" customFormat="1" x14ac:dyDescent="0.25"/>
    <row r="1325" s="1679" customFormat="1" x14ac:dyDescent="0.25"/>
    <row r="1326" s="1679" customFormat="1" x14ac:dyDescent="0.25"/>
    <row r="1327" s="1679" customFormat="1" x14ac:dyDescent="0.25"/>
    <row r="1328" s="1679" customFormat="1" x14ac:dyDescent="0.25"/>
    <row r="1329" s="1679" customFormat="1" x14ac:dyDescent="0.25"/>
    <row r="1330" s="1679" customFormat="1" x14ac:dyDescent="0.25"/>
    <row r="1331" s="1679" customFormat="1" x14ac:dyDescent="0.25"/>
    <row r="1332" s="1679" customFormat="1" x14ac:dyDescent="0.25"/>
    <row r="1333" s="1679" customFormat="1" x14ac:dyDescent="0.25"/>
    <row r="1334" s="1679" customFormat="1" x14ac:dyDescent="0.25"/>
    <row r="1335" s="1679" customFormat="1" x14ac:dyDescent="0.25"/>
    <row r="1336" s="1679" customFormat="1" x14ac:dyDescent="0.25"/>
    <row r="1337" s="1679" customFormat="1" x14ac:dyDescent="0.25"/>
    <row r="1338" s="1679" customFormat="1" x14ac:dyDescent="0.25"/>
    <row r="1339" s="1679" customFormat="1" x14ac:dyDescent="0.25"/>
    <row r="1340" s="1679" customFormat="1" x14ac:dyDescent="0.25"/>
    <row r="1341" s="1679" customFormat="1" x14ac:dyDescent="0.25"/>
    <row r="1342" s="1679" customFormat="1" x14ac:dyDescent="0.25"/>
    <row r="1343" s="1679" customFormat="1" x14ac:dyDescent="0.25"/>
    <row r="1344" s="1679" customFormat="1" x14ac:dyDescent="0.25"/>
    <row r="1345" s="1679" customFormat="1" x14ac:dyDescent="0.25"/>
    <row r="1346" s="1679" customFormat="1" x14ac:dyDescent="0.25"/>
    <row r="1347" s="1679" customFormat="1" x14ac:dyDescent="0.25"/>
    <row r="1348" s="1679" customFormat="1" x14ac:dyDescent="0.25"/>
    <row r="1349" s="1679" customFormat="1" x14ac:dyDescent="0.25"/>
    <row r="1350" s="1679" customFormat="1" x14ac:dyDescent="0.25"/>
    <row r="1351" s="1679" customFormat="1" x14ac:dyDescent="0.25"/>
    <row r="1352" s="1679" customFormat="1" x14ac:dyDescent="0.25"/>
    <row r="1353" s="1679" customFormat="1" x14ac:dyDescent="0.25"/>
    <row r="1354" s="1679" customFormat="1" x14ac:dyDescent="0.25"/>
    <row r="1355" s="1679" customFormat="1" x14ac:dyDescent="0.25"/>
    <row r="1356" s="1679" customFormat="1" x14ac:dyDescent="0.25"/>
    <row r="1357" s="1679" customFormat="1" x14ac:dyDescent="0.25"/>
    <row r="1358" s="1679" customFormat="1" x14ac:dyDescent="0.25"/>
    <row r="1359" s="1679" customFormat="1" x14ac:dyDescent="0.25"/>
    <row r="1360" s="1679" customFormat="1" x14ac:dyDescent="0.25"/>
    <row r="1361" s="1679" customFormat="1" x14ac:dyDescent="0.25"/>
    <row r="1362" s="1679" customFormat="1" x14ac:dyDescent="0.25"/>
    <row r="1363" s="1679" customFormat="1" x14ac:dyDescent="0.25"/>
    <row r="1364" s="1679" customFormat="1" x14ac:dyDescent="0.25"/>
    <row r="1365" s="1679" customFormat="1" x14ac:dyDescent="0.25"/>
    <row r="1366" s="1679" customFormat="1" x14ac:dyDescent="0.25"/>
    <row r="1367" s="1679" customFormat="1" x14ac:dyDescent="0.25"/>
    <row r="1368" s="1679" customFormat="1" x14ac:dyDescent="0.25"/>
    <row r="1369" s="1679" customFormat="1" x14ac:dyDescent="0.25"/>
    <row r="1370" s="1679" customFormat="1" x14ac:dyDescent="0.25"/>
    <row r="1371" s="1679" customFormat="1" x14ac:dyDescent="0.25"/>
    <row r="1372" s="1679" customFormat="1" x14ac:dyDescent="0.25"/>
    <row r="1373" s="1679" customFormat="1" x14ac:dyDescent="0.25"/>
    <row r="1374" s="1679" customFormat="1" x14ac:dyDescent="0.25"/>
    <row r="1375" s="1679" customFormat="1" x14ac:dyDescent="0.25"/>
    <row r="1376" s="1679" customFormat="1" x14ac:dyDescent="0.25"/>
    <row r="1377" s="1679" customFormat="1" x14ac:dyDescent="0.25"/>
    <row r="1378" s="1679" customFormat="1" x14ac:dyDescent="0.25"/>
    <row r="1379" s="1679" customFormat="1" x14ac:dyDescent="0.25"/>
    <row r="1380" s="1679" customFormat="1" x14ac:dyDescent="0.25"/>
    <row r="1381" s="1679" customFormat="1" x14ac:dyDescent="0.25"/>
    <row r="1382" s="1679" customFormat="1" x14ac:dyDescent="0.25"/>
    <row r="1383" s="1679" customFormat="1" x14ac:dyDescent="0.25"/>
    <row r="1384" s="1679" customFormat="1" x14ac:dyDescent="0.25"/>
    <row r="1385" s="1679" customFormat="1" x14ac:dyDescent="0.25"/>
    <row r="1386" s="1679" customFormat="1" x14ac:dyDescent="0.25"/>
    <row r="1387" s="1679" customFormat="1" x14ac:dyDescent="0.25"/>
    <row r="1388" s="1679" customFormat="1" x14ac:dyDescent="0.25"/>
    <row r="1389" s="1679" customFormat="1" x14ac:dyDescent="0.25"/>
    <row r="1390" s="1679" customFormat="1" x14ac:dyDescent="0.25"/>
    <row r="1391" s="1679" customFormat="1" x14ac:dyDescent="0.25"/>
    <row r="1392" s="1679" customFormat="1" x14ac:dyDescent="0.25"/>
    <row r="1393" s="1679" customFormat="1" x14ac:dyDescent="0.25"/>
    <row r="1394" s="1679" customFormat="1" x14ac:dyDescent="0.25"/>
    <row r="1395" s="1679" customFormat="1" x14ac:dyDescent="0.25"/>
    <row r="1396" s="1679" customFormat="1" x14ac:dyDescent="0.25"/>
    <row r="1397" s="1679" customFormat="1" x14ac:dyDescent="0.25"/>
    <row r="1398" s="1679" customFormat="1" x14ac:dyDescent="0.25"/>
    <row r="1399" s="1679" customFormat="1" x14ac:dyDescent="0.25"/>
    <row r="1400" s="1679" customFormat="1" x14ac:dyDescent="0.25"/>
    <row r="1401" s="1679" customFormat="1" x14ac:dyDescent="0.25"/>
    <row r="1402" s="1679" customFormat="1" x14ac:dyDescent="0.25"/>
    <row r="1403" s="1679" customFormat="1" x14ac:dyDescent="0.25"/>
    <row r="1404" s="1679" customFormat="1" x14ac:dyDescent="0.25"/>
    <row r="1405" s="1679" customFormat="1" x14ac:dyDescent="0.25"/>
    <row r="1406" s="1679" customFormat="1" x14ac:dyDescent="0.25"/>
    <row r="1407" s="1679" customFormat="1" x14ac:dyDescent="0.25"/>
    <row r="1408" s="1679" customFormat="1" x14ac:dyDescent="0.25"/>
    <row r="1409" s="1679" customFormat="1" x14ac:dyDescent="0.25"/>
    <row r="1410" s="1679" customFormat="1" x14ac:dyDescent="0.25"/>
    <row r="1411" s="1679" customFormat="1" x14ac:dyDescent="0.25"/>
    <row r="1412" s="1679" customFormat="1" x14ac:dyDescent="0.25"/>
    <row r="1413" s="1679" customFormat="1" x14ac:dyDescent="0.25"/>
    <row r="1414" s="1679" customFormat="1" x14ac:dyDescent="0.25"/>
    <row r="1415" s="1679" customFormat="1" x14ac:dyDescent="0.25"/>
    <row r="1416" s="1679" customFormat="1" x14ac:dyDescent="0.25"/>
    <row r="1417" s="1679" customFormat="1" x14ac:dyDescent="0.25"/>
    <row r="1418" s="1679" customFormat="1" x14ac:dyDescent="0.25"/>
    <row r="1419" s="1679" customFormat="1" x14ac:dyDescent="0.25"/>
    <row r="1420" s="1679" customFormat="1" x14ac:dyDescent="0.25"/>
    <row r="1421" s="1679" customFormat="1" x14ac:dyDescent="0.25"/>
    <row r="1422" s="1679" customFormat="1" x14ac:dyDescent="0.25"/>
    <row r="1423" s="1679" customFormat="1" x14ac:dyDescent="0.25"/>
    <row r="1424" s="1679" customFormat="1" x14ac:dyDescent="0.25"/>
    <row r="1425" s="1679" customFormat="1" x14ac:dyDescent="0.25"/>
    <row r="1426" s="1679" customFormat="1" x14ac:dyDescent="0.25"/>
    <row r="1427" s="1679" customFormat="1" x14ac:dyDescent="0.25"/>
    <row r="1428" s="1679" customFormat="1" x14ac:dyDescent="0.25"/>
    <row r="1429" s="1679" customFormat="1" x14ac:dyDescent="0.25"/>
    <row r="1430" s="1679" customFormat="1" x14ac:dyDescent="0.25"/>
    <row r="1431" s="1679" customFormat="1" x14ac:dyDescent="0.25"/>
    <row r="1432" s="1679" customFormat="1" x14ac:dyDescent="0.25"/>
    <row r="1433" s="1679" customFormat="1" x14ac:dyDescent="0.25"/>
    <row r="1434" s="1679" customFormat="1" x14ac:dyDescent="0.25"/>
    <row r="1435" s="1679" customFormat="1" x14ac:dyDescent="0.25"/>
    <row r="1436" s="1679" customFormat="1" x14ac:dyDescent="0.25"/>
    <row r="1437" s="1679" customFormat="1" x14ac:dyDescent="0.25"/>
    <row r="1438" s="1679" customFormat="1" x14ac:dyDescent="0.25"/>
    <row r="1439" s="1679" customFormat="1" x14ac:dyDescent="0.25"/>
    <row r="1440" s="1679" customFormat="1" x14ac:dyDescent="0.25"/>
    <row r="1441" s="1679" customFormat="1" x14ac:dyDescent="0.25"/>
    <row r="1442" s="1679" customFormat="1" x14ac:dyDescent="0.25"/>
    <row r="1443" s="1679" customFormat="1" x14ac:dyDescent="0.25"/>
    <row r="1444" s="1679" customFormat="1" x14ac:dyDescent="0.25"/>
    <row r="1445" s="1679" customFormat="1" x14ac:dyDescent="0.25"/>
    <row r="1446" s="1679" customFormat="1" x14ac:dyDescent="0.25"/>
    <row r="1447" s="1679" customFormat="1" x14ac:dyDescent="0.25"/>
    <row r="1448" s="1679" customFormat="1" x14ac:dyDescent="0.25"/>
    <row r="1449" s="1679" customFormat="1" x14ac:dyDescent="0.25"/>
    <row r="1450" s="1679" customFormat="1" x14ac:dyDescent="0.25"/>
    <row r="1451" s="1679" customFormat="1" x14ac:dyDescent="0.25"/>
    <row r="1452" s="1679" customFormat="1" x14ac:dyDescent="0.25"/>
    <row r="1453" s="1679" customFormat="1" x14ac:dyDescent="0.25"/>
    <row r="1454" s="1679" customFormat="1" x14ac:dyDescent="0.25"/>
    <row r="1455" s="1679" customFormat="1" x14ac:dyDescent="0.25"/>
    <row r="1456" s="1679" customFormat="1" x14ac:dyDescent="0.25"/>
    <row r="1457" s="1679" customFormat="1" x14ac:dyDescent="0.25"/>
    <row r="1458" s="1679" customFormat="1" x14ac:dyDescent="0.25"/>
    <row r="1459" s="1679" customFormat="1" x14ac:dyDescent="0.25"/>
    <row r="1460" s="1679" customFormat="1" x14ac:dyDescent="0.25"/>
    <row r="1461" s="1679" customFormat="1" x14ac:dyDescent="0.25"/>
    <row r="1462" s="1679" customFormat="1" x14ac:dyDescent="0.25"/>
    <row r="1463" s="1679" customFormat="1" x14ac:dyDescent="0.25"/>
    <row r="1464" s="1679" customFormat="1" x14ac:dyDescent="0.25"/>
    <row r="1465" s="1679" customFormat="1" x14ac:dyDescent="0.25"/>
    <row r="1466" s="1679" customFormat="1" x14ac:dyDescent="0.25"/>
    <row r="1467" s="1679" customFormat="1" x14ac:dyDescent="0.25"/>
    <row r="1468" s="1679" customFormat="1" x14ac:dyDescent="0.25"/>
    <row r="1469" s="1679" customFormat="1" x14ac:dyDescent="0.25"/>
    <row r="1470" s="1679" customFormat="1" x14ac:dyDescent="0.25"/>
    <row r="1471" s="1679" customFormat="1" x14ac:dyDescent="0.25"/>
    <row r="1472" s="1679" customFormat="1" x14ac:dyDescent="0.25"/>
    <row r="1473" s="1679" customFormat="1" x14ac:dyDescent="0.25"/>
    <row r="1474" s="1679" customFormat="1" x14ac:dyDescent="0.25"/>
    <row r="1475" s="1679" customFormat="1" x14ac:dyDescent="0.25"/>
    <row r="1476" s="1679" customFormat="1" x14ac:dyDescent="0.25"/>
    <row r="1477" s="1679" customFormat="1" x14ac:dyDescent="0.25"/>
    <row r="1478" s="1679" customFormat="1" x14ac:dyDescent="0.25"/>
    <row r="1479" s="1679" customFormat="1" x14ac:dyDescent="0.25"/>
    <row r="1480" s="1679" customFormat="1" x14ac:dyDescent="0.25"/>
    <row r="1481" s="1679" customFormat="1" x14ac:dyDescent="0.25"/>
    <row r="1482" s="1679" customFormat="1" x14ac:dyDescent="0.25"/>
    <row r="1483" s="1679" customFormat="1" x14ac:dyDescent="0.25"/>
    <row r="1484" s="1679" customFormat="1" x14ac:dyDescent="0.25"/>
    <row r="1485" s="1679" customFormat="1" x14ac:dyDescent="0.25"/>
    <row r="1486" s="1679" customFormat="1" x14ac:dyDescent="0.25"/>
    <row r="1487" s="1679" customFormat="1" x14ac:dyDescent="0.25"/>
    <row r="1488" s="1679" customFormat="1" x14ac:dyDescent="0.25"/>
    <row r="1489" s="1679" customFormat="1" x14ac:dyDescent="0.25"/>
    <row r="1490" s="1679" customFormat="1" x14ac:dyDescent="0.25"/>
    <row r="1491" s="1679" customFormat="1" x14ac:dyDescent="0.25"/>
    <row r="1492" s="1679" customFormat="1" x14ac:dyDescent="0.25"/>
    <row r="1493" s="1679" customFormat="1" x14ac:dyDescent="0.25"/>
    <row r="1494" s="1679" customFormat="1" x14ac:dyDescent="0.25"/>
    <row r="1495" s="1679" customFormat="1" x14ac:dyDescent="0.25"/>
    <row r="1496" s="1679" customFormat="1" x14ac:dyDescent="0.25"/>
    <row r="1497" s="1679" customFormat="1" x14ac:dyDescent="0.25"/>
    <row r="1498" s="1679" customFormat="1" x14ac:dyDescent="0.25"/>
    <row r="1499" s="1679" customFormat="1" x14ac:dyDescent="0.25"/>
    <row r="1500" s="1679" customFormat="1" x14ac:dyDescent="0.25"/>
    <row r="1501" s="1679" customFormat="1" x14ac:dyDescent="0.25"/>
    <row r="1502" s="1679" customFormat="1" x14ac:dyDescent="0.25"/>
    <row r="1503" s="1679" customFormat="1" x14ac:dyDescent="0.25"/>
    <row r="1504" s="1679" customFormat="1" x14ac:dyDescent="0.25"/>
    <row r="1505" s="1679" customFormat="1" x14ac:dyDescent="0.25"/>
    <row r="1506" s="1679" customFormat="1" x14ac:dyDescent="0.25"/>
    <row r="1507" s="1679" customFormat="1" x14ac:dyDescent="0.25"/>
    <row r="1508" s="1679" customFormat="1" x14ac:dyDescent="0.25"/>
    <row r="1509" s="1679" customFormat="1" x14ac:dyDescent="0.25"/>
    <row r="1510" s="1679" customFormat="1" x14ac:dyDescent="0.25"/>
    <row r="1511" s="1679" customFormat="1" x14ac:dyDescent="0.25"/>
    <row r="1512" s="1679" customFormat="1" x14ac:dyDescent="0.25"/>
    <row r="1513" s="1679" customFormat="1" x14ac:dyDescent="0.25"/>
    <row r="1514" s="1679" customFormat="1" x14ac:dyDescent="0.25"/>
    <row r="1515" s="1679" customFormat="1" x14ac:dyDescent="0.25"/>
    <row r="1516" s="1679" customFormat="1" x14ac:dyDescent="0.25"/>
    <row r="1517" s="1679" customFormat="1" x14ac:dyDescent="0.25"/>
    <row r="1518" s="1679" customFormat="1" x14ac:dyDescent="0.25"/>
    <row r="1519" s="1679" customFormat="1" x14ac:dyDescent="0.25"/>
    <row r="1520" s="1679" customFormat="1" x14ac:dyDescent="0.25"/>
    <row r="1521" s="1679" customFormat="1" x14ac:dyDescent="0.25"/>
    <row r="1522" s="1679" customFormat="1" x14ac:dyDescent="0.25"/>
    <row r="1523" s="1679" customFormat="1" x14ac:dyDescent="0.25"/>
    <row r="1524" s="1679" customFormat="1" x14ac:dyDescent="0.25"/>
    <row r="1525" s="1679" customFormat="1" x14ac:dyDescent="0.25"/>
    <row r="1526" s="1679" customFormat="1" x14ac:dyDescent="0.25"/>
    <row r="1527" s="1679" customFormat="1" x14ac:dyDescent="0.25"/>
    <row r="1528" s="1679" customFormat="1" x14ac:dyDescent="0.25"/>
    <row r="1529" s="1679" customFormat="1" x14ac:dyDescent="0.25"/>
    <row r="1530" s="1679" customFormat="1" x14ac:dyDescent="0.25"/>
    <row r="1531" s="1679" customFormat="1" x14ac:dyDescent="0.25"/>
    <row r="1532" s="1679" customFormat="1" x14ac:dyDescent="0.25"/>
    <row r="1533" s="1679" customFormat="1" x14ac:dyDescent="0.25"/>
    <row r="1534" s="1679" customFormat="1" x14ac:dyDescent="0.25"/>
    <row r="1535" s="1679" customFormat="1" x14ac:dyDescent="0.25"/>
    <row r="1536" s="1679" customFormat="1" x14ac:dyDescent="0.25"/>
    <row r="1537" s="1679" customFormat="1" x14ac:dyDescent="0.25"/>
    <row r="1538" s="1679" customFormat="1" x14ac:dyDescent="0.25"/>
    <row r="1539" s="1679" customFormat="1" x14ac:dyDescent="0.25"/>
    <row r="1540" s="1679" customFormat="1" x14ac:dyDescent="0.25"/>
    <row r="1541" s="1679" customFormat="1" x14ac:dyDescent="0.25"/>
    <row r="1542" s="1679" customFormat="1" x14ac:dyDescent="0.25"/>
    <row r="1543" s="1679" customFormat="1" x14ac:dyDescent="0.25"/>
    <row r="1544" s="1679" customFormat="1" x14ac:dyDescent="0.25"/>
    <row r="1545" s="1679" customFormat="1" x14ac:dyDescent="0.25"/>
    <row r="1546" s="1679" customFormat="1" x14ac:dyDescent="0.25"/>
    <row r="1547" s="1679" customFormat="1" x14ac:dyDescent="0.25"/>
    <row r="1548" s="1679" customFormat="1" x14ac:dyDescent="0.25"/>
    <row r="1549" s="1679" customFormat="1" x14ac:dyDescent="0.25"/>
    <row r="1550" s="1679" customFormat="1" x14ac:dyDescent="0.25"/>
    <row r="1551" s="1679" customFormat="1" x14ac:dyDescent="0.25"/>
    <row r="1552" s="1679" customFormat="1" x14ac:dyDescent="0.25"/>
    <row r="1553" s="1679" customFormat="1" x14ac:dyDescent="0.25"/>
    <row r="1554" s="1679" customFormat="1" x14ac:dyDescent="0.25"/>
    <row r="1555" s="1679" customFormat="1" x14ac:dyDescent="0.25"/>
    <row r="1556" s="1679" customFormat="1" x14ac:dyDescent="0.25"/>
    <row r="1557" s="1679" customFormat="1" x14ac:dyDescent="0.25"/>
    <row r="1558" s="1679" customFormat="1" x14ac:dyDescent="0.25"/>
    <row r="1559" s="1679" customFormat="1" x14ac:dyDescent="0.25"/>
    <row r="1560" s="1679" customFormat="1" x14ac:dyDescent="0.25"/>
    <row r="1561" s="1679" customFormat="1" x14ac:dyDescent="0.25"/>
    <row r="1562" s="1679" customFormat="1" x14ac:dyDescent="0.25"/>
    <row r="1563" s="1679" customFormat="1" x14ac:dyDescent="0.25"/>
    <row r="1564" s="1679" customFormat="1" x14ac:dyDescent="0.25"/>
    <row r="1565" s="1679" customFormat="1" x14ac:dyDescent="0.25"/>
    <row r="1566" s="1679" customFormat="1" x14ac:dyDescent="0.25"/>
    <row r="1567" s="1679" customFormat="1" x14ac:dyDescent="0.25"/>
    <row r="1568" s="1679" customFormat="1" x14ac:dyDescent="0.25"/>
    <row r="1569" s="1679" customFormat="1" x14ac:dyDescent="0.25"/>
    <row r="1570" s="1679" customFormat="1" x14ac:dyDescent="0.25"/>
    <row r="1571" s="1679" customFormat="1" x14ac:dyDescent="0.25"/>
    <row r="1572" s="1679" customFormat="1" x14ac:dyDescent="0.25"/>
    <row r="1573" s="1679" customFormat="1" x14ac:dyDescent="0.25"/>
    <row r="1574" s="1679" customFormat="1" x14ac:dyDescent="0.25"/>
    <row r="1575" s="1679" customFormat="1" x14ac:dyDescent="0.25"/>
    <row r="1576" s="1679" customFormat="1" x14ac:dyDescent="0.25"/>
    <row r="1577" s="1679" customFormat="1" x14ac:dyDescent="0.25"/>
    <row r="1578" s="1679" customFormat="1" x14ac:dyDescent="0.25"/>
    <row r="1579" s="1679" customFormat="1" x14ac:dyDescent="0.25"/>
    <row r="1580" s="1679" customFormat="1" x14ac:dyDescent="0.25"/>
    <row r="1581" s="1679" customFormat="1" x14ac:dyDescent="0.25"/>
    <row r="1582" s="1679" customFormat="1" x14ac:dyDescent="0.25"/>
    <row r="1583" s="1679" customFormat="1" x14ac:dyDescent="0.25"/>
    <row r="1584" s="1679" customFormat="1" x14ac:dyDescent="0.25"/>
    <row r="1585" s="1679" customFormat="1" x14ac:dyDescent="0.25"/>
    <row r="1586" s="1679" customFormat="1" x14ac:dyDescent="0.25"/>
    <row r="1587" s="1679" customFormat="1" x14ac:dyDescent="0.25"/>
    <row r="1588" s="1679" customFormat="1" x14ac:dyDescent="0.25"/>
    <row r="1589" s="1679" customFormat="1" x14ac:dyDescent="0.25"/>
    <row r="1590" s="1679" customFormat="1" x14ac:dyDescent="0.25"/>
    <row r="1591" s="1679" customFormat="1" x14ac:dyDescent="0.25"/>
    <row r="1592" s="1679" customFormat="1" x14ac:dyDescent="0.25"/>
    <row r="1593" s="1679" customFormat="1" x14ac:dyDescent="0.25"/>
    <row r="1594" s="1679" customFormat="1" x14ac:dyDescent="0.25"/>
    <row r="1595" s="1679" customFormat="1" x14ac:dyDescent="0.25"/>
    <row r="1596" s="1679" customFormat="1" x14ac:dyDescent="0.25"/>
    <row r="1597" s="1679" customFormat="1" x14ac:dyDescent="0.25"/>
    <row r="1598" s="1679" customFormat="1" x14ac:dyDescent="0.25"/>
    <row r="1599" s="1679" customFormat="1" x14ac:dyDescent="0.25"/>
    <row r="1600" s="1679" customFormat="1" x14ac:dyDescent="0.25"/>
    <row r="1601" s="1679" customFormat="1" x14ac:dyDescent="0.25"/>
    <row r="1602" s="1679" customFormat="1" x14ac:dyDescent="0.25"/>
    <row r="1603" s="1679" customFormat="1" x14ac:dyDescent="0.25"/>
    <row r="1604" s="1679" customFormat="1" x14ac:dyDescent="0.25"/>
    <row r="1605" s="1679" customFormat="1" x14ac:dyDescent="0.25"/>
    <row r="1606" s="1679" customFormat="1" x14ac:dyDescent="0.25"/>
    <row r="1607" s="1679" customFormat="1" x14ac:dyDescent="0.25"/>
    <row r="1608" s="1679" customFormat="1" x14ac:dyDescent="0.25"/>
    <row r="1609" s="1679" customFormat="1" x14ac:dyDescent="0.25"/>
    <row r="1610" s="1679" customFormat="1" x14ac:dyDescent="0.25"/>
    <row r="1611" s="1679" customFormat="1" x14ac:dyDescent="0.25"/>
    <row r="1612" s="1679" customFormat="1" x14ac:dyDescent="0.25"/>
    <row r="1613" s="1679" customFormat="1" x14ac:dyDescent="0.25"/>
    <row r="1614" s="1679" customFormat="1" x14ac:dyDescent="0.25"/>
    <row r="1615" s="1679" customFormat="1" x14ac:dyDescent="0.25"/>
    <row r="1616" s="1679" customFormat="1" x14ac:dyDescent="0.25"/>
    <row r="1617" s="1679" customFormat="1" x14ac:dyDescent="0.25"/>
    <row r="1618" s="1679" customFormat="1" x14ac:dyDescent="0.25"/>
    <row r="1619" s="1679" customFormat="1" x14ac:dyDescent="0.25"/>
    <row r="1620" s="1679" customFormat="1" x14ac:dyDescent="0.25"/>
    <row r="1621" s="1679" customFormat="1" x14ac:dyDescent="0.25"/>
    <row r="1622" s="1679" customFormat="1" x14ac:dyDescent="0.25"/>
    <row r="1623" s="1679" customFormat="1" x14ac:dyDescent="0.25"/>
    <row r="1624" s="1679" customFormat="1" x14ac:dyDescent="0.25"/>
    <row r="1625" s="1679" customFormat="1" x14ac:dyDescent="0.25"/>
    <row r="1626" s="1679" customFormat="1" x14ac:dyDescent="0.25"/>
    <row r="1627" s="1679" customFormat="1" x14ac:dyDescent="0.25"/>
    <row r="1628" s="1679" customFormat="1" x14ac:dyDescent="0.25"/>
    <row r="1629" s="1679" customFormat="1" x14ac:dyDescent="0.25"/>
    <row r="1630" s="1679" customFormat="1" x14ac:dyDescent="0.25"/>
    <row r="1631" s="1679" customFormat="1" x14ac:dyDescent="0.25"/>
    <row r="1632" s="1679" customFormat="1" x14ac:dyDescent="0.25"/>
    <row r="1633" s="1679" customFormat="1" x14ac:dyDescent="0.25"/>
    <row r="1634" s="1679" customFormat="1" x14ac:dyDescent="0.25"/>
    <row r="1635" s="1679" customFormat="1" x14ac:dyDescent="0.25"/>
    <row r="1636" s="1679" customFormat="1" x14ac:dyDescent="0.25"/>
    <row r="1637" s="1679" customFormat="1" x14ac:dyDescent="0.25"/>
    <row r="1638" s="1679" customFormat="1" x14ac:dyDescent="0.25"/>
    <row r="1639" s="1679" customFormat="1" x14ac:dyDescent="0.25"/>
    <row r="1640" s="1679" customFormat="1" x14ac:dyDescent="0.25"/>
    <row r="1641" s="1679" customFormat="1" x14ac:dyDescent="0.25"/>
    <row r="1642" s="1679" customFormat="1" x14ac:dyDescent="0.25"/>
    <row r="1643" s="1679" customFormat="1" x14ac:dyDescent="0.25"/>
    <row r="1644" s="1679" customFormat="1" x14ac:dyDescent="0.25"/>
    <row r="1645" s="1679" customFormat="1" x14ac:dyDescent="0.25"/>
    <row r="1646" s="1679" customFormat="1" x14ac:dyDescent="0.25"/>
    <row r="1647" s="1679" customFormat="1" x14ac:dyDescent="0.25"/>
    <row r="1648" s="1679" customFormat="1" x14ac:dyDescent="0.25"/>
    <row r="1649" s="1679" customFormat="1" x14ac:dyDescent="0.25"/>
    <row r="1650" s="1679" customFormat="1" x14ac:dyDescent="0.25"/>
    <row r="1651" s="1679" customFormat="1" x14ac:dyDescent="0.25"/>
    <row r="1652" s="1679" customFormat="1" x14ac:dyDescent="0.25"/>
    <row r="1653" s="1679" customFormat="1" x14ac:dyDescent="0.25"/>
    <row r="1654" s="1679" customFormat="1" x14ac:dyDescent="0.25"/>
    <row r="1655" s="1679" customFormat="1" x14ac:dyDescent="0.25"/>
    <row r="1656" s="1679" customFormat="1" x14ac:dyDescent="0.25"/>
    <row r="1657" s="1679" customFormat="1" x14ac:dyDescent="0.25"/>
    <row r="1658" s="1679" customFormat="1" x14ac:dyDescent="0.25"/>
    <row r="1659" s="1679" customFormat="1" x14ac:dyDescent="0.25"/>
    <row r="1660" s="1679" customFormat="1" x14ac:dyDescent="0.25"/>
    <row r="1661" s="1679" customFormat="1" x14ac:dyDescent="0.25"/>
    <row r="1662" s="1679" customFormat="1" x14ac:dyDescent="0.25"/>
    <row r="1663" s="1679" customFormat="1" x14ac:dyDescent="0.25"/>
    <row r="1664" s="1679" customFormat="1" x14ac:dyDescent="0.25"/>
    <row r="1665" s="1679" customFormat="1" x14ac:dyDescent="0.25"/>
    <row r="1666" s="1679" customFormat="1" x14ac:dyDescent="0.25"/>
    <row r="1667" s="1679" customFormat="1" x14ac:dyDescent="0.25"/>
    <row r="1668" s="1679" customFormat="1" x14ac:dyDescent="0.25"/>
    <row r="1669" s="1679" customFormat="1" x14ac:dyDescent="0.25"/>
    <row r="1670" s="1679" customFormat="1" x14ac:dyDescent="0.25"/>
    <row r="1671" s="1679" customFormat="1" x14ac:dyDescent="0.25"/>
    <row r="1672" s="1679" customFormat="1" x14ac:dyDescent="0.25"/>
    <row r="1673" s="1679" customFormat="1" x14ac:dyDescent="0.25"/>
    <row r="1674" s="1679" customFormat="1" x14ac:dyDescent="0.25"/>
    <row r="1675" s="1679" customFormat="1" x14ac:dyDescent="0.25"/>
    <row r="1676" s="1679" customFormat="1" x14ac:dyDescent="0.25"/>
    <row r="1677" s="1679" customFormat="1" x14ac:dyDescent="0.25"/>
    <row r="1678" s="1679" customFormat="1" x14ac:dyDescent="0.25"/>
    <row r="1679" s="1679" customFormat="1" x14ac:dyDescent="0.25"/>
    <row r="1680" s="1679" customFormat="1" x14ac:dyDescent="0.25"/>
    <row r="1681" s="1679" customFormat="1" x14ac:dyDescent="0.25"/>
    <row r="1682" s="1679" customFormat="1" x14ac:dyDescent="0.25"/>
    <row r="1683" s="1679" customFormat="1" x14ac:dyDescent="0.25"/>
    <row r="1684" s="1679" customFormat="1" x14ac:dyDescent="0.25"/>
    <row r="1685" s="1679" customFormat="1" x14ac:dyDescent="0.25"/>
    <row r="1686" s="1679" customFormat="1" x14ac:dyDescent="0.25"/>
    <row r="1687" s="1679" customFormat="1" x14ac:dyDescent="0.25"/>
    <row r="1688" s="1679" customFormat="1" x14ac:dyDescent="0.25"/>
    <row r="1689" s="1679" customFormat="1" x14ac:dyDescent="0.25"/>
    <row r="1690" s="1679" customFormat="1" x14ac:dyDescent="0.25"/>
    <row r="1691" s="1679" customFormat="1" x14ac:dyDescent="0.25"/>
    <row r="1692" s="1679" customFormat="1" x14ac:dyDescent="0.25"/>
    <row r="1693" s="1679" customFormat="1" x14ac:dyDescent="0.25"/>
    <row r="1694" s="1679" customFormat="1" x14ac:dyDescent="0.25"/>
    <row r="1695" s="1679" customFormat="1" x14ac:dyDescent="0.25"/>
    <row r="1696" s="1679" customFormat="1" x14ac:dyDescent="0.25"/>
    <row r="1697" s="1679" customFormat="1" x14ac:dyDescent="0.25"/>
    <row r="1698" s="1679" customFormat="1" x14ac:dyDescent="0.25"/>
    <row r="1699" s="1679" customFormat="1" x14ac:dyDescent="0.25"/>
    <row r="1700" s="1679" customFormat="1" x14ac:dyDescent="0.25"/>
    <row r="1701" s="1679" customFormat="1" x14ac:dyDescent="0.25"/>
    <row r="1702" s="1679" customFormat="1" x14ac:dyDescent="0.25"/>
    <row r="1703" s="1679" customFormat="1" x14ac:dyDescent="0.25"/>
    <row r="1704" s="1679" customFormat="1" x14ac:dyDescent="0.25"/>
    <row r="1705" s="1679" customFormat="1" x14ac:dyDescent="0.25"/>
    <row r="1706" s="1679" customFormat="1" x14ac:dyDescent="0.25"/>
    <row r="1707" s="1679" customFormat="1" x14ac:dyDescent="0.25"/>
    <row r="1708" s="1679" customFormat="1" x14ac:dyDescent="0.25"/>
    <row r="1709" s="1679" customFormat="1" x14ac:dyDescent="0.25"/>
    <row r="1710" s="1679" customFormat="1" x14ac:dyDescent="0.25"/>
    <row r="1711" s="1679" customFormat="1" x14ac:dyDescent="0.25"/>
    <row r="1712" s="1679" customFormat="1" x14ac:dyDescent="0.25"/>
    <row r="1713" s="1679" customFormat="1" x14ac:dyDescent="0.25"/>
    <row r="1714" s="1679" customFormat="1" x14ac:dyDescent="0.25"/>
    <row r="1715" s="1679" customFormat="1" x14ac:dyDescent="0.25"/>
    <row r="1716" s="1679" customFormat="1" x14ac:dyDescent="0.25"/>
    <row r="1717" s="1679" customFormat="1" x14ac:dyDescent="0.25"/>
    <row r="1718" s="1679" customFormat="1" x14ac:dyDescent="0.25"/>
    <row r="1719" s="1679" customFormat="1" x14ac:dyDescent="0.25"/>
    <row r="1720" s="1679" customFormat="1" x14ac:dyDescent="0.25"/>
    <row r="1721" s="1679" customFormat="1" x14ac:dyDescent="0.25"/>
    <row r="1722" s="1679" customFormat="1" x14ac:dyDescent="0.25"/>
    <row r="1723" s="1679" customFormat="1" x14ac:dyDescent="0.25"/>
    <row r="1724" s="1679" customFormat="1" x14ac:dyDescent="0.25"/>
    <row r="1725" s="1679" customFormat="1" x14ac:dyDescent="0.25"/>
    <row r="1726" s="1679" customFormat="1" x14ac:dyDescent="0.25"/>
    <row r="1727" s="1679" customFormat="1" x14ac:dyDescent="0.25"/>
    <row r="1728" s="1679" customFormat="1" x14ac:dyDescent="0.25"/>
    <row r="1729" s="1679" customFormat="1" x14ac:dyDescent="0.25"/>
    <row r="1730" s="1679" customFormat="1" x14ac:dyDescent="0.25"/>
    <row r="1731" s="1679" customFormat="1" x14ac:dyDescent="0.25"/>
    <row r="1732" s="1679" customFormat="1" x14ac:dyDescent="0.25"/>
    <row r="1733" s="1679" customFormat="1" x14ac:dyDescent="0.25"/>
    <row r="1734" s="1679" customFormat="1" x14ac:dyDescent="0.25"/>
    <row r="1735" s="1679" customFormat="1" x14ac:dyDescent="0.25"/>
    <row r="1736" s="1679" customFormat="1" x14ac:dyDescent="0.25"/>
    <row r="1737" s="1679" customFormat="1" x14ac:dyDescent="0.25"/>
    <row r="1738" s="1679" customFormat="1" x14ac:dyDescent="0.25"/>
    <row r="1739" s="1679" customFormat="1" x14ac:dyDescent="0.25"/>
    <row r="1740" s="1679" customFormat="1" x14ac:dyDescent="0.25"/>
    <row r="1741" s="1679" customFormat="1" x14ac:dyDescent="0.25"/>
    <row r="1742" s="1679" customFormat="1" x14ac:dyDescent="0.25"/>
    <row r="1743" s="1679" customFormat="1" x14ac:dyDescent="0.25"/>
    <row r="1744" s="1679" customFormat="1" x14ac:dyDescent="0.25"/>
    <row r="1745" s="1679" customFormat="1" x14ac:dyDescent="0.25"/>
    <row r="1746" s="1679" customFormat="1" x14ac:dyDescent="0.25"/>
    <row r="1747" s="1679" customFormat="1" x14ac:dyDescent="0.25"/>
    <row r="1748" s="1679" customFormat="1" x14ac:dyDescent="0.25"/>
    <row r="1749" s="1679" customFormat="1" x14ac:dyDescent="0.25"/>
    <row r="1750" s="1679" customFormat="1" x14ac:dyDescent="0.25"/>
    <row r="1751" s="1679" customFormat="1" x14ac:dyDescent="0.25"/>
    <row r="1752" s="1679" customFormat="1" x14ac:dyDescent="0.25"/>
    <row r="1753" s="1679" customFormat="1" x14ac:dyDescent="0.25"/>
    <row r="1754" s="1679" customFormat="1" x14ac:dyDescent="0.25"/>
    <row r="1755" s="1679" customFormat="1" x14ac:dyDescent="0.25"/>
    <row r="1756" s="1679" customFormat="1" x14ac:dyDescent="0.25"/>
    <row r="1757" s="1679" customFormat="1" x14ac:dyDescent="0.25"/>
    <row r="1758" s="1679" customFormat="1" x14ac:dyDescent="0.25"/>
    <row r="1759" s="1679" customFormat="1" x14ac:dyDescent="0.25"/>
    <row r="1760" s="1679" customFormat="1" x14ac:dyDescent="0.25"/>
    <row r="1761" s="1679" customFormat="1" x14ac:dyDescent="0.25"/>
    <row r="1762" s="1679" customFormat="1" x14ac:dyDescent="0.25"/>
    <row r="1763" s="1679" customFormat="1" x14ac:dyDescent="0.25"/>
    <row r="1764" s="1679" customFormat="1" x14ac:dyDescent="0.25"/>
    <row r="1765" s="1679" customFormat="1" x14ac:dyDescent="0.25"/>
    <row r="1766" s="1679" customFormat="1" x14ac:dyDescent="0.25"/>
    <row r="1767" s="1679" customFormat="1" x14ac:dyDescent="0.25"/>
    <row r="1768" s="1679" customFormat="1" x14ac:dyDescent="0.25"/>
    <row r="1769" s="1679" customFormat="1" x14ac:dyDescent="0.25"/>
    <row r="1770" s="1679" customFormat="1" x14ac:dyDescent="0.25"/>
    <row r="1771" s="1679" customFormat="1" x14ac:dyDescent="0.25"/>
  </sheetData>
  <sheetProtection sheet="1" objects="1" scenarios="1"/>
  <mergeCells count="22">
    <mergeCell ref="B5:D5"/>
    <mergeCell ref="F5:H5"/>
    <mergeCell ref="V8:X8"/>
    <mergeCell ref="K5:R5"/>
    <mergeCell ref="K6:N6"/>
    <mergeCell ref="O6:R6"/>
    <mergeCell ref="K8:N8"/>
    <mergeCell ref="O8:R8"/>
    <mergeCell ref="U5:X5"/>
    <mergeCell ref="V6:X6"/>
    <mergeCell ref="O19:R19"/>
    <mergeCell ref="O23:R25"/>
    <mergeCell ref="K27:N27"/>
    <mergeCell ref="O27:R27"/>
    <mergeCell ref="V13:X13"/>
    <mergeCell ref="K25:N25"/>
    <mergeCell ref="AB8:AD8"/>
    <mergeCell ref="AB11:AD11"/>
    <mergeCell ref="K16:N16"/>
    <mergeCell ref="K11:N11"/>
    <mergeCell ref="AA5:AD5"/>
    <mergeCell ref="AB6:AD6"/>
  </mergeCells>
  <conditionalFormatting sqref="D5:D7">
    <cfRule type="expression" dxfId="6" priority="16" stopIfTrue="1">
      <formula>ISERROR(C30)</formula>
    </cfRule>
  </conditionalFormatting>
  <conditionalFormatting sqref="D17">
    <cfRule type="expression" dxfId="5" priority="29" stopIfTrue="1">
      <formula>ISERROR(V14)</formula>
    </cfRule>
  </conditionalFormatting>
  <conditionalFormatting sqref="D18:D24 H7:H8 D8:D16">
    <cfRule type="expression" dxfId="4" priority="20" stopIfTrue="1">
      <formula>ISERROR(D7)</formula>
    </cfRule>
  </conditionalFormatting>
  <conditionalFormatting sqref="D18:D26">
    <cfRule type="expression" dxfId="3" priority="19" stopIfTrue="1">
      <formula>ISERROR(D8)</formula>
    </cfRule>
  </conditionalFormatting>
  <conditionalFormatting sqref="G9 AB10:AD10 V12:X12 AB25:AD25 C27 V27:X27 AB27:AD27 L36:N36 P36:R36">
    <cfRule type="cellIs" dxfId="2" priority="17" stopIfTrue="1" operator="equal">
      <formula>0</formula>
    </cfRule>
  </conditionalFormatting>
  <conditionalFormatting sqref="H9 D27">
    <cfRule type="expression" dxfId="1" priority="18" stopIfTrue="1">
      <formula>ISERROR(D9)</formula>
    </cfRule>
  </conditionalFormatting>
  <conditionalFormatting sqref="AB26:AD26 V28:X28 AB28:AD28">
    <cfRule type="cellIs" dxfId="0" priority="4" stopIfTrue="1" operator="equal">
      <formula>0</formula>
    </cfRule>
  </conditionalFormatting>
  <pageMargins left="0.7" right="0.7" top="0.75" bottom="0.75" header="0.3" footer="0.3"/>
  <pageSetup paperSize="9" scale="76" orientation="portrait" r:id="rId1"/>
  <colBreaks count="2" manualBreakCount="2">
    <brk id="5" max="26" man="1"/>
    <brk id="18" max="1048575" man="1"/>
  </colBreaks>
  <ignoredErrors>
    <ignoredError sqref="D8:D14" evalError="1"/>
  </ignoredErrors>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19">
    <tabColor rgb="FF147A5C"/>
    <pageSetUpPr fitToPage="1"/>
  </sheetPr>
  <dimension ref="A1:R40"/>
  <sheetViews>
    <sheetView showGridLines="0" workbookViewId="0"/>
  </sheetViews>
  <sheetFormatPr baseColWidth="10" defaultRowHeight="17.25" x14ac:dyDescent="0.3"/>
  <cols>
    <col min="1" max="1" width="33.25" style="307" customWidth="1"/>
    <col min="2" max="2" width="12.75" style="307" customWidth="1"/>
    <col min="3" max="3" width="10.375" style="307" bestFit="1" customWidth="1"/>
    <col min="4" max="4" width="12.25" style="307" customWidth="1"/>
    <col min="5" max="5" width="10.375" style="307" bestFit="1" customWidth="1"/>
    <col min="6" max="6" width="11.5" style="307" customWidth="1"/>
    <col min="7" max="7" width="13.125" style="307" customWidth="1"/>
    <col min="8" max="9" width="10.375" style="307" bestFit="1" customWidth="1"/>
    <col min="10" max="10" width="13.125" style="307" customWidth="1"/>
    <col min="11" max="11" width="10.375" style="307" bestFit="1" customWidth="1"/>
    <col min="12" max="12" width="8.75" style="307" customWidth="1"/>
    <col min="13" max="13" width="13.125" style="307" customWidth="1"/>
    <col min="14" max="14" width="10.375" style="307" bestFit="1" customWidth="1"/>
    <col min="15" max="16" width="9.125" style="307" customWidth="1"/>
    <col min="17" max="17" width="21.875" style="307" bestFit="1" customWidth="1"/>
    <col min="18" max="16384" width="11" style="307"/>
  </cols>
  <sheetData>
    <row r="1" spans="1:18" ht="30" customHeight="1" x14ac:dyDescent="0.45">
      <c r="A1" s="1770" t="s">
        <v>1083</v>
      </c>
      <c r="B1" s="2261"/>
      <c r="C1" s="2261"/>
      <c r="D1" s="2261"/>
      <c r="E1" s="2261"/>
      <c r="F1" s="2261"/>
      <c r="G1" s="2261"/>
      <c r="H1" s="2261"/>
      <c r="I1" s="2261"/>
      <c r="J1"/>
      <c r="K1"/>
      <c r="L1"/>
      <c r="M1"/>
      <c r="N1"/>
      <c r="O1"/>
      <c r="P1" s="661"/>
    </row>
    <row r="2" spans="1:18" ht="27.75" x14ac:dyDescent="0.45">
      <c r="A2" s="485">
        <f>'Datos Básicos'!$B$8</f>
        <v>0</v>
      </c>
      <c r="Q2" s="1189"/>
      <c r="R2" s="1075"/>
    </row>
    <row r="3" spans="1:18" ht="27.75" x14ac:dyDescent="0.45">
      <c r="A3" s="485"/>
      <c r="Q3" s="1189"/>
      <c r="R3" s="1075"/>
    </row>
    <row r="4" spans="1:18" ht="27.75" x14ac:dyDescent="0.45">
      <c r="A4" s="485"/>
      <c r="Q4" s="1189"/>
      <c r="R4" s="1075"/>
    </row>
    <row r="5" spans="1:18" ht="28.5" thickBot="1" x14ac:dyDescent="0.5">
      <c r="A5" s="485"/>
      <c r="B5" s="1654" t="str">
        <f>IF(mes0=1,"",CONCATENATE("(",12-mes0+1," meses)"))</f>
        <v/>
      </c>
    </row>
    <row r="6" spans="1:18" s="495" customFormat="1" ht="21" customHeight="1" x14ac:dyDescent="0.25">
      <c r="A6" s="1876" t="s">
        <v>889</v>
      </c>
      <c r="B6" s="1877">
        <f>'Datos Básicos'!$B$17</f>
        <v>2026</v>
      </c>
      <c r="C6" s="1878" t="s">
        <v>944</v>
      </c>
      <c r="D6" s="1877">
        <f>'Datos Básicos'!$C$17</f>
        <v>2027</v>
      </c>
      <c r="E6" s="1878" t="s">
        <v>944</v>
      </c>
      <c r="F6" s="1878" t="s">
        <v>892</v>
      </c>
      <c r="G6" s="1877">
        <f>'Datos Básicos'!$D$17</f>
        <v>2028</v>
      </c>
      <c r="H6" s="1878" t="s">
        <v>944</v>
      </c>
      <c r="I6" s="1878" t="s">
        <v>892</v>
      </c>
      <c r="J6" s="1877">
        <f>G6+1</f>
        <v>2029</v>
      </c>
      <c r="K6" s="1878" t="s">
        <v>944</v>
      </c>
      <c r="L6" s="1878" t="s">
        <v>892</v>
      </c>
      <c r="M6" s="1877">
        <f>J6+1</f>
        <v>2030</v>
      </c>
      <c r="N6" s="1878" t="s">
        <v>944</v>
      </c>
      <c r="O6" s="1878" t="s">
        <v>892</v>
      </c>
      <c r="P6" s="1120"/>
    </row>
    <row r="7" spans="1:18" s="303" customFormat="1" ht="17.25" customHeight="1" x14ac:dyDescent="0.3">
      <c r="A7" s="1871" t="s">
        <v>741</v>
      </c>
      <c r="B7" s="1873">
        <f>'PyG 0'!N5</f>
        <v>0</v>
      </c>
      <c r="C7" s="1872" t="e">
        <f>B7/B$7</f>
        <v>#DIV/0!</v>
      </c>
      <c r="D7" s="1873">
        <f>'PyG 1'!N5</f>
        <v>0</v>
      </c>
      <c r="E7" s="1872" t="e">
        <f>D7/D$7</f>
        <v>#DIV/0!</v>
      </c>
      <c r="F7" s="1874" t="str">
        <f>IF(ABS(B7)&gt;0.01,(D7-B7)/B7,"")</f>
        <v/>
      </c>
      <c r="G7" s="1873">
        <f>'PyG 2'!N5</f>
        <v>0</v>
      </c>
      <c r="H7" s="1872" t="e">
        <f>G7/G$7</f>
        <v>#DIV/0!</v>
      </c>
      <c r="I7" s="1874" t="str">
        <f>IF(ABS(D7)&gt;0.01,(G7-D7)/D7,"")</f>
        <v/>
      </c>
      <c r="J7" s="1873">
        <f>'PyG 3'!N5</f>
        <v>0</v>
      </c>
      <c r="K7" s="1872" t="e">
        <f>J7/J$7</f>
        <v>#DIV/0!</v>
      </c>
      <c r="L7" s="1874" t="str">
        <f>IF(ABS(G7)&gt;0.01,(J7-G7)/G7,"")</f>
        <v/>
      </c>
      <c r="M7" s="1873">
        <f>'PyG 4'!N5</f>
        <v>0</v>
      </c>
      <c r="N7" s="1872" t="e">
        <f>M7/M$7</f>
        <v>#DIV/0!</v>
      </c>
      <c r="O7" s="1875" t="str">
        <f>IF(ABS(J7)&gt;0.01,(M7-J7)/J7,"")</f>
        <v/>
      </c>
      <c r="P7" s="1121"/>
    </row>
    <row r="8" spans="1:18" s="303" customFormat="1" ht="17.25" customHeight="1" x14ac:dyDescent="0.3">
      <c r="A8" s="1636" t="s">
        <v>742</v>
      </c>
      <c r="B8" s="1637">
        <f>'PyG 0'!N6</f>
        <v>0</v>
      </c>
      <c r="C8" s="1638" t="e">
        <f>B8/B$7</f>
        <v>#DIV/0!</v>
      </c>
      <c r="D8" s="1637">
        <f>'PyG 1'!N6</f>
        <v>0</v>
      </c>
      <c r="E8" s="1638" t="e">
        <f>D8/D$7</f>
        <v>#DIV/0!</v>
      </c>
      <c r="F8" s="1639" t="str">
        <f>IF(ABS(B8)&gt;0.01,(D8-B8)/B8,"")</f>
        <v/>
      </c>
      <c r="G8" s="1637">
        <f>'PyG 2'!N6</f>
        <v>0</v>
      </c>
      <c r="H8" s="1638" t="e">
        <f>G8/G$7</f>
        <v>#DIV/0!</v>
      </c>
      <c r="I8" s="1639" t="str">
        <f>IF(ABS(D8)&gt;0.01,(G8-D8)/D8,"")</f>
        <v/>
      </c>
      <c r="J8" s="1637">
        <f>'PyG 3'!N6</f>
        <v>0</v>
      </c>
      <c r="K8" s="1638" t="e">
        <f>J8/J$7</f>
        <v>#DIV/0!</v>
      </c>
      <c r="L8" s="1639" t="str">
        <f>IF(ABS(G8)&gt;0.01,(J8-G8)/G8,"")</f>
        <v/>
      </c>
      <c r="M8" s="1637">
        <f>'PyG 4'!N6</f>
        <v>0</v>
      </c>
      <c r="N8" s="1638" t="e">
        <f>M8/M$7</f>
        <v>#DIV/0!</v>
      </c>
      <c r="O8" s="1640" t="str">
        <f>IF(ABS(J8)&gt;0.01,(M8-J8)/J8,"")</f>
        <v/>
      </c>
      <c r="P8" s="1121"/>
    </row>
    <row r="9" spans="1:18" s="303" customFormat="1" ht="17.25" customHeight="1" x14ac:dyDescent="0.3">
      <c r="A9" s="2055" t="s">
        <v>1091</v>
      </c>
      <c r="B9" s="2056">
        <f>+B8+B7</f>
        <v>0</v>
      </c>
      <c r="C9" s="2057" t="e">
        <f>B9/B$7</f>
        <v>#DIV/0!</v>
      </c>
      <c r="D9" s="2056">
        <f>+D8+D7</f>
        <v>0</v>
      </c>
      <c r="E9" s="2057" t="e">
        <f>D9/D$7</f>
        <v>#DIV/0!</v>
      </c>
      <c r="F9" s="2056" t="str">
        <f>IF(ABS(B9)&gt;0.01,(D9-B9)/B9,"")</f>
        <v/>
      </c>
      <c r="G9" s="2056">
        <f>+G8+G7</f>
        <v>0</v>
      </c>
      <c r="H9" s="2057" t="e">
        <f>G9/G$7</f>
        <v>#DIV/0!</v>
      </c>
      <c r="I9" s="2056" t="str">
        <f>IF(ABS(D9)&gt;0.01,(G9-D9)/D9,"")</f>
        <v/>
      </c>
      <c r="J9" s="2056">
        <f>+J8+J7</f>
        <v>0</v>
      </c>
      <c r="K9" s="2057" t="e">
        <f>J9/J$7</f>
        <v>#DIV/0!</v>
      </c>
      <c r="L9" s="2056" t="str">
        <f>IF(ABS(G9)&gt;0.01,(J9-G9)/G9,"")</f>
        <v/>
      </c>
      <c r="M9" s="2056">
        <f>+M8+M7</f>
        <v>0</v>
      </c>
      <c r="N9" s="2057" t="e">
        <f>M9/M$7</f>
        <v>#DIV/0!</v>
      </c>
      <c r="O9" s="2058" t="str">
        <f>IF(ABS(J9)&gt;0.01,(M9-J9)/J9,"")</f>
        <v/>
      </c>
      <c r="P9" s="1122"/>
    </row>
    <row r="10" spans="1:18" s="303" customFormat="1" ht="17.25" customHeight="1" x14ac:dyDescent="0.3">
      <c r="A10" s="1645"/>
      <c r="B10" s="1646"/>
      <c r="C10" s="1647"/>
      <c r="D10" s="1646"/>
      <c r="E10" s="1647"/>
      <c r="F10" s="1648"/>
      <c r="G10" s="1646"/>
      <c r="H10" s="1647"/>
      <c r="I10" s="1648"/>
      <c r="J10" s="1646"/>
      <c r="K10" s="1647"/>
      <c r="L10" s="1648"/>
      <c r="M10" s="1646"/>
      <c r="N10" s="1647"/>
      <c r="O10" s="1649"/>
      <c r="P10" s="1123"/>
    </row>
    <row r="11" spans="1:18" ht="17.25" customHeight="1" x14ac:dyDescent="0.3">
      <c r="A11" s="1636" t="str">
        <f>'PyG 0'!A9</f>
        <v>Costes variables (directos)</v>
      </c>
      <c r="B11" s="1637">
        <f>'PyG 0'!N9</f>
        <v>0</v>
      </c>
      <c r="C11" s="1638" t="e">
        <f>B11/B$7</f>
        <v>#DIV/0!</v>
      </c>
      <c r="D11" s="1637">
        <f>'PyG 1'!N9</f>
        <v>0</v>
      </c>
      <c r="E11" s="1638" t="e">
        <f>D11/D$7</f>
        <v>#DIV/0!</v>
      </c>
      <c r="F11" s="1639" t="str">
        <f>IF(ABS(B11)&gt;0.01,(D11-B11)/B11,"")</f>
        <v/>
      </c>
      <c r="G11" s="1637">
        <f>'PyG 2'!N9</f>
        <v>0</v>
      </c>
      <c r="H11" s="1638" t="e">
        <f>G11/G$7</f>
        <v>#DIV/0!</v>
      </c>
      <c r="I11" s="1639" t="str">
        <f>IF(ABS(D11)&gt;0.01,(G11-D11)/D11,"")</f>
        <v/>
      </c>
      <c r="J11" s="1637">
        <f>'PyG 3'!N9</f>
        <v>0</v>
      </c>
      <c r="K11" s="1638" t="e">
        <f>J11/J$7</f>
        <v>#DIV/0!</v>
      </c>
      <c r="L11" s="1639" t="str">
        <f>IF(ABS(G11)&gt;0.01,(J11-G11)/G11,"")</f>
        <v/>
      </c>
      <c r="M11" s="1637">
        <f>'PyG 4'!N9</f>
        <v>0</v>
      </c>
      <c r="N11" s="1638" t="e">
        <f>M11/M$7</f>
        <v>#DIV/0!</v>
      </c>
      <c r="O11" s="1640" t="str">
        <f>IF(ABS(J11)&gt;0.01,(M11-J11)/J11,"")</f>
        <v/>
      </c>
      <c r="P11" s="1121"/>
    </row>
    <row r="12" spans="1:18" s="303" customFormat="1" ht="17.25" customHeight="1" x14ac:dyDescent="0.3">
      <c r="A12" s="2055" t="s">
        <v>1092</v>
      </c>
      <c r="B12" s="2056">
        <f>B9-B11</f>
        <v>0</v>
      </c>
      <c r="C12" s="2057" t="e">
        <f>B12/B$7</f>
        <v>#DIV/0!</v>
      </c>
      <c r="D12" s="2056">
        <f>D9-D11</f>
        <v>0</v>
      </c>
      <c r="E12" s="2057" t="e">
        <f>D12/D$7</f>
        <v>#DIV/0!</v>
      </c>
      <c r="F12" s="2056" t="str">
        <f>IF(ABS(B12)&gt;0.01,(D12-B12)/B12,"")</f>
        <v/>
      </c>
      <c r="G12" s="2056">
        <f>G9-G11</f>
        <v>0</v>
      </c>
      <c r="H12" s="2057" t="e">
        <f>G12/G$7</f>
        <v>#DIV/0!</v>
      </c>
      <c r="I12" s="2056" t="str">
        <f>IF(ABS(D12)&gt;0.01,(G12-D12)/D12,"")</f>
        <v/>
      </c>
      <c r="J12" s="2056">
        <f>J9-J11</f>
        <v>0</v>
      </c>
      <c r="K12" s="2057" t="e">
        <f>J12/J$7</f>
        <v>#DIV/0!</v>
      </c>
      <c r="L12" s="2056" t="str">
        <f>IF(ABS(G12)&gt;0.01,(J12-G12)/G12,"")</f>
        <v/>
      </c>
      <c r="M12" s="2056">
        <f>M9-M11</f>
        <v>0</v>
      </c>
      <c r="N12" s="2057" t="e">
        <f>M12/M$7</f>
        <v>#DIV/0!</v>
      </c>
      <c r="O12" s="2058" t="str">
        <f>IF(ABS(J12)&gt;0.01,(M12-J12)/J12,"")</f>
        <v/>
      </c>
      <c r="P12" s="1122"/>
    </row>
    <row r="13" spans="1:18" s="303" customFormat="1" ht="17.25" customHeight="1" x14ac:dyDescent="0.3">
      <c r="A13" s="1650"/>
      <c r="B13" s="1557"/>
      <c r="C13" s="1651"/>
      <c r="D13" s="1557"/>
      <c r="E13" s="1651"/>
      <c r="F13" s="1652"/>
      <c r="G13" s="1557"/>
      <c r="H13" s="1651"/>
      <c r="I13" s="1652"/>
      <c r="J13" s="1557"/>
      <c r="K13" s="1651"/>
      <c r="L13" s="1652"/>
      <c r="M13" s="1557"/>
      <c r="N13" s="1651"/>
      <c r="O13" s="1653"/>
      <c r="P13" s="1123"/>
    </row>
    <row r="14" spans="1:18" ht="17.25" customHeight="1" x14ac:dyDescent="0.3">
      <c r="A14" s="1636" t="s">
        <v>91</v>
      </c>
      <c r="B14" s="1637">
        <f>'PyG 0'!N12</f>
        <v>14652</v>
      </c>
      <c r="C14" s="1638" t="e">
        <f>B14/B$7</f>
        <v>#DIV/0!</v>
      </c>
      <c r="D14" s="1637">
        <f>'PyG 1'!N12</f>
        <v>15238.080000000002</v>
      </c>
      <c r="E14" s="1638" t="e">
        <f>D14/D$7</f>
        <v>#DIV/0!</v>
      </c>
      <c r="F14" s="1639">
        <f>IF(ABS(B14)&gt;0.01,(D14-B14)/B14,"")</f>
        <v>4.0000000000000119E-2</v>
      </c>
      <c r="G14" s="1637">
        <f>'PyG 2'!N12</f>
        <v>15847.603200000005</v>
      </c>
      <c r="H14" s="1638" t="e">
        <f>G14/G$7</f>
        <v>#DIV/0!</v>
      </c>
      <c r="I14" s="1639">
        <f>IF(ABS(D14)&gt;0.01,(G14-D14)/D14,"")</f>
        <v>4.0000000000000209E-2</v>
      </c>
      <c r="J14" s="1637">
        <f>'PyG 3'!N12</f>
        <v>16481.507328</v>
      </c>
      <c r="K14" s="1638" t="e">
        <f>J14/J$7</f>
        <v>#DIV/0!</v>
      </c>
      <c r="L14" s="1639">
        <f>IF(ABS(G14)&gt;0.01,(J14-G14)/G14,"")</f>
        <v>3.9999999999999654E-2</v>
      </c>
      <c r="M14" s="1637">
        <f>'PyG 4'!N12</f>
        <v>17140.767621120001</v>
      </c>
      <c r="N14" s="1638" t="e">
        <f>M14/M$7</f>
        <v>#DIV/0!</v>
      </c>
      <c r="O14" s="1640">
        <f>IF(ABS(J14)&gt;0.01,(M14-J14)/J14,"")</f>
        <v>4.0000000000000105E-2</v>
      </c>
      <c r="P14" s="1121"/>
    </row>
    <row r="15" spans="1:18" ht="17.25" customHeight="1" x14ac:dyDescent="0.3">
      <c r="A15" s="1636" t="s">
        <v>119</v>
      </c>
      <c r="B15" s="1637">
        <f>'PyG 0'!N13</f>
        <v>1064.6400000000001</v>
      </c>
      <c r="C15" s="1638" t="e">
        <f>B15/B$7</f>
        <v>#DIV/0!</v>
      </c>
      <c r="D15" s="1637">
        <f>'PyG 1'!N13</f>
        <v>1064.6400000000001</v>
      </c>
      <c r="E15" s="1638" t="e">
        <f>D15/D$7</f>
        <v>#DIV/0!</v>
      </c>
      <c r="F15" s="1639">
        <f>IF(ABS(B15)&gt;0.01,(D15-B15)/B15,"")</f>
        <v>0</v>
      </c>
      <c r="G15" s="1637">
        <f>'PyG 2'!N13</f>
        <v>2470.5600000000009</v>
      </c>
      <c r="H15" s="1638" t="e">
        <f>G15/G$7</f>
        <v>#DIV/0!</v>
      </c>
      <c r="I15" s="1639">
        <f>IF(ABS(D15)&gt;0.01,(G15-D15)/D15,"")</f>
        <v>1.3205590622182153</v>
      </c>
      <c r="J15" s="1637">
        <f>'PyG 3'!N13</f>
        <v>2470.5600000000009</v>
      </c>
      <c r="K15" s="1638" t="e">
        <f>J15/J$7</f>
        <v>#DIV/0!</v>
      </c>
      <c r="L15" s="1639">
        <f>IF(ABS(G15)&gt;0.01,(J15-G15)/G15,"")</f>
        <v>0</v>
      </c>
      <c r="M15" s="1637">
        <f>'PyG 4'!N13</f>
        <v>2470.5600000000009</v>
      </c>
      <c r="N15" s="1638" t="e">
        <f>M15/M$7</f>
        <v>#DIV/0!</v>
      </c>
      <c r="O15" s="1640">
        <f>IF(ABS(J15)&gt;0.01,(M15-J15)/J15,"")</f>
        <v>0</v>
      </c>
      <c r="P15" s="1121"/>
    </row>
    <row r="16" spans="1:18" ht="17.25" customHeight="1" x14ac:dyDescent="0.3">
      <c r="A16" s="1636" t="s">
        <v>90</v>
      </c>
      <c r="B16" s="1637">
        <f>'G.F. 0'!O46+'IVA 0'!O13</f>
        <v>0</v>
      </c>
      <c r="C16" s="1638" t="e">
        <f>B16/B$7</f>
        <v>#DIV/0!</v>
      </c>
      <c r="D16" s="1637">
        <f>'G.F. 1'!O46+'IVA 1'!O13</f>
        <v>0</v>
      </c>
      <c r="E16" s="1638" t="e">
        <f>D16/D$7</f>
        <v>#DIV/0!</v>
      </c>
      <c r="F16" s="1639" t="str">
        <f>IF(ABS(B16)&gt;0.01,(D16-B16)/B16,"")</f>
        <v/>
      </c>
      <c r="G16" s="1637">
        <f>'G.F. 2'!O46+'IVA 2'!O13</f>
        <v>0</v>
      </c>
      <c r="H16" s="1638" t="e">
        <f>G16/G$7</f>
        <v>#DIV/0!</v>
      </c>
      <c r="I16" s="1639" t="str">
        <f>IF(ABS(D16)&gt;0.01,(G16-D16)/D16,"")</f>
        <v/>
      </c>
      <c r="J16" s="1637">
        <f>'G.F. 3'!O46+'IVA 3'!O13</f>
        <v>0</v>
      </c>
      <c r="K16" s="1638" t="e">
        <f>J16/J$7</f>
        <v>#DIV/0!</v>
      </c>
      <c r="L16" s="1639" t="str">
        <f>IF(ABS(G16)&gt;0.01,(J16-G16)/G16,"")</f>
        <v/>
      </c>
      <c r="M16" s="1637">
        <f>'G.F. 4'!O46+'IVA 4'!O13</f>
        <v>0</v>
      </c>
      <c r="N16" s="1638" t="e">
        <f>M16/M$7</f>
        <v>#DIV/0!</v>
      </c>
      <c r="O16" s="1640" t="str">
        <f>IF(ABS(J16)&gt;0.01,(M16-J16)/J16,"")</f>
        <v/>
      </c>
      <c r="P16" s="1121"/>
    </row>
    <row r="17" spans="1:16" ht="17.25" customHeight="1" x14ac:dyDescent="0.3">
      <c r="A17" s="1636" t="str">
        <f>'PyG 0'!A15</f>
        <v>Dotación Amortizaciones</v>
      </c>
      <c r="B17" s="1637">
        <f>'PyG 0'!N15</f>
        <v>0</v>
      </c>
      <c r="C17" s="1638" t="e">
        <f>B17/B$7</f>
        <v>#DIV/0!</v>
      </c>
      <c r="D17" s="1637">
        <f>'PyG 1'!N15</f>
        <v>0</v>
      </c>
      <c r="E17" s="1638" t="e">
        <f>D17/D$7</f>
        <v>#DIV/0!</v>
      </c>
      <c r="F17" s="1639" t="str">
        <f>IF(ABS(B17)&gt;0.01,(D17-B17)/B17,"")</f>
        <v/>
      </c>
      <c r="G17" s="1637">
        <f>'PyG 2'!N15</f>
        <v>0</v>
      </c>
      <c r="H17" s="1638" t="e">
        <f>G17/G$7</f>
        <v>#DIV/0!</v>
      </c>
      <c r="I17" s="1639" t="str">
        <f>IF(ABS(D17)&gt;0.01,(G17-D17)/D17,"")</f>
        <v/>
      </c>
      <c r="J17" s="1637">
        <f>'PyG 3'!N15</f>
        <v>0</v>
      </c>
      <c r="K17" s="1638" t="e">
        <f>J17/J$7</f>
        <v>#DIV/0!</v>
      </c>
      <c r="L17" s="1639" t="str">
        <f>IF(ABS(G17)&gt;0.01,(J17-G17)/G17,"")</f>
        <v/>
      </c>
      <c r="M17" s="1637">
        <f>'PyG 4'!N15</f>
        <v>0</v>
      </c>
      <c r="N17" s="1638" t="e">
        <f>M17/M$7</f>
        <v>#DIV/0!</v>
      </c>
      <c r="O17" s="1640" t="str">
        <f>IF(ABS(J17)&gt;0.01,(M17-J17)/J17,"")</f>
        <v/>
      </c>
      <c r="P17" s="1121"/>
    </row>
    <row r="18" spans="1:16" s="1089" customFormat="1" ht="17.25" customHeight="1" x14ac:dyDescent="0.3">
      <c r="A18" s="2055" t="s">
        <v>1093</v>
      </c>
      <c r="B18" s="2056">
        <f>SUM(B14:B17)</f>
        <v>15716.64</v>
      </c>
      <c r="C18" s="2057" t="e">
        <f>B18/B$7</f>
        <v>#DIV/0!</v>
      </c>
      <c r="D18" s="2056">
        <f>SUM(D14:D17)</f>
        <v>16302.720000000001</v>
      </c>
      <c r="E18" s="2057" t="e">
        <f>D18/D$7</f>
        <v>#DIV/0!</v>
      </c>
      <c r="F18" s="2056">
        <f>IF(ABS(B18)&gt;0.01,(D18-B18)/B18,"")</f>
        <v>3.7290413218092532E-2</v>
      </c>
      <c r="G18" s="2056">
        <f>SUM(G14:G17)</f>
        <v>18318.163200000006</v>
      </c>
      <c r="H18" s="2057" t="e">
        <f>G18/G$7</f>
        <v>#DIV/0!</v>
      </c>
      <c r="I18" s="2056">
        <f>IF(ABS(D18)&gt;0.01,(G18-D18)/D18,"")</f>
        <v>0.12362619243905343</v>
      </c>
      <c r="J18" s="2056">
        <f>SUM(J14:J17)</f>
        <v>18952.067328000001</v>
      </c>
      <c r="K18" s="2057" t="e">
        <f>J18/J$7</f>
        <v>#DIV/0!</v>
      </c>
      <c r="L18" s="2056">
        <f>IF(ABS(G18)&gt;0.01,(J18-G18)/G18,"")</f>
        <v>3.4605223300990924E-2</v>
      </c>
      <c r="M18" s="2056">
        <f>SUM(M14:M17)</f>
        <v>19611.327621120003</v>
      </c>
      <c r="N18" s="2057" t="e">
        <f>M18/M$7</f>
        <v>#DIV/0!</v>
      </c>
      <c r="O18" s="2058">
        <f>IF(ABS(J18)&gt;0.01,(M18-J18)/J18,"")</f>
        <v>3.4785666476923237E-2</v>
      </c>
      <c r="P18" s="1124"/>
    </row>
    <row r="19" spans="1:16" s="303" customFormat="1" ht="17.25" customHeight="1" x14ac:dyDescent="0.3">
      <c r="A19" s="1650"/>
      <c r="B19" s="1557"/>
      <c r="C19" s="1651"/>
      <c r="D19" s="1557"/>
      <c r="E19" s="1651"/>
      <c r="F19" s="1652"/>
      <c r="G19" s="1557"/>
      <c r="H19" s="1651"/>
      <c r="I19" s="1652"/>
      <c r="J19" s="1557"/>
      <c r="K19" s="1651"/>
      <c r="L19" s="1652"/>
      <c r="M19" s="1557"/>
      <c r="N19" s="1651"/>
      <c r="O19" s="1653"/>
      <c r="P19" s="1123"/>
    </row>
    <row r="20" spans="1:16" s="303" customFormat="1" ht="17.25" customHeight="1" x14ac:dyDescent="0.3">
      <c r="A20" s="2055" t="s">
        <v>1094</v>
      </c>
      <c r="B20" s="2056">
        <f>B12-B18</f>
        <v>-15716.64</v>
      </c>
      <c r="C20" s="2057" t="e">
        <f>B20/B$7</f>
        <v>#DIV/0!</v>
      </c>
      <c r="D20" s="2056">
        <f>D12-D18</f>
        <v>-16302.720000000001</v>
      </c>
      <c r="E20" s="2057" t="e">
        <f>D20/D$7</f>
        <v>#DIV/0!</v>
      </c>
      <c r="F20" s="2056">
        <f>IF(ABS(B20)&gt;0.01,(D20-B20)/B20,"")</f>
        <v>3.7290413218092532E-2</v>
      </c>
      <c r="G20" s="2056">
        <f>G12-G18</f>
        <v>-18318.163200000006</v>
      </c>
      <c r="H20" s="2057" t="e">
        <f>G20/G$7</f>
        <v>#DIV/0!</v>
      </c>
      <c r="I20" s="2056">
        <f>IF(ABS(D20)&gt;0.01,(G20-D20)/D20,"")</f>
        <v>0.12362619243905343</v>
      </c>
      <c r="J20" s="2056">
        <f>J12-J18</f>
        <v>-18952.067328000001</v>
      </c>
      <c r="K20" s="2057" t="e">
        <f>J20/J$7</f>
        <v>#DIV/0!</v>
      </c>
      <c r="L20" s="2056">
        <f>IF(ABS(G20)&gt;0.01,(J20-G20)/G20,"")</f>
        <v>3.4605223300990924E-2</v>
      </c>
      <c r="M20" s="2056">
        <f>M12-M18</f>
        <v>-19611.327621120003</v>
      </c>
      <c r="N20" s="2057" t="e">
        <f>M20/M$7</f>
        <v>#DIV/0!</v>
      </c>
      <c r="O20" s="2058">
        <f>IF(ABS(J20)&gt;0.01,(M20-J20)/J20,"")</f>
        <v>3.4785666476923237E-2</v>
      </c>
      <c r="P20" s="1124"/>
    </row>
    <row r="21" spans="1:16" s="303" customFormat="1" ht="17.25" customHeight="1" x14ac:dyDescent="0.3">
      <c r="A21" s="1650"/>
      <c r="B21" s="1557"/>
      <c r="C21" s="1651"/>
      <c r="D21" s="1557"/>
      <c r="E21" s="1651"/>
      <c r="F21" s="1652"/>
      <c r="G21" s="1557"/>
      <c r="H21" s="1651"/>
      <c r="I21" s="1652"/>
      <c r="J21" s="1557"/>
      <c r="K21" s="1651"/>
      <c r="L21" s="1652"/>
      <c r="M21" s="1557"/>
      <c r="N21" s="1651"/>
      <c r="O21" s="1653"/>
      <c r="P21" s="1123"/>
    </row>
    <row r="22" spans="1:16" ht="17.25" customHeight="1" x14ac:dyDescent="0.3">
      <c r="A22" s="1636" t="s">
        <v>872</v>
      </c>
      <c r="B22" s="1637">
        <f>'PyG 0'!N20</f>
        <v>0</v>
      </c>
      <c r="C22" s="1638" t="e">
        <f>B22/B$7</f>
        <v>#DIV/0!</v>
      </c>
      <c r="D22" s="1637">
        <f>'PyG 1'!N20</f>
        <v>0</v>
      </c>
      <c r="E22" s="1638" t="e">
        <f>D22/D$7</f>
        <v>#DIV/0!</v>
      </c>
      <c r="F22" s="1639" t="str">
        <f>IF(ABS(B22)&gt;0.01,(D22-B22)/B22,"")</f>
        <v/>
      </c>
      <c r="G22" s="1637">
        <f>'PyG 2'!N20</f>
        <v>0</v>
      </c>
      <c r="H22" s="1638" t="e">
        <f>G22/G$7</f>
        <v>#DIV/0!</v>
      </c>
      <c r="I22" s="1639" t="str">
        <f>IF(ABS(D22)&gt;0.01,(G22-D22)/D22,"")</f>
        <v/>
      </c>
      <c r="J22" s="1637">
        <f>'PyG 3'!N20</f>
        <v>0</v>
      </c>
      <c r="K22" s="1638" t="e">
        <f>J22/J$7</f>
        <v>#DIV/0!</v>
      </c>
      <c r="L22" s="1639" t="str">
        <f>IF(ABS(G22)&gt;0.01,(J22-G22)/G22,"")</f>
        <v/>
      </c>
      <c r="M22" s="1637">
        <f>'PyG 4'!N20</f>
        <v>0</v>
      </c>
      <c r="N22" s="1638" t="e">
        <f>M22/M$7</f>
        <v>#DIV/0!</v>
      </c>
      <c r="O22" s="1640" t="str">
        <f>IF(ABS(J22)&gt;0.01,(M22-J22)/J22,"")</f>
        <v/>
      </c>
      <c r="P22" s="1121"/>
    </row>
    <row r="23" spans="1:16" ht="17.25" customHeight="1" x14ac:dyDescent="0.3">
      <c r="A23" s="1636" t="s">
        <v>873</v>
      </c>
      <c r="B23" s="1637">
        <f>'PyG 0'!N21</f>
        <v>646.31946839369516</v>
      </c>
      <c r="C23" s="1638" t="e">
        <f>B23/B$7</f>
        <v>#DIV/0!</v>
      </c>
      <c r="D23" s="1637">
        <f>'PyG 1'!N21</f>
        <v>1860.8104958238205</v>
      </c>
      <c r="E23" s="1638" t="e">
        <f>D23/D$7</f>
        <v>#DIV/0!</v>
      </c>
      <c r="F23" s="1639">
        <f>IF(ABS(B23)&gt;0.01,(D23-B23)/B23,"")</f>
        <v>1.8790877991784978</v>
      </c>
      <c r="G23" s="1637">
        <f>'PyG 2'!N21</f>
        <v>3239.7896967037746</v>
      </c>
      <c r="H23" s="1638" t="e">
        <f>G23/G$7</f>
        <v>#DIV/0!</v>
      </c>
      <c r="I23" s="1639">
        <f>IF(ABS(D23)&gt;0.01,(G23-D23)/D23,"")</f>
        <v>0.74106374828321819</v>
      </c>
      <c r="J23" s="1637">
        <f>'PyG 3'!N21</f>
        <v>4818.9543076760046</v>
      </c>
      <c r="K23" s="1638" t="e">
        <f>J23/J$7</f>
        <v>#DIV/0!</v>
      </c>
      <c r="L23" s="1639">
        <f>IF(ABS(G23)&gt;0.01,(J23-G23)/G23,"")</f>
        <v>0.48742812305962424</v>
      </c>
      <c r="M23" s="1637">
        <f>'PyG 4'!N21</f>
        <v>6558.9313748479281</v>
      </c>
      <c r="N23" s="1638" t="e">
        <f>M23/M$7</f>
        <v>#DIV/0!</v>
      </c>
      <c r="O23" s="1640">
        <f>IF(ABS(J23)&gt;0.01,(M23-J23)/J23,"")</f>
        <v>0.36106942628618677</v>
      </c>
      <c r="P23" s="1121"/>
    </row>
    <row r="24" spans="1:16" s="303" customFormat="1" ht="17.25" customHeight="1" x14ac:dyDescent="0.3">
      <c r="A24" s="2055" t="s">
        <v>1095</v>
      </c>
      <c r="B24" s="2056">
        <f>'PyG 0'!N22</f>
        <v>-646.31946839369516</v>
      </c>
      <c r="C24" s="2057" t="e">
        <f>B24/B$7</f>
        <v>#DIV/0!</v>
      </c>
      <c r="D24" s="2056">
        <f>D22-D23</f>
        <v>-1860.8104958238205</v>
      </c>
      <c r="E24" s="2057" t="e">
        <f>D24/D$7</f>
        <v>#DIV/0!</v>
      </c>
      <c r="F24" s="2056">
        <f>IF(ABS(B24)&gt;0.01,(D24-B24)/B24,"")</f>
        <v>1.8790877991784978</v>
      </c>
      <c r="G24" s="2056">
        <f>G22-G23</f>
        <v>-3239.7896967037746</v>
      </c>
      <c r="H24" s="2057" t="e">
        <f>G24/G$7</f>
        <v>#DIV/0!</v>
      </c>
      <c r="I24" s="2056">
        <f>IF(ABS(D24)&gt;0.01,(G24-D24)/D24,"")</f>
        <v>0.74106374828321819</v>
      </c>
      <c r="J24" s="2056">
        <f>J22-J23</f>
        <v>-4818.9543076760046</v>
      </c>
      <c r="K24" s="2057" t="e">
        <f>J24/J$7</f>
        <v>#DIV/0!</v>
      </c>
      <c r="L24" s="2056">
        <f>IF(ABS(G24)&gt;0.01,(J24-G24)/G24,"")</f>
        <v>0.48742812305962424</v>
      </c>
      <c r="M24" s="2056">
        <f>M22-M23</f>
        <v>-6558.9313748479281</v>
      </c>
      <c r="N24" s="2057" t="e">
        <f>M24/M$7</f>
        <v>#DIV/0!</v>
      </c>
      <c r="O24" s="2058">
        <f>IF(ABS(J24)&gt;0.01,(M24-J24)/J24,"")</f>
        <v>0.36106942628618677</v>
      </c>
      <c r="P24" s="1124"/>
    </row>
    <row r="25" spans="1:16" s="303" customFormat="1" ht="17.25" customHeight="1" x14ac:dyDescent="0.3">
      <c r="A25" s="1650"/>
      <c r="B25" s="1557"/>
      <c r="C25" s="1651"/>
      <c r="D25" s="1557"/>
      <c r="E25" s="1651"/>
      <c r="F25" s="1652"/>
      <c r="G25" s="1557"/>
      <c r="H25" s="1651"/>
      <c r="I25" s="1652"/>
      <c r="J25" s="1557"/>
      <c r="K25" s="1651"/>
      <c r="L25" s="1652"/>
      <c r="M25" s="1557"/>
      <c r="N25" s="1651"/>
      <c r="O25" s="1653"/>
      <c r="P25" s="1123"/>
    </row>
    <row r="26" spans="1:16" s="303" customFormat="1" ht="17.25" customHeight="1" x14ac:dyDescent="0.3">
      <c r="A26" s="2055" t="s">
        <v>1096</v>
      </c>
      <c r="B26" s="2056">
        <f>B20+B24</f>
        <v>-16362.959468393694</v>
      </c>
      <c r="C26" s="2057" t="e">
        <f>B26/B$7</f>
        <v>#DIV/0!</v>
      </c>
      <c r="D26" s="2056">
        <f>D20+D24</f>
        <v>-18163.530495823823</v>
      </c>
      <c r="E26" s="2057" t="e">
        <f>D26/D$7</f>
        <v>#DIV/0!</v>
      </c>
      <c r="F26" s="2056">
        <f>IF(ABS(B26)&gt;0.01,(D26-B26)/B26,"")</f>
        <v>0.11003944799277109</v>
      </c>
      <c r="G26" s="2056">
        <f>G20+G24</f>
        <v>-21557.95289670378</v>
      </c>
      <c r="H26" s="2057" t="e">
        <f>G26/G$7</f>
        <v>#DIV/0!</v>
      </c>
      <c r="I26" s="2056">
        <f>IF(ABS(D26)&gt;0.01,(G26-D26)/D26,"")</f>
        <v>0.18688120140852607</v>
      </c>
      <c r="J26" s="2056">
        <f>J20+J24</f>
        <v>-23771.021635676007</v>
      </c>
      <c r="K26" s="2057" t="e">
        <f>J26/J$7</f>
        <v>#DIV/0!</v>
      </c>
      <c r="L26" s="2056">
        <f>IF(ABS(G26)&gt;0.01,(J26-G26)/G26,"")</f>
        <v>0.10265672021718747</v>
      </c>
      <c r="M26" s="2056">
        <f>M20+M24</f>
        <v>-26170.258995967932</v>
      </c>
      <c r="N26" s="2057" t="e">
        <f>M26/M$7</f>
        <v>#DIV/0!</v>
      </c>
      <c r="O26" s="2058">
        <f>IF(ABS(J26)&gt;0.01,(M26-J26)/J26,"")</f>
        <v>0.10093118407208479</v>
      </c>
      <c r="P26" s="1124"/>
    </row>
    <row r="27" spans="1:16" s="303" customFormat="1" ht="17.25" customHeight="1" x14ac:dyDescent="0.3">
      <c r="A27" s="1650"/>
      <c r="B27" s="1557"/>
      <c r="C27" s="1651"/>
      <c r="D27" s="1557"/>
      <c r="E27" s="1651"/>
      <c r="F27" s="1652"/>
      <c r="G27" s="1557"/>
      <c r="H27" s="1651"/>
      <c r="I27" s="1652"/>
      <c r="J27" s="1557"/>
      <c r="K27" s="1651"/>
      <c r="L27" s="1652"/>
      <c r="M27" s="1557"/>
      <c r="N27" s="1651"/>
      <c r="O27" s="1653"/>
      <c r="P27" s="1125"/>
    </row>
    <row r="28" spans="1:16" ht="17.25" customHeight="1" x14ac:dyDescent="0.3">
      <c r="A28" s="1636" t="str">
        <f>IF(isoc=0,"Impuestos:  I.R.P.F.","Impuesto de Sociedades")</f>
        <v>Impuestos:  I.R.P.F.</v>
      </c>
      <c r="B28" s="1637">
        <f>Imp.Sociedades!B18+'IRPF Prof y Autónomos'!K23*'IRPF Prof y Autónomos'!K19</f>
        <v>0</v>
      </c>
      <c r="C28" s="1638" t="e">
        <f>B28/B$7</f>
        <v>#DIV/0!</v>
      </c>
      <c r="D28" s="1637">
        <f>Imp.Sociedades!D18+'IRPF Prof y Autónomos'!L23*'IRPF Prof y Autónomos'!L19</f>
        <v>0</v>
      </c>
      <c r="E28" s="1638" t="e">
        <f>D28/D$7</f>
        <v>#DIV/0!</v>
      </c>
      <c r="F28" s="2054" t="str">
        <f>IF(ABS(B28)&gt;0.01,(D28-B28)/B28,"")</f>
        <v/>
      </c>
      <c r="G28" s="1637">
        <f>Imp.Sociedades!G18+'IRPF Prof y Autónomos'!M23*'IRPF Prof y Autónomos'!M19</f>
        <v>0</v>
      </c>
      <c r="H28" s="1638" t="e">
        <f>G28/G$7</f>
        <v>#DIV/0!</v>
      </c>
      <c r="I28" s="1639" t="str">
        <f>IF(ABS(D28)&gt;0.01,(G28-D28)/D28,"")</f>
        <v/>
      </c>
      <c r="J28" s="1637">
        <f>Imp.Sociedades!J18+'IRPF Prof y Autónomos'!N23*'IRPF Prof y Autónomos'!N19</f>
        <v>0</v>
      </c>
      <c r="K28" s="1638" t="e">
        <f>J28/J$7</f>
        <v>#DIV/0!</v>
      </c>
      <c r="L28" s="1639" t="str">
        <f>IF(ABS(G28)&gt;0.01,(J28-G28)/G28,"")</f>
        <v/>
      </c>
      <c r="M28" s="1637">
        <f>Imp.Sociedades!M18+'IRPF Prof y Autónomos'!O23*'IRPF Prof y Autónomos'!O19</f>
        <v>0</v>
      </c>
      <c r="N28" s="1638" t="e">
        <f>M28/M$7</f>
        <v>#DIV/0!</v>
      </c>
      <c r="O28" s="1640" t="str">
        <f>IF(ABS(J28)&gt;0.01,(M28-J28)/J28,"")</f>
        <v/>
      </c>
      <c r="P28" s="1125"/>
    </row>
    <row r="29" spans="1:16" ht="18" thickBot="1" x14ac:dyDescent="0.35">
      <c r="A29" s="1650"/>
      <c r="B29" s="1557"/>
      <c r="C29" s="1651"/>
      <c r="D29" s="1557"/>
      <c r="E29" s="1651"/>
      <c r="F29" s="1652"/>
      <c r="G29" s="1557"/>
      <c r="H29" s="1651"/>
      <c r="I29" s="1652"/>
      <c r="J29" s="1557"/>
      <c r="K29" s="1651"/>
      <c r="L29" s="1652"/>
      <c r="M29" s="1557"/>
      <c r="N29" s="1651"/>
      <c r="O29" s="1653"/>
      <c r="P29" s="1126"/>
    </row>
    <row r="30" spans="1:16" ht="18" thickBot="1" x14ac:dyDescent="0.35">
      <c r="A30" s="2116" t="s">
        <v>237</v>
      </c>
      <c r="B30" s="2117">
        <f>B26-B28</f>
        <v>-16362.959468393694</v>
      </c>
      <c r="C30" s="2118" t="e">
        <f>B30/B$7</f>
        <v>#DIV/0!</v>
      </c>
      <c r="D30" s="2117">
        <f>D26-D28</f>
        <v>-18163.530495823823</v>
      </c>
      <c r="E30" s="2119" t="e">
        <f>D30/D$7</f>
        <v>#DIV/0!</v>
      </c>
      <c r="F30" s="2120">
        <f>IF(ABS(B30)&gt;0.01,(D30-B30)/B30,"")</f>
        <v>0.11003944799277109</v>
      </c>
      <c r="G30" s="2117">
        <f>G26-G28</f>
        <v>-21557.95289670378</v>
      </c>
      <c r="H30" s="2119" t="e">
        <f>G30/G$7</f>
        <v>#DIV/0!</v>
      </c>
      <c r="I30" s="2120">
        <f>IF(ABS(D30)&gt;0.01,(G30-D30)/D30,"")</f>
        <v>0.18688120140852607</v>
      </c>
      <c r="J30" s="2117">
        <f>J26-J28</f>
        <v>-23771.021635676007</v>
      </c>
      <c r="K30" s="2119" t="e">
        <f>J30/J$7</f>
        <v>#DIV/0!</v>
      </c>
      <c r="L30" s="2120">
        <f>IF(ABS(G30)&gt;0.01,(J30-G30)/G30,"")</f>
        <v>0.10265672021718747</v>
      </c>
      <c r="M30" s="2117">
        <f>M26-M28</f>
        <v>-26170.258995967932</v>
      </c>
      <c r="N30" s="2119" t="e">
        <f>M30/M$7</f>
        <v>#DIV/0!</v>
      </c>
      <c r="O30" s="2121">
        <f>IF(ABS(J30)&gt;0.01,(M30-J30)/J30,"")</f>
        <v>0.10093118407208479</v>
      </c>
      <c r="P30" s="1127"/>
    </row>
    <row r="31" spans="1:16" x14ac:dyDescent="0.3">
      <c r="D31" s="398"/>
    </row>
    <row r="32" spans="1:16" x14ac:dyDescent="0.3">
      <c r="D32" s="398"/>
    </row>
    <row r="33" spans="1:4" x14ac:dyDescent="0.3">
      <c r="A33" s="494" t="str">
        <f>Imp.Sociedades!A34</f>
        <v>Todas las cantidades están expresadas en Euros</v>
      </c>
      <c r="D33" s="398"/>
    </row>
    <row r="34" spans="1:4" x14ac:dyDescent="0.3">
      <c r="A34" s="494" t="str">
        <f>IF(mes0=1,"",CONCATENATE("* Sólo ",12-mes0+1," meses de actividad en año 0: ",B6," (de ",'Datos Básicos'!G19," a diciembre de "&amp;'Datos Básicos'!B17&amp;")"))</f>
        <v/>
      </c>
      <c r="D34" s="398"/>
    </row>
    <row r="35" spans="1:4" x14ac:dyDescent="0.3">
      <c r="A35" s="494" t="str">
        <f>IF(irpf&lt;&gt;0,CONCATENATE("Forma jurídica: ",'Datos Básicos'!B22,"  No sujeto a Imp. de Sociedades sino a I.R.P.F."),"")</f>
        <v>Forma jurídica: Empr. Individual (Reg. General)  No sujeto a Imp. de Sociedades sino a I.R.P.F.</v>
      </c>
      <c r="D35" s="398"/>
    </row>
    <row r="36" spans="1:4" x14ac:dyDescent="0.3">
      <c r="A36" s="494" t="str">
        <f>IF(irpf&lt;&gt;0,"Las cuentas de resultados reflejan el resultado contable, NO el computable para el IRPF","")</f>
        <v>Las cuentas de resultados reflejan el resultado contable, NO el computable para el IRPF</v>
      </c>
      <c r="D36" s="398"/>
    </row>
    <row r="37" spans="1:4" x14ac:dyDescent="0.3">
      <c r="D37" s="398"/>
    </row>
    <row r="38" spans="1:4" x14ac:dyDescent="0.3">
      <c r="D38" s="398"/>
    </row>
    <row r="39" spans="1:4" x14ac:dyDescent="0.3">
      <c r="D39" s="398"/>
    </row>
    <row r="40" spans="1:4" x14ac:dyDescent="0.3">
      <c r="D40" s="398"/>
    </row>
  </sheetData>
  <sheetProtection sheet="1" objects="1" scenarios="1" formatCells="0" formatColumns="0"/>
  <phoneticPr fontId="13" type="noConversion"/>
  <printOptions horizontalCentered="1" verticalCentered="1"/>
  <pageMargins left="0.39370078740157483" right="0.39370078740157483" top="0.33" bottom="0.48" header="0.11811023622047245" footer="0.11811023622047245"/>
  <pageSetup paperSize="9" scale="59" orientation="landscape" r:id="rId1"/>
  <headerFooter alignWithMargins="0">
    <oddFooter>&amp;A</oddFooter>
  </headerFooter>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Hoja53">
    <tabColor rgb="FFFFB81F"/>
    <pageSetUpPr fitToPage="1"/>
  </sheetPr>
  <dimension ref="A1:I50"/>
  <sheetViews>
    <sheetView showGridLines="0" topLeftCell="A16" workbookViewId="0">
      <selection activeCell="A36" sqref="A36:A37"/>
    </sheetView>
  </sheetViews>
  <sheetFormatPr baseColWidth="10" defaultRowHeight="17.25" x14ac:dyDescent="0.3"/>
  <cols>
    <col min="1" max="1" width="30.875" style="307" customWidth="1"/>
    <col min="2" max="2" width="10.75" style="307" customWidth="1"/>
    <col min="3" max="7" width="11.125" style="307" customWidth="1"/>
    <col min="8" max="8" width="21.625" style="307" bestFit="1" customWidth="1"/>
    <col min="9" max="16384" width="11" style="307"/>
  </cols>
  <sheetData>
    <row r="1" spans="1:9" ht="30" customHeight="1" x14ac:dyDescent="0.45">
      <c r="A1" s="2521" t="s">
        <v>305</v>
      </c>
      <c r="B1" s="2506"/>
      <c r="C1" s="2506"/>
      <c r="D1" s="2506"/>
      <c r="E1" s="2506"/>
      <c r="F1" s="2506"/>
      <c r="G1" s="2506"/>
    </row>
    <row r="2" spans="1:9" ht="24.75" x14ac:dyDescent="0.4">
      <c r="A2" s="449">
        <f>'Datos Básicos'!B8</f>
        <v>0</v>
      </c>
      <c r="B2" s="445"/>
      <c r="C2" s="446"/>
      <c r="D2" s="446"/>
      <c r="E2" s="446"/>
      <c r="F2" s="446"/>
      <c r="G2" s="446"/>
      <c r="H2" s="1189"/>
      <c r="I2" s="1075"/>
    </row>
    <row r="3" spans="1:9" ht="24.75" x14ac:dyDescent="0.4">
      <c r="A3" s="449"/>
      <c r="B3" s="445"/>
      <c r="C3" s="446"/>
      <c r="D3" s="446"/>
      <c r="E3" s="446"/>
      <c r="F3" s="446"/>
      <c r="G3" s="446"/>
      <c r="H3" s="1189"/>
      <c r="I3" s="1075"/>
    </row>
    <row r="4" spans="1:9" ht="24.75" x14ac:dyDescent="0.4">
      <c r="A4" s="449"/>
      <c r="B4" s="445"/>
      <c r="C4" s="446"/>
      <c r="D4" s="446"/>
      <c r="E4" s="446"/>
      <c r="F4" s="446"/>
      <c r="G4" s="446"/>
      <c r="H4" s="1189"/>
      <c r="I4" s="1075"/>
    </row>
    <row r="5" spans="1:9" ht="18" thickBot="1" x14ac:dyDescent="0.35"/>
    <row r="6" spans="1:9" ht="18" thickBot="1" x14ac:dyDescent="0.35">
      <c r="B6" s="1792" t="str">
        <f>'Datos Básicos'!B16</f>
        <v>Año 0</v>
      </c>
      <c r="C6" s="1793">
        <f>'Datos Básicos'!C16</f>
        <v>1</v>
      </c>
      <c r="D6" s="1793">
        <f t="shared" ref="D6:F7" si="0">C6+1</f>
        <v>2</v>
      </c>
      <c r="E6" s="1793">
        <f t="shared" si="0"/>
        <v>3</v>
      </c>
      <c r="F6" s="1794">
        <f t="shared" si="0"/>
        <v>4</v>
      </c>
      <c r="G6" s="1131"/>
    </row>
    <row r="7" spans="1:9" ht="18" thickBot="1" x14ac:dyDescent="0.35">
      <c r="A7" s="1798" t="s">
        <v>22</v>
      </c>
      <c r="B7" s="1797">
        <f>'Datos Básicos'!B17</f>
        <v>2026</v>
      </c>
      <c r="C7" s="1795">
        <f>B7+1</f>
        <v>2027</v>
      </c>
      <c r="D7" s="1795">
        <f t="shared" si="0"/>
        <v>2028</v>
      </c>
      <c r="E7" s="1795">
        <f t="shared" si="0"/>
        <v>2029</v>
      </c>
      <c r="F7" s="1796">
        <f t="shared" si="0"/>
        <v>2030</v>
      </c>
      <c r="G7" s="1135"/>
    </row>
    <row r="8" spans="1:9" x14ac:dyDescent="0.3">
      <c r="A8" s="1237" t="s">
        <v>309</v>
      </c>
      <c r="B8" s="445">
        <f>'G.F. 0'!$O$9</f>
        <v>1</v>
      </c>
      <c r="C8" s="445">
        <f>'G.F. 1'!$O$9</f>
        <v>1</v>
      </c>
      <c r="D8" s="445">
        <f>'G.F. 2'!$O$9</f>
        <v>1</v>
      </c>
      <c r="E8" s="445">
        <f>'G.F. 3'!$O$9</f>
        <v>1</v>
      </c>
      <c r="F8" s="1791">
        <f>'G.F. 4'!$O$9</f>
        <v>1</v>
      </c>
      <c r="G8" s="445"/>
    </row>
    <row r="9" spans="1:9" x14ac:dyDescent="0.3">
      <c r="A9" s="1237" t="s">
        <v>310</v>
      </c>
      <c r="B9" s="1172">
        <f>'G.F. 0'!$O11</f>
        <v>14652</v>
      </c>
      <c r="C9" s="1172">
        <f>'G.F. 1'!$O11</f>
        <v>15238.080000000002</v>
      </c>
      <c r="D9" s="1172">
        <f>'G.F. 2'!$O11</f>
        <v>15847.603200000005</v>
      </c>
      <c r="E9" s="1172">
        <f>'G.F. 3'!$O11</f>
        <v>16481.507328000003</v>
      </c>
      <c r="F9" s="1235">
        <f>'G.F. 4'!$O11</f>
        <v>17140.767621120005</v>
      </c>
      <c r="G9" s="389"/>
    </row>
    <row r="10" spans="1:9" x14ac:dyDescent="0.3">
      <c r="A10" s="1240" t="s">
        <v>311</v>
      </c>
      <c r="B10" s="1241">
        <f>'G.F. 0'!$O12</f>
        <v>0</v>
      </c>
      <c r="C10" s="1241">
        <f>'G.F. 1'!$O12</f>
        <v>0</v>
      </c>
      <c r="D10" s="1241">
        <f>'G.F. 2'!$O12</f>
        <v>0</v>
      </c>
      <c r="E10" s="1241">
        <f>'G.F. 3'!$O12</f>
        <v>0</v>
      </c>
      <c r="F10" s="1242">
        <f>'G.F. 4'!$O12</f>
        <v>0</v>
      </c>
      <c r="G10" s="389"/>
    </row>
    <row r="11" spans="1:9" x14ac:dyDescent="0.3">
      <c r="A11" s="1238"/>
      <c r="B11" s="1173"/>
      <c r="C11" s="1173"/>
      <c r="D11" s="1173"/>
      <c r="E11" s="1173"/>
      <c r="F11" s="1236"/>
      <c r="G11" s="639"/>
    </row>
    <row r="12" spans="1:9" x14ac:dyDescent="0.3">
      <c r="A12" s="1243" t="s">
        <v>312</v>
      </c>
      <c r="B12" s="1244">
        <f>'G.F. 0'!$O14</f>
        <v>0</v>
      </c>
      <c r="C12" s="1244">
        <f>'G.F. 1'!$O14</f>
        <v>0</v>
      </c>
      <c r="D12" s="1244">
        <f>'G.F. 2'!$O14</f>
        <v>0</v>
      </c>
      <c r="E12" s="1244">
        <f>'G.F. 3'!$O14</f>
        <v>0</v>
      </c>
      <c r="F12" s="1245">
        <f>'G.F. 4'!$O14</f>
        <v>0</v>
      </c>
      <c r="G12" s="445"/>
    </row>
    <row r="13" spans="1:9" x14ac:dyDescent="0.3">
      <c r="A13" s="1237" t="s">
        <v>313</v>
      </c>
      <c r="B13" s="1172">
        <f>'G.F. 0'!$O15</f>
        <v>0</v>
      </c>
      <c r="C13" s="1172">
        <f>'G.F. 1'!$O15</f>
        <v>0</v>
      </c>
      <c r="D13" s="1172">
        <f>'G.F. 2'!$O15</f>
        <v>0</v>
      </c>
      <c r="E13" s="1172">
        <f>'G.F. 3'!$O15</f>
        <v>0</v>
      </c>
      <c r="F13" s="1235">
        <f>'G.F. 4'!$O15</f>
        <v>0</v>
      </c>
      <c r="G13" s="389"/>
    </row>
    <row r="14" spans="1:9" x14ac:dyDescent="0.3">
      <c r="A14" s="1240" t="s">
        <v>314</v>
      </c>
      <c r="B14" s="1241">
        <f>'G.F. 0'!$O16</f>
        <v>0</v>
      </c>
      <c r="C14" s="1241">
        <f>'G.F. 1'!$O16</f>
        <v>0</v>
      </c>
      <c r="D14" s="1241">
        <f>'G.F. 2'!$O16</f>
        <v>0</v>
      </c>
      <c r="E14" s="1241">
        <f>'G.F. 3'!$O16</f>
        <v>0</v>
      </c>
      <c r="F14" s="1242">
        <f>'G.F. 4'!$O16</f>
        <v>0</v>
      </c>
      <c r="G14" s="389"/>
    </row>
    <row r="15" spans="1:9" x14ac:dyDescent="0.3">
      <c r="A15" s="1238"/>
      <c r="B15" s="1173"/>
      <c r="C15" s="1173"/>
      <c r="D15" s="1173"/>
      <c r="E15" s="1173"/>
      <c r="F15" s="1236"/>
      <c r="G15" s="639"/>
    </row>
    <row r="16" spans="1:9" x14ac:dyDescent="0.3">
      <c r="A16" s="1246" t="s">
        <v>973</v>
      </c>
      <c r="B16" s="1247">
        <f>'G.F. 0'!$O18</f>
        <v>0</v>
      </c>
      <c r="C16" s="1247">
        <f>'G.F. 1'!$O18</f>
        <v>0</v>
      </c>
      <c r="D16" s="1247">
        <f>'G.F. 2'!$O18</f>
        <v>0</v>
      </c>
      <c r="E16" s="1247">
        <f>'G.F. 3'!$O18</f>
        <v>0</v>
      </c>
      <c r="F16" s="1248">
        <f>'G.F. 4'!$O18</f>
        <v>0</v>
      </c>
      <c r="G16" s="389"/>
    </row>
    <row r="17" spans="1:7" x14ac:dyDescent="0.3">
      <c r="A17" s="1249" t="s">
        <v>28</v>
      </c>
      <c r="B17" s="1241">
        <f>'G.F. 0'!$O19</f>
        <v>1064.6400000000001</v>
      </c>
      <c r="C17" s="1241">
        <f>'G.F. 1'!$O19</f>
        <v>1064.6400000000001</v>
      </c>
      <c r="D17" s="1241">
        <f>'G.F. 2'!$O19</f>
        <v>2470.5600000000009</v>
      </c>
      <c r="E17" s="1241">
        <f>'G.F. 3'!$O19</f>
        <v>2470.5600000000009</v>
      </c>
      <c r="F17" s="1242">
        <f>'G.F. 4'!$O19</f>
        <v>2470.5600000000009</v>
      </c>
      <c r="G17" s="389"/>
    </row>
    <row r="18" spans="1:7" x14ac:dyDescent="0.3">
      <c r="A18" s="1239"/>
      <c r="B18" s="1173"/>
      <c r="C18" s="1173"/>
      <c r="D18" s="1173"/>
      <c r="E18" s="1173"/>
      <c r="F18" s="1236"/>
      <c r="G18" s="639"/>
    </row>
    <row r="19" spans="1:7" x14ac:dyDescent="0.3">
      <c r="A19" s="1246" t="s">
        <v>60</v>
      </c>
      <c r="B19" s="1247">
        <f>'G.F. 0'!$O21</f>
        <v>0</v>
      </c>
      <c r="C19" s="1247">
        <f>'G.F. 1'!$O21</f>
        <v>0</v>
      </c>
      <c r="D19" s="1247">
        <f>'G.F. 2'!$O21</f>
        <v>0</v>
      </c>
      <c r="E19" s="1247">
        <f>'G.F. 3'!$O21</f>
        <v>0</v>
      </c>
      <c r="F19" s="1248">
        <f>'G.F. 4'!$O21</f>
        <v>0</v>
      </c>
      <c r="G19" s="389"/>
    </row>
    <row r="20" spans="1:7" x14ac:dyDescent="0.3">
      <c r="A20" s="1249" t="s">
        <v>59</v>
      </c>
      <c r="B20" s="1241">
        <f>'G.F. 0'!$O22</f>
        <v>0</v>
      </c>
      <c r="C20" s="1241">
        <f>'G.F. 1'!$O22</f>
        <v>0</v>
      </c>
      <c r="D20" s="1241">
        <f>'G.F. 2'!$O22</f>
        <v>0</v>
      </c>
      <c r="E20" s="1241">
        <f>'G.F. 3'!$O22</f>
        <v>0</v>
      </c>
      <c r="F20" s="1242">
        <f>'G.F. 4'!$O22</f>
        <v>0</v>
      </c>
      <c r="G20" s="389"/>
    </row>
    <row r="21" spans="1:7" ht="18" thickBot="1" x14ac:dyDescent="0.35">
      <c r="A21" s="2143" t="s">
        <v>24</v>
      </c>
      <c r="B21" s="2144">
        <f>SUM(B9:B10,B13:B17,B19:B20)</f>
        <v>15716.64</v>
      </c>
      <c r="C21" s="2144">
        <f>SUM(C9:C10,C13:C17,C19:C20)</f>
        <v>16302.720000000001</v>
      </c>
      <c r="D21" s="2144">
        <f>SUM(D9:D10,D13:D17,D19:D20)</f>
        <v>18318.163200000006</v>
      </c>
      <c r="E21" s="2144">
        <f>SUM(E9:E10,E13:E17,E19:E20)</f>
        <v>18952.067328000005</v>
      </c>
      <c r="F21" s="2145">
        <f>SUM(F9:F10,F13:F17,F19:F20)</f>
        <v>19611.327621120006</v>
      </c>
      <c r="G21" s="1136"/>
    </row>
    <row r="22" spans="1:7" x14ac:dyDescent="0.3">
      <c r="A22" s="446"/>
      <c r="B22" s="639"/>
      <c r="C22" s="639"/>
      <c r="D22" s="639"/>
      <c r="E22" s="639"/>
      <c r="F22" s="639"/>
      <c r="G22" s="639"/>
    </row>
    <row r="23" spans="1:7" ht="18" thickBot="1" x14ac:dyDescent="0.35">
      <c r="A23" s="446"/>
      <c r="B23" s="639"/>
      <c r="C23" s="639"/>
      <c r="D23" s="639"/>
      <c r="E23" s="639"/>
      <c r="F23" s="639"/>
      <c r="G23" s="639"/>
    </row>
    <row r="24" spans="1:7" ht="18" thickBot="1" x14ac:dyDescent="0.35">
      <c r="B24" s="1792" t="str">
        <f t="shared" ref="B24:F25" si="1">B6</f>
        <v>Año 0</v>
      </c>
      <c r="C24" s="1793">
        <f t="shared" si="1"/>
        <v>1</v>
      </c>
      <c r="D24" s="1793">
        <f t="shared" si="1"/>
        <v>2</v>
      </c>
      <c r="E24" s="1793">
        <f t="shared" si="1"/>
        <v>3</v>
      </c>
      <c r="F24" s="1794">
        <f t="shared" si="1"/>
        <v>4</v>
      </c>
      <c r="G24" s="1131"/>
    </row>
    <row r="25" spans="1:7" ht="18" thickBot="1" x14ac:dyDescent="0.35">
      <c r="A25" s="1798" t="s">
        <v>985</v>
      </c>
      <c r="B25" s="1797">
        <f t="shared" si="1"/>
        <v>2026</v>
      </c>
      <c r="C25" s="1795">
        <f t="shared" si="1"/>
        <v>2027</v>
      </c>
      <c r="D25" s="1795">
        <f t="shared" si="1"/>
        <v>2028</v>
      </c>
      <c r="E25" s="1795">
        <f t="shared" si="1"/>
        <v>2029</v>
      </c>
      <c r="F25" s="1796">
        <f t="shared" si="1"/>
        <v>2030</v>
      </c>
      <c r="G25" s="1135"/>
    </row>
    <row r="26" spans="1:7" x14ac:dyDescent="0.3">
      <c r="A26" s="2471" t="str">
        <f>'G.F. 0'!A27</f>
        <v>Tributos: IAE, IBI, ...</v>
      </c>
      <c r="B26" s="2059">
        <f>'G.F. 0'!$O27</f>
        <v>0</v>
      </c>
      <c r="C26" s="2059">
        <f>'G.F. 1'!$O27</f>
        <v>0</v>
      </c>
      <c r="D26" s="2059">
        <f>'G.F. 2'!$O27</f>
        <v>0</v>
      </c>
      <c r="E26" s="2059">
        <f>'G.F. 3'!$O27</f>
        <v>0</v>
      </c>
      <c r="F26" s="2060">
        <f>'G.F. 4'!$O27</f>
        <v>0</v>
      </c>
      <c r="G26" s="389"/>
    </row>
    <row r="27" spans="1:7" x14ac:dyDescent="0.3">
      <c r="A27" s="2061" t="str">
        <f>'G.F. 0'!A28</f>
        <v>Otras gastos fijos (SIN IVA)</v>
      </c>
      <c r="B27" s="2062">
        <f>'G.F. 0'!$O28</f>
        <v>0</v>
      </c>
      <c r="C27" s="2062">
        <f>'G.F. 1'!$O28</f>
        <v>0</v>
      </c>
      <c r="D27" s="2062">
        <f>'G.F. 2'!$O28</f>
        <v>0</v>
      </c>
      <c r="E27" s="2062">
        <f>'G.F. 3'!$O28</f>
        <v>0</v>
      </c>
      <c r="F27" s="2063">
        <f>'G.F. 4'!$O28</f>
        <v>0</v>
      </c>
      <c r="G27" s="389"/>
    </row>
    <row r="28" spans="1:7" x14ac:dyDescent="0.3">
      <c r="A28" s="2472" t="str">
        <f>'G.F. 0'!A29</f>
        <v>Primas de Seguros</v>
      </c>
      <c r="B28" s="2062">
        <f>'G.F. 0'!$O29</f>
        <v>0</v>
      </c>
      <c r="C28" s="2062">
        <f>'G.F. 1'!$O29</f>
        <v>0</v>
      </c>
      <c r="D28" s="2062">
        <f>'G.F. 2'!$O29</f>
        <v>0</v>
      </c>
      <c r="E28" s="2062">
        <f>'G.F. 3'!$O29</f>
        <v>0</v>
      </c>
      <c r="F28" s="2063">
        <f>'G.F. 4'!$O29</f>
        <v>0</v>
      </c>
      <c r="G28" s="389"/>
    </row>
    <row r="29" spans="1:7" x14ac:dyDescent="0.3">
      <c r="A29" s="2061" t="str">
        <f>'G.F. 0'!A30</f>
        <v>Colegio/ Asociación profesional</v>
      </c>
      <c r="B29" s="2062">
        <f>'G.F. 0'!$O30</f>
        <v>0</v>
      </c>
      <c r="C29" s="2062">
        <f>'G.F. 1'!$O30</f>
        <v>0</v>
      </c>
      <c r="D29" s="2062">
        <f>'G.F. 2'!$O30</f>
        <v>0</v>
      </c>
      <c r="E29" s="2062">
        <f>'G.F. 3'!$O30</f>
        <v>0</v>
      </c>
      <c r="F29" s="2063">
        <f>'G.F. 4'!$O30</f>
        <v>0</v>
      </c>
      <c r="G29" s="389"/>
    </row>
    <row r="30" spans="1:7" x14ac:dyDescent="0.3">
      <c r="A30" s="2472" t="str">
        <f>'G.F. 0'!A31</f>
        <v>Electricidad</v>
      </c>
      <c r="B30" s="2062">
        <f>'G.F. 0'!$O31</f>
        <v>0</v>
      </c>
      <c r="C30" s="2062">
        <f>'G.F. 1'!$O31</f>
        <v>0</v>
      </c>
      <c r="D30" s="2062">
        <f>'G.F. 2'!$O31</f>
        <v>0</v>
      </c>
      <c r="E30" s="2062">
        <f>'G.F. 3'!$O31</f>
        <v>0</v>
      </c>
      <c r="F30" s="2063">
        <f>'G.F. 4'!$O31</f>
        <v>0</v>
      </c>
      <c r="G30" s="389"/>
    </row>
    <row r="31" spans="1:7" x14ac:dyDescent="0.3">
      <c r="A31" s="2472" t="str">
        <f>'G.F. 0'!A32</f>
        <v>Otros suministros (agua, gas, etc.)</v>
      </c>
      <c r="B31" s="2062">
        <f>'G.F. 0'!$O32</f>
        <v>0</v>
      </c>
      <c r="C31" s="2062">
        <f>'G.F. 1'!$O32</f>
        <v>0</v>
      </c>
      <c r="D31" s="2062">
        <f>'G.F. 2'!$O32</f>
        <v>0</v>
      </c>
      <c r="E31" s="2062">
        <f>'G.F. 3'!$O32</f>
        <v>0</v>
      </c>
      <c r="F31" s="2063">
        <f>'G.F. 4'!$O32</f>
        <v>0</v>
      </c>
      <c r="G31" s="389"/>
    </row>
    <row r="32" spans="1:7" x14ac:dyDescent="0.3">
      <c r="A32" s="2472" t="str">
        <f>'G.F. 0'!A33</f>
        <v>Teléfono</v>
      </c>
      <c r="B32" s="2062">
        <f>'G.F. 0'!$O33</f>
        <v>0</v>
      </c>
      <c r="C32" s="2062">
        <f>'G.F. 1'!$O33</f>
        <v>0</v>
      </c>
      <c r="D32" s="2062">
        <f>'G.F. 2'!$O33</f>
        <v>0</v>
      </c>
      <c r="E32" s="2062">
        <f>'G.F. 3'!$O33</f>
        <v>0</v>
      </c>
      <c r="F32" s="2063">
        <f>'G.F. 4'!$O33</f>
        <v>0</v>
      </c>
      <c r="G32" s="389"/>
    </row>
    <row r="33" spans="1:7" x14ac:dyDescent="0.3">
      <c r="A33" s="2472" t="str">
        <f>'G.F. 0'!A34</f>
        <v>Teléfono móviles</v>
      </c>
      <c r="B33" s="2062">
        <f>'G.F. 0'!$O34</f>
        <v>0</v>
      </c>
      <c r="C33" s="2062">
        <f>'G.F. 1'!$O34</f>
        <v>0</v>
      </c>
      <c r="D33" s="2062">
        <f>'G.F. 2'!$O34</f>
        <v>0</v>
      </c>
      <c r="E33" s="2062">
        <f>'G.F. 3'!$O34</f>
        <v>0</v>
      </c>
      <c r="F33" s="2063">
        <f>'G.F. 4'!$O34</f>
        <v>0</v>
      </c>
      <c r="G33" s="389"/>
    </row>
    <row r="34" spans="1:7" x14ac:dyDescent="0.3">
      <c r="A34" s="2472" t="str">
        <f>'Datos Gastos Fijos'!A16</f>
        <v>Conexión a Internet (tarifa plana)</v>
      </c>
      <c r="B34" s="2062">
        <f>'G.F. 0'!$O35</f>
        <v>0</v>
      </c>
      <c r="C34" s="2062">
        <f>'G.F. 1'!$O35</f>
        <v>0</v>
      </c>
      <c r="D34" s="2062">
        <f>'G.F. 2'!$O35</f>
        <v>0</v>
      </c>
      <c r="E34" s="2062">
        <f>'G.F. 3'!$O35</f>
        <v>0</v>
      </c>
      <c r="F34" s="2063">
        <f>'G.F. 4'!$O35</f>
        <v>0</v>
      </c>
      <c r="G34" s="389"/>
    </row>
    <row r="35" spans="1:7" x14ac:dyDescent="0.3">
      <c r="A35" s="2472" t="str">
        <f>'Datos Gastos Fijos'!A17</f>
        <v>Página Web (Host, mantenimiento, etc)</v>
      </c>
      <c r="B35" s="2062">
        <f>'G.F. 0'!$O36</f>
        <v>0</v>
      </c>
      <c r="C35" s="2062">
        <f>'G.F. 1'!$O36</f>
        <v>0</v>
      </c>
      <c r="D35" s="2062">
        <f>'G.F. 2'!$O36</f>
        <v>0</v>
      </c>
      <c r="E35" s="2062">
        <f>'G.F. 3'!$O36</f>
        <v>0</v>
      </c>
      <c r="F35" s="2063">
        <f>'G.F. 4'!$O36</f>
        <v>0</v>
      </c>
      <c r="G35" s="389"/>
    </row>
    <row r="36" spans="1:7" x14ac:dyDescent="0.3">
      <c r="A36" s="2472" t="str">
        <f>'Datos Gastos Fijos'!A18</f>
        <v>Compañía de seguridad / Alarma</v>
      </c>
      <c r="B36" s="2062">
        <f>'G.F. 0'!$O37</f>
        <v>0</v>
      </c>
      <c r="C36" s="2062">
        <f>'G.F. 1'!$O37</f>
        <v>0</v>
      </c>
      <c r="D36" s="2062">
        <f>'G.F. 2'!$O37</f>
        <v>0</v>
      </c>
      <c r="E36" s="2062">
        <f>'G.F. 3'!$O37</f>
        <v>0</v>
      </c>
      <c r="F36" s="2063">
        <f>'G.F. 4'!$O37</f>
        <v>0</v>
      </c>
      <c r="G36" s="389"/>
    </row>
    <row r="37" spans="1:7" x14ac:dyDescent="0.3">
      <c r="A37" s="2472" t="str">
        <f>'G.F. 0'!A38</f>
        <v>Material de oficina</v>
      </c>
      <c r="B37" s="2062">
        <f>'G.F. 0'!$O38</f>
        <v>0</v>
      </c>
      <c r="C37" s="2062">
        <f>'G.F. 1'!$O38</f>
        <v>0</v>
      </c>
      <c r="D37" s="2062">
        <f>'G.F. 2'!$O38</f>
        <v>0</v>
      </c>
      <c r="E37" s="2062">
        <f>'G.F. 3'!$O38</f>
        <v>0</v>
      </c>
      <c r="F37" s="2063">
        <f>'G.F. 4'!$O38</f>
        <v>0</v>
      </c>
      <c r="G37" s="389"/>
    </row>
    <row r="38" spans="1:7" x14ac:dyDescent="0.3">
      <c r="A38" s="2472" t="str">
        <f>'G.F. 0'!A39</f>
        <v>Publicidad y propaganda</v>
      </c>
      <c r="B38" s="2062">
        <f>'G.F. 0'!$O39</f>
        <v>0</v>
      </c>
      <c r="C38" s="2062">
        <f>'G.F. 1'!$O39</f>
        <v>0</v>
      </c>
      <c r="D38" s="2062">
        <f>'G.F. 2'!$O39</f>
        <v>0</v>
      </c>
      <c r="E38" s="2062">
        <f>'G.F. 3'!$O39</f>
        <v>0</v>
      </c>
      <c r="F38" s="2063">
        <f>'G.F. 4'!$O39</f>
        <v>0</v>
      </c>
      <c r="G38" s="389"/>
    </row>
    <row r="39" spans="1:7" x14ac:dyDescent="0.3">
      <c r="A39" s="2061" t="s">
        <v>41</v>
      </c>
      <c r="B39" s="2062">
        <f>'G.F. 0'!$O40</f>
        <v>0</v>
      </c>
      <c r="C39" s="2062">
        <f>'G.F. 1'!$O40</f>
        <v>0</v>
      </c>
      <c r="D39" s="2062">
        <f>'G.F. 2'!$O40</f>
        <v>0</v>
      </c>
      <c r="E39" s="2062">
        <f>'G.F. 3'!$O40</f>
        <v>0</v>
      </c>
      <c r="F39" s="2063">
        <f>'G.F. 4'!$O40</f>
        <v>0</v>
      </c>
      <c r="G39" s="389"/>
    </row>
    <row r="40" spans="1:7" x14ac:dyDescent="0.3">
      <c r="A40" s="2472" t="str">
        <f>'G.F. 0'!A41</f>
        <v>Asesoría</v>
      </c>
      <c r="B40" s="2062">
        <f>'G.F. 0'!$O41</f>
        <v>0</v>
      </c>
      <c r="C40" s="2062">
        <f>'G.F. 1'!$O41</f>
        <v>0</v>
      </c>
      <c r="D40" s="2062">
        <f>'G.F. 2'!$O41</f>
        <v>0</v>
      </c>
      <c r="E40" s="2062">
        <f>'G.F. 3'!$O41</f>
        <v>0</v>
      </c>
      <c r="F40" s="2063">
        <f>'G.F. 4'!$O41</f>
        <v>0</v>
      </c>
      <c r="G40" s="389"/>
    </row>
    <row r="41" spans="1:7" x14ac:dyDescent="0.3">
      <c r="A41" s="2472" t="str">
        <f>'G.F. 0'!A42</f>
        <v>Arrendamientos</v>
      </c>
      <c r="B41" s="2062">
        <f>'G.F. 0'!$O42</f>
        <v>0</v>
      </c>
      <c r="C41" s="2062">
        <f>'G.F. 1'!$O42</f>
        <v>0</v>
      </c>
      <c r="D41" s="2062">
        <f>'G.F. 2'!$O42</f>
        <v>0</v>
      </c>
      <c r="E41" s="2062">
        <f>'G.F. 3'!$O42</f>
        <v>0</v>
      </c>
      <c r="F41" s="2063">
        <f>'G.F. 4'!$O42</f>
        <v>0</v>
      </c>
      <c r="G41" s="389"/>
    </row>
    <row r="42" spans="1:7" x14ac:dyDescent="0.3">
      <c r="A42" s="2472" t="str">
        <f>'G.F. 0'!A43</f>
        <v>Transporte</v>
      </c>
      <c r="B42" s="2062">
        <f>'G.F. 0'!$O43</f>
        <v>0</v>
      </c>
      <c r="C42" s="2062">
        <f>'G.F. 1'!$O43</f>
        <v>0</v>
      </c>
      <c r="D42" s="2062">
        <f>'G.F. 2'!$O43</f>
        <v>0</v>
      </c>
      <c r="E42" s="2062">
        <f>'G.F. 3'!$O43</f>
        <v>0</v>
      </c>
      <c r="F42" s="2063">
        <f>'G.F. 4'!$O43</f>
        <v>0</v>
      </c>
      <c r="G42" s="389"/>
    </row>
    <row r="43" spans="1:7" x14ac:dyDescent="0.3">
      <c r="A43" s="2472" t="str">
        <f>'G.F. 0'!A44</f>
        <v>Mantenimiento y reparación</v>
      </c>
      <c r="B43" s="2062">
        <f>'G.F. 0'!$O44</f>
        <v>0</v>
      </c>
      <c r="C43" s="2062">
        <f>'G.F. 1'!$O44</f>
        <v>0</v>
      </c>
      <c r="D43" s="2062">
        <f>'G.F. 2'!$O44</f>
        <v>0</v>
      </c>
      <c r="E43" s="2062">
        <f>'G.F. 3'!$O44</f>
        <v>0</v>
      </c>
      <c r="F43" s="2063">
        <f>'G.F. 4'!$O44</f>
        <v>0</v>
      </c>
      <c r="G43" s="389"/>
    </row>
    <row r="44" spans="1:7" x14ac:dyDescent="0.3">
      <c r="A44" s="2064" t="str">
        <f>'G.F. 0'!A45</f>
        <v>Otros gastos imprevistos</v>
      </c>
      <c r="B44" s="2065">
        <f>'G.F. 0'!$O45</f>
        <v>0</v>
      </c>
      <c r="C44" s="2065">
        <f>'G.F. 1'!$O45</f>
        <v>0</v>
      </c>
      <c r="D44" s="2065">
        <f>'G.F. 2'!$O45</f>
        <v>0</v>
      </c>
      <c r="E44" s="2065">
        <f>'G.F. 3'!$O45</f>
        <v>0</v>
      </c>
      <c r="F44" s="2066">
        <f>'G.F. 4'!$O45</f>
        <v>0</v>
      </c>
      <c r="G44" s="389"/>
    </row>
    <row r="45" spans="1:7" ht="18" thickBot="1" x14ac:dyDescent="0.35">
      <c r="A45" s="2143" t="s">
        <v>25</v>
      </c>
      <c r="B45" s="2144">
        <f>SUM(B26:B44)</f>
        <v>0</v>
      </c>
      <c r="C45" s="2144">
        <f>SUM(C26:C44)</f>
        <v>0</v>
      </c>
      <c r="D45" s="2144">
        <f>SUM(D26:D44)</f>
        <v>0</v>
      </c>
      <c r="E45" s="2144">
        <f>SUM(E26:E44)</f>
        <v>0</v>
      </c>
      <c r="F45" s="2145">
        <f>SUM(F26:F44)</f>
        <v>0</v>
      </c>
      <c r="G45" s="1136"/>
    </row>
    <row r="46" spans="1:7" x14ac:dyDescent="0.3">
      <c r="A46" s="640"/>
      <c r="G46" s="1136"/>
    </row>
    <row r="47" spans="1:7" ht="18" thickBot="1" x14ac:dyDescent="0.35">
      <c r="A47" s="640"/>
    </row>
    <row r="48" spans="1:7" ht="18" thickBot="1" x14ac:dyDescent="0.35">
      <c r="A48" s="2146" t="s">
        <v>304</v>
      </c>
      <c r="B48" s="2147">
        <f>B21+B45</f>
        <v>15716.64</v>
      </c>
      <c r="C48" s="2147">
        <f>C21+C45</f>
        <v>16302.720000000001</v>
      </c>
      <c r="D48" s="2147">
        <f>D21+D45</f>
        <v>18318.163200000006</v>
      </c>
      <c r="E48" s="2147">
        <f>E21+E45</f>
        <v>18952.067328000005</v>
      </c>
      <c r="F48" s="2148">
        <f>F21+F45</f>
        <v>19611.327621120006</v>
      </c>
      <c r="G48" s="1137"/>
    </row>
    <row r="50" spans="1:1" x14ac:dyDescent="0.3">
      <c r="A50" s="641" t="str">
        <f>'PyG anuales'!A34</f>
        <v/>
      </c>
    </row>
  </sheetData>
  <sheetProtection sheet="1" objects="1" scenarios="1" formatCells="0" formatColumns="0"/>
  <mergeCells count="1">
    <mergeCell ref="A1:G1"/>
  </mergeCells>
  <phoneticPr fontId="13" type="noConversion"/>
  <printOptions horizontalCentered="1"/>
  <pageMargins left="0.75" right="0.75" top="0.6692913385826772" bottom="0.52" header="0" footer="0"/>
  <pageSetup paperSize="9" scale="94" orientation="portrait" horizontalDpi="300" r:id="rId1"/>
  <headerFooter alignWithMargins="0"/>
  <ignoredErrors>
    <ignoredError sqref="A26 A27 A29 A31:A44" unlockedFormula="1"/>
  </ignoredErrors>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Hoja55"/>
  <dimension ref="A1:F130"/>
  <sheetViews>
    <sheetView showGridLines="0" zoomScale="196" zoomScaleNormal="196" workbookViewId="0">
      <selection activeCell="C30" sqref="C30:D30"/>
    </sheetView>
  </sheetViews>
  <sheetFormatPr baseColWidth="10" defaultRowHeight="15.75" x14ac:dyDescent="0.25"/>
  <cols>
    <col min="1" max="1" width="11" style="2420"/>
    <col min="2" max="2" width="58.625" style="2420" customWidth="1"/>
    <col min="3" max="4" width="9.625" style="2420" customWidth="1"/>
    <col min="5" max="5" width="7.75" style="2420" customWidth="1"/>
    <col min="6" max="16384" width="11" style="2420"/>
  </cols>
  <sheetData>
    <row r="1" spans="1:5" ht="52.5" customHeight="1" x14ac:dyDescent="0.25">
      <c r="A1" s="2430"/>
      <c r="C1" s="2430"/>
      <c r="D1" s="2431"/>
      <c r="E1" s="2430"/>
    </row>
    <row r="2" spans="1:5" ht="15" customHeight="1" x14ac:dyDescent="0.25">
      <c r="B2" s="2596" t="s">
        <v>1278</v>
      </c>
      <c r="C2" s="2596"/>
      <c r="D2" s="2596"/>
    </row>
    <row r="3" spans="1:5" ht="24.95" customHeight="1" x14ac:dyDescent="0.25">
      <c r="B3" s="2427" t="s">
        <v>1238</v>
      </c>
      <c r="C3" s="2429" t="s">
        <v>1239</v>
      </c>
      <c r="D3" s="2429" t="s">
        <v>1240</v>
      </c>
      <c r="E3" s="2423"/>
    </row>
    <row r="4" spans="1:5" ht="24.95" customHeight="1" x14ac:dyDescent="0.25">
      <c r="B4" s="2428" t="s">
        <v>1253</v>
      </c>
      <c r="C4" s="2436">
        <f>IF(ROUND(SUM($C46:C46),0)&lt;$C$44,ROUND(C40,0),ROUND(C40,0)-(ROUND(SUM($C46:C$46),0)-$C$44))</f>
        <v>0</v>
      </c>
      <c r="D4" s="2436">
        <f>IF(ROUND(SUM($D46:D46),0)&lt;$D$44,ROUND(D40,0),ROUND(D40,0)-(ROUND(SUM($D46:D$46),0)-$D$44))</f>
        <v>0</v>
      </c>
      <c r="E4" s="2424"/>
    </row>
    <row r="5" spans="1:5" ht="24.95" customHeight="1" x14ac:dyDescent="0.25">
      <c r="B5" s="2428" t="s">
        <v>1254</v>
      </c>
      <c r="C5" s="2436">
        <v>0</v>
      </c>
      <c r="D5" s="2436">
        <v>0</v>
      </c>
      <c r="E5" s="2424"/>
    </row>
    <row r="6" spans="1:5" ht="24.95" customHeight="1" x14ac:dyDescent="0.25">
      <c r="B6" s="2428" t="s">
        <v>1255</v>
      </c>
      <c r="C6" s="2436">
        <f>'PyG anuales'!B8</f>
        <v>0</v>
      </c>
      <c r="D6" s="2436">
        <f>'PyG anuales'!D8</f>
        <v>0</v>
      </c>
      <c r="E6" s="2424"/>
    </row>
    <row r="7" spans="1:5" ht="24.95" customHeight="1" x14ac:dyDescent="0.25">
      <c r="B7" s="2422"/>
      <c r="C7" s="2433"/>
      <c r="D7" s="2434"/>
      <c r="E7" s="2425"/>
    </row>
    <row r="8" spans="1:5" ht="24.95" customHeight="1" x14ac:dyDescent="0.25">
      <c r="B8" s="2427" t="s">
        <v>1241</v>
      </c>
      <c r="C8" s="2435" t="s">
        <v>1239</v>
      </c>
      <c r="D8" s="2435" t="s">
        <v>1240</v>
      </c>
      <c r="E8" s="2424"/>
    </row>
    <row r="9" spans="1:5" ht="24.95" customHeight="1" x14ac:dyDescent="0.25">
      <c r="B9" s="2426" t="s">
        <v>1256</v>
      </c>
      <c r="C9" s="2436">
        <f>IF(ROUND(SUM($C64:C64),0)&lt;$C$62,ROUND(C52,0),ROUND(C52,0)-(ROUND(SUM($C$64:C64),0)-$C$62))</f>
        <v>0</v>
      </c>
      <c r="D9" s="2436">
        <f>IF(ROUND(SUM($D64:D64),0)&lt;$D$62,ROUND(D52,0),ROUND(D52,0)-(ROUND(SUM($D$64:D64),0)-$D$62))</f>
        <v>0</v>
      </c>
      <c r="E9" s="2424"/>
    </row>
    <row r="10" spans="1:5" ht="24.95" customHeight="1" x14ac:dyDescent="0.25">
      <c r="B10" s="2426" t="s">
        <v>1257</v>
      </c>
      <c r="C10" s="2436">
        <f>SUM(C11:C14)</f>
        <v>15716.64</v>
      </c>
      <c r="D10" s="2436">
        <f>SUM(D11:D14)</f>
        <v>16302.720000000001</v>
      </c>
      <c r="E10" s="2424"/>
    </row>
    <row r="11" spans="1:5" ht="24.95" customHeight="1" x14ac:dyDescent="0.25">
      <c r="B11" s="2426" t="s">
        <v>1258</v>
      </c>
      <c r="C11" s="2436">
        <f>'Resumen Gastos Fijos'!B9</f>
        <v>14652</v>
      </c>
      <c r="D11" s="2436">
        <f>'Resumen Gastos Fijos'!C9</f>
        <v>15238.080000000002</v>
      </c>
      <c r="E11" s="2424"/>
    </row>
    <row r="12" spans="1:5" ht="24.95" customHeight="1" x14ac:dyDescent="0.25">
      <c r="B12" s="2426" t="s">
        <v>1259</v>
      </c>
      <c r="C12" s="2436">
        <f>'Resumen Gastos Fijos'!B17</f>
        <v>1064.6400000000001</v>
      </c>
      <c r="D12" s="2436">
        <f>'Resumen Gastos Fijos'!C17</f>
        <v>1064.6400000000001</v>
      </c>
      <c r="E12" s="2424"/>
    </row>
    <row r="13" spans="1:5" ht="24.95" customHeight="1" x14ac:dyDescent="0.25">
      <c r="B13" s="2426" t="s">
        <v>1260</v>
      </c>
      <c r="C13" s="2436">
        <f>'Resumen Gastos Fijos'!B13</f>
        <v>0</v>
      </c>
      <c r="D13" s="2436">
        <f>'Resumen Gastos Fijos'!C13</f>
        <v>0</v>
      </c>
      <c r="E13" s="2424"/>
    </row>
    <row r="14" spans="1:5" ht="24.95" customHeight="1" x14ac:dyDescent="0.25">
      <c r="B14" s="2426" t="s">
        <v>1261</v>
      </c>
      <c r="C14" s="2436">
        <f>'Resumen Gastos Fijos'!B16</f>
        <v>0</v>
      </c>
      <c r="D14" s="2436">
        <f>'Resumen Gastos Fijos'!C16</f>
        <v>0</v>
      </c>
      <c r="E14" s="2424"/>
    </row>
    <row r="15" spans="1:5" ht="24.95" customHeight="1" x14ac:dyDescent="0.25">
      <c r="B15" s="2426" t="s">
        <v>1262</v>
      </c>
      <c r="C15" s="2436">
        <v>0</v>
      </c>
      <c r="D15" s="2436">
        <v>0</v>
      </c>
      <c r="E15" s="2424"/>
    </row>
    <row r="16" spans="1:5" ht="24.95" customHeight="1" x14ac:dyDescent="0.25">
      <c r="B16" s="2426" t="s">
        <v>1263</v>
      </c>
      <c r="C16" s="2436">
        <f>'Resumen Gastos Fijos'!B26</f>
        <v>0</v>
      </c>
      <c r="D16" s="2436">
        <f>'Resumen Gastos Fijos'!C26</f>
        <v>0</v>
      </c>
      <c r="E16" s="2424"/>
    </row>
    <row r="17" spans="2:5" ht="24.95" customHeight="1" x14ac:dyDescent="0.25">
      <c r="B17" s="2426" t="s">
        <v>1264</v>
      </c>
      <c r="C17" s="2436">
        <f>'Resumen Gastos Fijos'!B41</f>
        <v>0</v>
      </c>
      <c r="D17" s="2436">
        <f>'Resumen Gastos Fijos'!C41</f>
        <v>0</v>
      </c>
      <c r="E17" s="2424"/>
    </row>
    <row r="18" spans="2:5" ht="24.95" customHeight="1" x14ac:dyDescent="0.25">
      <c r="B18" s="2426" t="s">
        <v>1265</v>
      </c>
      <c r="C18" s="2436">
        <f>'Resumen Gastos Fijos'!B28</f>
        <v>0</v>
      </c>
      <c r="D18" s="2436">
        <f>'Resumen Gastos Fijos'!C28</f>
        <v>0</v>
      </c>
      <c r="E18" s="2424"/>
    </row>
    <row r="19" spans="2:5" ht="24.95" customHeight="1" x14ac:dyDescent="0.25">
      <c r="B19" s="2426" t="s">
        <v>1266</v>
      </c>
      <c r="C19" s="2436">
        <f>'Resumen Gastos Fijos'!B43</f>
        <v>0</v>
      </c>
      <c r="D19" s="2436">
        <f>'Resumen Gastos Fijos'!C43</f>
        <v>0</v>
      </c>
      <c r="E19" s="2424"/>
    </row>
    <row r="20" spans="2:5" ht="24.95" customHeight="1" x14ac:dyDescent="0.25">
      <c r="B20" s="2426" t="s">
        <v>1267</v>
      </c>
      <c r="C20" s="2436">
        <f>'Resumen Gastos Fijos'!B40</f>
        <v>0</v>
      </c>
      <c r="D20" s="2436">
        <f>'Resumen Gastos Fijos'!C40</f>
        <v>0</v>
      </c>
      <c r="E20" s="2424"/>
    </row>
    <row r="21" spans="2:5" ht="24.95" customHeight="1" x14ac:dyDescent="0.25">
      <c r="B21" s="2426" t="s">
        <v>1268</v>
      </c>
      <c r="C21" s="2436">
        <f>'Resumen Gastos Fijos'!B42</f>
        <v>0</v>
      </c>
      <c r="D21" s="2436">
        <f>'Resumen Gastos Fijos'!C42</f>
        <v>0</v>
      </c>
      <c r="E21" s="2424"/>
    </row>
    <row r="22" spans="2:5" ht="24.95" customHeight="1" x14ac:dyDescent="0.25">
      <c r="B22" s="2426" t="s">
        <v>1269</v>
      </c>
      <c r="C22" s="2436">
        <f>'Resumen Gastos Fijos'!B30+'Resumen Gastos Fijos'!B31+'Resumen Gastos Fijos'!B32+'Resumen Gastos Fijos'!B33+'Resumen Gastos Fijos'!B34+'Resumen Gastos Fijos'!B35</f>
        <v>0</v>
      </c>
      <c r="D22" s="2436">
        <f>'Resumen Gastos Fijos'!C30+'Resumen Gastos Fijos'!C31+'Resumen Gastos Fijos'!C32+'Resumen Gastos Fijos'!C33+'Resumen Gastos Fijos'!C34+'Resumen Gastos Fijos'!C35</f>
        <v>0</v>
      </c>
      <c r="E22" s="2424"/>
    </row>
    <row r="23" spans="2:5" ht="24.95" customHeight="1" x14ac:dyDescent="0.25">
      <c r="B23" s="2426" t="s">
        <v>1270</v>
      </c>
      <c r="C23" s="2436">
        <f>'Resumen Gastos Fijos'!B38</f>
        <v>0</v>
      </c>
      <c r="D23" s="2436">
        <f>'Resumen Gastos Fijos'!C38</f>
        <v>0</v>
      </c>
      <c r="E23" s="2424"/>
    </row>
    <row r="24" spans="2:5" ht="24.95" customHeight="1" x14ac:dyDescent="0.25">
      <c r="B24" s="2426" t="s">
        <v>1271</v>
      </c>
      <c r="C24" s="2436">
        <f>'Resumen Gastos Fijos'!B36+'Resumen Gastos Fijos'!B37+'Resumen Gastos Fijos'!B27+'Resumen Gastos Fijos'!B29+'Resumen Gastos Fijos'!B39</f>
        <v>0</v>
      </c>
      <c r="D24" s="2436">
        <f>'Resumen Gastos Fijos'!C36+'Resumen Gastos Fijos'!C37+'Resumen Gastos Fijos'!C27+'Resumen Gastos Fijos'!C29+'Resumen Gastos Fijos'!C39</f>
        <v>0</v>
      </c>
      <c r="E24" s="2424"/>
    </row>
    <row r="25" spans="2:5" ht="24.95" customHeight="1" x14ac:dyDescent="0.25">
      <c r="B25" s="2426" t="s">
        <v>1272</v>
      </c>
      <c r="C25" s="2436">
        <f>IF(ROUND(SUM($C72:C72),0)&lt;$C$62,ROUND(C60,0),ROUND(C60,0)-(ROUND(SUM($C$64:C72),0)-$C$62))</f>
        <v>0</v>
      </c>
      <c r="D25" s="2436">
        <f>IF(ROUND(SUM($D72:D72),0)&lt;$D$62,ROUND(D60,0),ROUND(D60,0)-(ROUND(SUM($D$64:D72),0)-$D$62))</f>
        <v>0</v>
      </c>
      <c r="E25" s="2424"/>
    </row>
    <row r="26" spans="2:5" ht="24.95" customHeight="1" x14ac:dyDescent="0.25">
      <c r="B26" s="2426" t="s">
        <v>1273</v>
      </c>
      <c r="C26" s="2436">
        <f>C4+C5+C6-C9-C10-C15-C16-C17-C18-C19-C20-C21-C22-C23-C24-C25</f>
        <v>-15716.64</v>
      </c>
      <c r="D26" s="2436">
        <f>D4+D5+D6-D9-D10-D15-D16-D17-D18-D19-D20-D21-D22-D23-D24-D25</f>
        <v>-16302.720000000001</v>
      </c>
      <c r="E26" s="2424"/>
    </row>
    <row r="27" spans="2:5" ht="24.95" customHeight="1" x14ac:dyDescent="0.25">
      <c r="B27" s="2426" t="s">
        <v>1274</v>
      </c>
      <c r="C27" s="2436">
        <f>'PyG anuales'!B22</f>
        <v>0</v>
      </c>
      <c r="D27" s="2436">
        <f>'PyG anuales'!D22</f>
        <v>0</v>
      </c>
      <c r="E27" s="2424"/>
    </row>
    <row r="28" spans="2:5" ht="24.95" customHeight="1" x14ac:dyDescent="0.25">
      <c r="B28" s="2426" t="s">
        <v>1275</v>
      </c>
      <c r="C28" s="2436">
        <f>IF(ROUND(SUM($C71:C71),0)&lt;$C$62,ROUND(C59,0),ROUND(C59,0)-(ROUND(SUM($C$64:C71),0)-$C$62))</f>
        <v>646</v>
      </c>
      <c r="D28" s="2436">
        <f>IF(ROUND(SUM($D71:D71),0)&lt;$D$62,ROUND(D59,0),ROUND(D59,0)-(ROUND(SUM($D$64:D71),0)-$D$62))</f>
        <v>1861</v>
      </c>
      <c r="E28" s="2424"/>
    </row>
    <row r="29" spans="2:5" ht="24.95" customHeight="1" x14ac:dyDescent="0.25">
      <c r="B29" s="2426" t="s">
        <v>1276</v>
      </c>
      <c r="C29" s="2436">
        <f>C27-C28</f>
        <v>-646</v>
      </c>
      <c r="D29" s="2436">
        <f>D27-D28</f>
        <v>-1861</v>
      </c>
      <c r="E29" s="2424"/>
    </row>
    <row r="30" spans="2:5" ht="24.95" customHeight="1" x14ac:dyDescent="0.25">
      <c r="B30" s="2426" t="s">
        <v>1277</v>
      </c>
      <c r="C30" s="2436">
        <f>C26+C29</f>
        <v>-16362.64</v>
      </c>
      <c r="D30" s="2436">
        <f>D26+D29</f>
        <v>-18163.72</v>
      </c>
      <c r="E30" s="2424"/>
    </row>
    <row r="31" spans="2:5" ht="24.95" customHeight="1" x14ac:dyDescent="0.25">
      <c r="B31" s="2422"/>
      <c r="C31" s="2440">
        <f>SUM(C9:C30)</f>
        <v>-646</v>
      </c>
      <c r="D31" s="2440">
        <f>SUM(D9:D30)</f>
        <v>-1861</v>
      </c>
      <c r="E31" s="2470"/>
    </row>
    <row r="32" spans="2:5" ht="24.95" customHeight="1" x14ac:dyDescent="0.25">
      <c r="E32"/>
    </row>
    <row r="33" spans="2:6" ht="24.95" customHeight="1" x14ac:dyDescent="0.25">
      <c r="C33" s="2432"/>
      <c r="D33" s="2432"/>
      <c r="E33"/>
    </row>
    <row r="34" spans="2:6" ht="24.95" customHeight="1" x14ac:dyDescent="0.25">
      <c r="E34" s="2597"/>
    </row>
    <row r="35" spans="2:6" ht="24.95" customHeight="1" x14ac:dyDescent="0.25">
      <c r="E35" s="2506"/>
    </row>
    <row r="36" spans="2:6" ht="24.95" customHeight="1" x14ac:dyDescent="0.25">
      <c r="E36" s="2506"/>
    </row>
    <row r="37" spans="2:6" ht="24.95" customHeight="1" x14ac:dyDescent="0.25">
      <c r="E37" s="2506"/>
    </row>
    <row r="38" spans="2:6" ht="24.95" hidden="1" customHeight="1" x14ac:dyDescent="0.25"/>
    <row r="39" spans="2:6" ht="24.95" hidden="1" customHeight="1" x14ac:dyDescent="0.25"/>
    <row r="40" spans="2:6" hidden="1" x14ac:dyDescent="0.25">
      <c r="B40" s="2598" t="s">
        <v>1244</v>
      </c>
      <c r="C40" s="2441">
        <f>('PyG anuales'!B7)</f>
        <v>0</v>
      </c>
      <c r="D40" s="2437">
        <f>('PyG anuales'!D7)</f>
        <v>0</v>
      </c>
    </row>
    <row r="41" spans="2:6" hidden="1" x14ac:dyDescent="0.25">
      <c r="B41" s="2599"/>
      <c r="C41" s="2441">
        <v>0</v>
      </c>
      <c r="D41" s="2437">
        <v>0</v>
      </c>
      <c r="F41" s="2421"/>
    </row>
    <row r="42" spans="2:6" hidden="1" x14ac:dyDescent="0.25">
      <c r="B42" s="2599"/>
      <c r="C42" s="2441">
        <f>('PyG anuales'!B22)</f>
        <v>0</v>
      </c>
      <c r="D42" s="2437">
        <f>('PyG anuales'!D22)</f>
        <v>0</v>
      </c>
      <c r="F42" s="2421"/>
    </row>
    <row r="43" spans="2:6" hidden="1" x14ac:dyDescent="0.25">
      <c r="B43" s="2599"/>
      <c r="C43" s="2441">
        <v>0</v>
      </c>
      <c r="D43" s="2437">
        <v>0</v>
      </c>
    </row>
    <row r="44" spans="2:6" hidden="1" x14ac:dyDescent="0.25">
      <c r="B44" s="2599"/>
      <c r="C44" s="2439">
        <f t="shared" ref="C44:D44" si="0">SUM(C40:C43)</f>
        <v>0</v>
      </c>
      <c r="D44" s="2439">
        <f t="shared" si="0"/>
        <v>0</v>
      </c>
    </row>
    <row r="45" spans="2:6" hidden="1" x14ac:dyDescent="0.25">
      <c r="B45" s="2599"/>
    </row>
    <row r="46" spans="2:6" hidden="1" x14ac:dyDescent="0.25">
      <c r="B46" s="2599"/>
      <c r="C46" s="2441">
        <f>ROUND(C40,0)</f>
        <v>0</v>
      </c>
      <c r="D46" s="2437">
        <f t="shared" ref="D46" si="1">ROUND(D40,0)</f>
        <v>0</v>
      </c>
    </row>
    <row r="47" spans="2:6" hidden="1" x14ac:dyDescent="0.25">
      <c r="B47" s="2599"/>
      <c r="C47" s="2441">
        <f t="shared" ref="C47:D47" si="2">ROUND(C41,0)</f>
        <v>0</v>
      </c>
      <c r="D47" s="2437">
        <f t="shared" si="2"/>
        <v>0</v>
      </c>
    </row>
    <row r="48" spans="2:6" hidden="1" x14ac:dyDescent="0.25">
      <c r="B48" s="2599"/>
      <c r="C48" s="2441">
        <f t="shared" ref="C48:D48" si="3">ROUND(C42,0)</f>
        <v>0</v>
      </c>
      <c r="D48" s="2437">
        <f t="shared" si="3"/>
        <v>0</v>
      </c>
    </row>
    <row r="49" spans="2:4" hidden="1" x14ac:dyDescent="0.25">
      <c r="B49" s="2599"/>
      <c r="C49" s="2441">
        <f t="shared" ref="C49:D49" si="4">ROUND(C43,0)</f>
        <v>0</v>
      </c>
      <c r="D49" s="2437">
        <f t="shared" si="4"/>
        <v>0</v>
      </c>
    </row>
    <row r="50" spans="2:4" hidden="1" x14ac:dyDescent="0.25">
      <c r="B50" s="2599"/>
      <c r="C50" s="2438">
        <f>SUM(C46:C49)</f>
        <v>0</v>
      </c>
      <c r="D50" s="2438">
        <f>SUM(D46:D49)</f>
        <v>0</v>
      </c>
    </row>
    <row r="51" spans="2:4" hidden="1" x14ac:dyDescent="0.25">
      <c r="B51" s="2599"/>
    </row>
    <row r="52" spans="2:4" hidden="1" x14ac:dyDescent="0.25">
      <c r="B52" s="2599"/>
      <c r="C52" s="2441">
        <f>'PyG anuales'!B11</f>
        <v>0</v>
      </c>
      <c r="D52" s="2437">
        <f>'PyG anuales'!D11</f>
        <v>0</v>
      </c>
    </row>
    <row r="53" spans="2:4" hidden="1" x14ac:dyDescent="0.25">
      <c r="B53" s="2599"/>
      <c r="C53" s="2441">
        <v>0</v>
      </c>
      <c r="D53" s="2437">
        <v>0</v>
      </c>
    </row>
    <row r="54" spans="2:4" hidden="1" x14ac:dyDescent="0.25">
      <c r="B54" s="2599"/>
      <c r="C54" s="2441">
        <f>'PyG anuales'!B14</f>
        <v>14652</v>
      </c>
      <c r="D54" s="2437">
        <f>'PyG anuales'!D14</f>
        <v>15238.080000000002</v>
      </c>
    </row>
    <row r="55" spans="2:4" hidden="1" x14ac:dyDescent="0.25">
      <c r="B55" s="2599"/>
      <c r="C55" s="2441">
        <f>'PyG anuales'!B15</f>
        <v>1064.6400000000001</v>
      </c>
      <c r="D55" s="2437">
        <f>'PyG anuales'!D15</f>
        <v>1064.6400000000001</v>
      </c>
    </row>
    <row r="56" spans="2:4" hidden="1" x14ac:dyDescent="0.25">
      <c r="B56" s="2599"/>
      <c r="C56" s="2441">
        <f>'Resumen Gastos Fijos'!B28+'Resumen Gastos Fijos'!B30+'Resumen Gastos Fijos'!B31+'Resumen Gastos Fijos'!B32+'Resumen Gastos Fijos'!B33+'Resumen Gastos Fijos'!B34+'Resumen Gastos Fijos'!B35+'Resumen Gastos Fijos'!B36+'Resumen Gastos Fijos'!B38+'Resumen Gastos Fijos'!B40+'Resumen Gastos Fijos'!B41+'Resumen Gastos Fijos'!B42+'Resumen Gastos Fijos'!B43</f>
        <v>0</v>
      </c>
      <c r="D56" s="2437">
        <f>'Resumen Gastos Fijos'!C28+'Resumen Gastos Fijos'!C30+'Resumen Gastos Fijos'!C31+'Resumen Gastos Fijos'!C32+'Resumen Gastos Fijos'!C33+'Resumen Gastos Fijos'!C34+'Resumen Gastos Fijos'!C35+'Resumen Gastos Fijos'!C36+'Resumen Gastos Fijos'!C38+'Resumen Gastos Fijos'!C40+'Resumen Gastos Fijos'!C41+'Resumen Gastos Fijos'!C42+'Resumen Gastos Fijos'!C43</f>
        <v>0</v>
      </c>
    </row>
    <row r="57" spans="2:4" hidden="1" x14ac:dyDescent="0.25">
      <c r="B57" s="2599"/>
      <c r="C57" s="2441">
        <f>'Resumen Gastos Fijos'!B29+'Resumen Gastos Fijos'!B37+'Resumen Gastos Fijos'!B39+'Resumen Gastos Fijos'!B44</f>
        <v>0</v>
      </c>
      <c r="D57" s="2437">
        <f>'Resumen Gastos Fijos'!C29+'Resumen Gastos Fijos'!C37+'Resumen Gastos Fijos'!C39+'Resumen Gastos Fijos'!C44</f>
        <v>0</v>
      </c>
    </row>
    <row r="58" spans="2:4" hidden="1" x14ac:dyDescent="0.25">
      <c r="B58" s="2599"/>
      <c r="C58" s="2441">
        <f>'Resumen Gastos Fijos'!B26</f>
        <v>0</v>
      </c>
      <c r="D58" s="2437">
        <f>'Resumen Gastos Fijos'!C26</f>
        <v>0</v>
      </c>
    </row>
    <row r="59" spans="2:4" hidden="1" x14ac:dyDescent="0.25">
      <c r="B59" s="2599"/>
      <c r="C59" s="2441">
        <f>'PyG anuales'!B23</f>
        <v>646.31946839369516</v>
      </c>
      <c r="D59" s="2437">
        <f>'PyG anuales'!D23</f>
        <v>1860.8104958238205</v>
      </c>
    </row>
    <row r="60" spans="2:4" hidden="1" x14ac:dyDescent="0.25">
      <c r="B60" s="2599"/>
      <c r="C60" s="2441">
        <f>'PyG anuales'!B17</f>
        <v>0</v>
      </c>
      <c r="D60" s="2437">
        <f>'PyG anuales'!D17</f>
        <v>0</v>
      </c>
    </row>
    <row r="61" spans="2:4" hidden="1" x14ac:dyDescent="0.25">
      <c r="B61" s="2599"/>
      <c r="C61" s="2441">
        <f>'Resumen Gastos Fijos'!B27</f>
        <v>0</v>
      </c>
      <c r="D61" s="2437">
        <f>'Resumen Gastos Fijos'!C27</f>
        <v>0</v>
      </c>
    </row>
    <row r="62" spans="2:4" hidden="1" x14ac:dyDescent="0.25">
      <c r="B62" s="2599"/>
      <c r="C62" s="2438">
        <f>SUM(C52:C61)</f>
        <v>16362.959468393694</v>
      </c>
      <c r="D62" s="2438">
        <f t="shared" ref="D62" si="5">SUM(D52:D61)</f>
        <v>18163.530495823823</v>
      </c>
    </row>
    <row r="63" spans="2:4" hidden="1" x14ac:dyDescent="0.25">
      <c r="B63" s="2599"/>
    </row>
    <row r="64" spans="2:4" hidden="1" x14ac:dyDescent="0.25">
      <c r="B64" s="2599"/>
      <c r="C64" s="2441">
        <f t="shared" ref="C64:D73" si="6">ROUND(C52,0)</f>
        <v>0</v>
      </c>
      <c r="D64" s="2437">
        <f t="shared" si="6"/>
        <v>0</v>
      </c>
    </row>
    <row r="65" spans="2:4" hidden="1" x14ac:dyDescent="0.25">
      <c r="B65" s="2599"/>
      <c r="C65" s="2441">
        <f t="shared" si="6"/>
        <v>0</v>
      </c>
      <c r="D65" s="2437">
        <f t="shared" si="6"/>
        <v>0</v>
      </c>
    </row>
    <row r="66" spans="2:4" hidden="1" x14ac:dyDescent="0.25">
      <c r="B66" s="2599"/>
      <c r="C66" s="2441">
        <f t="shared" si="6"/>
        <v>14652</v>
      </c>
      <c r="D66" s="2437">
        <f t="shared" si="6"/>
        <v>15238</v>
      </c>
    </row>
    <row r="67" spans="2:4" hidden="1" x14ac:dyDescent="0.25">
      <c r="B67" s="2599"/>
      <c r="C67" s="2441">
        <f t="shared" si="6"/>
        <v>1065</v>
      </c>
      <c r="D67" s="2437">
        <f t="shared" si="6"/>
        <v>1065</v>
      </c>
    </row>
    <row r="68" spans="2:4" hidden="1" x14ac:dyDescent="0.25">
      <c r="B68" s="2599"/>
      <c r="C68" s="2441">
        <f t="shared" si="6"/>
        <v>0</v>
      </c>
      <c r="D68" s="2437">
        <f t="shared" si="6"/>
        <v>0</v>
      </c>
    </row>
    <row r="69" spans="2:4" hidden="1" x14ac:dyDescent="0.25">
      <c r="B69" s="2599"/>
      <c r="C69" s="2441">
        <f t="shared" si="6"/>
        <v>0</v>
      </c>
      <c r="D69" s="2437">
        <f t="shared" si="6"/>
        <v>0</v>
      </c>
    </row>
    <row r="70" spans="2:4" hidden="1" x14ac:dyDescent="0.25">
      <c r="B70" s="2599"/>
      <c r="C70" s="2441">
        <f t="shared" si="6"/>
        <v>0</v>
      </c>
      <c r="D70" s="2437">
        <f t="shared" si="6"/>
        <v>0</v>
      </c>
    </row>
    <row r="71" spans="2:4" hidden="1" x14ac:dyDescent="0.25">
      <c r="B71" s="2599"/>
      <c r="C71" s="2441">
        <f t="shared" si="6"/>
        <v>646</v>
      </c>
      <c r="D71" s="2437">
        <f t="shared" si="6"/>
        <v>1861</v>
      </c>
    </row>
    <row r="72" spans="2:4" hidden="1" x14ac:dyDescent="0.25">
      <c r="B72" s="2599"/>
      <c r="C72" s="2441">
        <f t="shared" si="6"/>
        <v>0</v>
      </c>
      <c r="D72" s="2437">
        <f t="shared" si="6"/>
        <v>0</v>
      </c>
    </row>
    <row r="73" spans="2:4" hidden="1" x14ac:dyDescent="0.25">
      <c r="B73" s="2599"/>
      <c r="C73" s="2441">
        <f t="shared" si="6"/>
        <v>0</v>
      </c>
      <c r="D73" s="2437">
        <f t="shared" si="6"/>
        <v>0</v>
      </c>
    </row>
    <row r="74" spans="2:4" hidden="1" x14ac:dyDescent="0.25">
      <c r="B74" s="2600"/>
      <c r="C74" s="2438">
        <f>SUM(C64:C73)</f>
        <v>16363</v>
      </c>
      <c r="D74" s="2438">
        <f>SUM(D64:D73)</f>
        <v>18164</v>
      </c>
    </row>
    <row r="75" spans="2:4" hidden="1" x14ac:dyDescent="0.25"/>
    <row r="76" spans="2:4" hidden="1" x14ac:dyDescent="0.25"/>
    <row r="77" spans="2:4" hidden="1" x14ac:dyDescent="0.25"/>
    <row r="78" spans="2:4" hidden="1" x14ac:dyDescent="0.25"/>
    <row r="79" spans="2:4" hidden="1" x14ac:dyDescent="0.25"/>
    <row r="80" spans="2:4"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sheetData>
  <sheetProtection sheet="1" objects="1" scenarios="1"/>
  <mergeCells count="3">
    <mergeCell ref="B2:D2"/>
    <mergeCell ref="E34:E37"/>
    <mergeCell ref="B40:B7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82</vt:i4>
      </vt:variant>
      <vt:variant>
        <vt:lpstr>Rangos con nombre</vt:lpstr>
      </vt:variant>
      <vt:variant>
        <vt:i4>41</vt:i4>
      </vt:variant>
    </vt:vector>
  </HeadingPairs>
  <TitlesOfParts>
    <vt:vector size="123" baseType="lpstr">
      <vt:lpstr>MENÚ PRINCIPAL</vt:lpstr>
      <vt:lpstr>RESULTADOS</vt:lpstr>
      <vt:lpstr>PREVISIÓN INGRESOS</vt:lpstr>
      <vt:lpstr>PREVISIÓN GASTOS</vt:lpstr>
      <vt:lpstr>INICIO ACTIVIDAD</vt:lpstr>
      <vt:lpstr>Índice</vt:lpstr>
      <vt:lpstr>Datos Básicos</vt:lpstr>
      <vt:lpstr>Parametros</vt:lpstr>
      <vt:lpstr>Amortizaciones</vt:lpstr>
      <vt:lpstr>Inv. Iniciales ANC</vt:lpstr>
      <vt:lpstr>Inversiones AC</vt:lpstr>
      <vt:lpstr>Financiación Inicial</vt:lpstr>
      <vt:lpstr>Incentivos</vt:lpstr>
      <vt:lpstr>Préstamos</vt:lpstr>
      <vt:lpstr>Renting</vt:lpstr>
      <vt:lpstr>Leasing</vt:lpstr>
      <vt:lpstr>RR HH</vt:lpstr>
      <vt:lpstr>Plantilla</vt:lpstr>
      <vt:lpstr>Datos Gastos Fijos</vt:lpstr>
      <vt:lpstr>Precios Venta y P. Cobros</vt:lpstr>
      <vt:lpstr>Precios-CV</vt:lpstr>
      <vt:lpstr>Estimacion Ventas</vt:lpstr>
      <vt:lpstr>Politicas Cobros y Pagos</vt:lpstr>
      <vt:lpstr>Otros cobros y pagos</vt:lpstr>
      <vt:lpstr>Bal. Inicial Previo</vt:lpstr>
      <vt:lpstr>DATOS GRAF. COMP. BALANCES</vt:lpstr>
      <vt:lpstr>COMP. Balances Anuales</vt:lpstr>
      <vt:lpstr>REAL Balances Anuales</vt:lpstr>
      <vt:lpstr>Balances anuales</vt:lpstr>
      <vt:lpstr>Prev.Ventas 0</vt:lpstr>
      <vt:lpstr>Prev.Ventas 1</vt:lpstr>
      <vt:lpstr>Prev.Ventas 2</vt:lpstr>
      <vt:lpstr>Prev.Ventas 3</vt:lpstr>
      <vt:lpstr>Prev.Ventas 4</vt:lpstr>
      <vt:lpstr>PyG 0</vt:lpstr>
      <vt:lpstr>PyG 1</vt:lpstr>
      <vt:lpstr>PyG 2</vt:lpstr>
      <vt:lpstr>PyG 3</vt:lpstr>
      <vt:lpstr>PyG 4</vt:lpstr>
      <vt:lpstr>Resumen Ventas 5 años</vt:lpstr>
      <vt:lpstr>DATOS GRAF. COMP. PYG</vt:lpstr>
      <vt:lpstr>COMP. PyG</vt:lpstr>
      <vt:lpstr>PyG Reales</vt:lpstr>
      <vt:lpstr>Imp.Sociedades</vt:lpstr>
      <vt:lpstr>IRPF Prof y Autónomos</vt:lpstr>
      <vt:lpstr>Ret IRPF</vt:lpstr>
      <vt:lpstr>Cobros y pagos 0</vt:lpstr>
      <vt:lpstr>Cobros y pagos 1</vt:lpstr>
      <vt:lpstr>Cobros y pagos 2</vt:lpstr>
      <vt:lpstr>Cobros y pagos 3</vt:lpstr>
      <vt:lpstr>Cobros y pagos 4</vt:lpstr>
      <vt:lpstr>G.F. 0</vt:lpstr>
      <vt:lpstr>G.F. 1</vt:lpstr>
      <vt:lpstr>G.F. 2</vt:lpstr>
      <vt:lpstr>G.F. 3</vt:lpstr>
      <vt:lpstr>G.F. 4</vt:lpstr>
      <vt:lpstr>IVA 0</vt:lpstr>
      <vt:lpstr>IVA 1</vt:lpstr>
      <vt:lpstr>IVA 2</vt:lpstr>
      <vt:lpstr>IVA 3</vt:lpstr>
      <vt:lpstr>IVA 4</vt:lpstr>
      <vt:lpstr>Gastos Financieros</vt:lpstr>
      <vt:lpstr>Tesorería 0</vt:lpstr>
      <vt:lpstr>Tesorería 1</vt:lpstr>
      <vt:lpstr>Tesorería 2</vt:lpstr>
      <vt:lpstr>Tesorería 3</vt:lpstr>
      <vt:lpstr>Tesorería 4</vt:lpstr>
      <vt:lpstr>Resumen Tesorerias</vt:lpstr>
      <vt:lpstr>Datos Evaluación</vt:lpstr>
      <vt:lpstr>COMP. Ratios Básicos</vt:lpstr>
      <vt:lpstr>Ratios Básicos Reales</vt:lpstr>
      <vt:lpstr>Ratios Básicos</vt:lpstr>
      <vt:lpstr>Notas Ratios</vt:lpstr>
      <vt:lpstr>P. Equilibrio</vt:lpstr>
      <vt:lpstr>ACTIVO</vt:lpstr>
      <vt:lpstr>PASIVO</vt:lpstr>
      <vt:lpstr>DEBE</vt:lpstr>
      <vt:lpstr>HABER</vt:lpstr>
      <vt:lpstr>MICROCREDITOS</vt:lpstr>
      <vt:lpstr>PyG anuales</vt:lpstr>
      <vt:lpstr>Resumen Gastos Fijos</vt:lpstr>
      <vt:lpstr>AYUDAS AUTONOMO</vt:lpstr>
      <vt:lpstr>Amortizaciones!Área_de_impresión</vt:lpstr>
      <vt:lpstr>'Balances anuales'!Área_de_impresión</vt:lpstr>
      <vt:lpstr>'Cobros y pagos 0'!Área_de_impresión</vt:lpstr>
      <vt:lpstr>'Cobros y pagos 1'!Área_de_impresión</vt:lpstr>
      <vt:lpstr>'Cobros y pagos 2'!Área_de_impresión</vt:lpstr>
      <vt:lpstr>'Cobros y pagos 3'!Área_de_impresión</vt:lpstr>
      <vt:lpstr>'Cobros y pagos 4'!Área_de_impresión</vt:lpstr>
      <vt:lpstr>'Datos Básicos'!Área_de_impresión</vt:lpstr>
      <vt:lpstr>'Datos Evaluación'!Área_de_impresión</vt:lpstr>
      <vt:lpstr>'Estimacion Ventas'!Área_de_impresión</vt:lpstr>
      <vt:lpstr>Incentivos!Área_de_impresión</vt:lpstr>
      <vt:lpstr>Índice!Área_de_impresión</vt:lpstr>
      <vt:lpstr>'Inv. Iniciales ANC'!Área_de_impresión</vt:lpstr>
      <vt:lpstr>MICROCREDITOS!Área_de_impresión</vt:lpstr>
      <vt:lpstr>'P. Equilibrio'!Área_de_impresión</vt:lpstr>
      <vt:lpstr>Parametros!Área_de_impresión</vt:lpstr>
      <vt:lpstr>Plantilla!Área_de_impresión</vt:lpstr>
      <vt:lpstr>'Precios-CV'!Área_de_impresión</vt:lpstr>
      <vt:lpstr>'Ratios Básicos'!Área_de_impresión</vt:lpstr>
      <vt:lpstr>'Resumen Gastos Fijos'!Área_de_impresión</vt:lpstr>
      <vt:lpstr>'Resumen Tesorerias'!Área_de_impresión</vt:lpstr>
      <vt:lpstr>'Resumen Ventas 5 años'!Área_de_impresión</vt:lpstr>
      <vt:lpstr>'RR HH'!Área_de_impresión</vt:lpstr>
      <vt:lpstr>euro</vt:lpstr>
      <vt:lpstr>inv_propia</vt:lpstr>
      <vt:lpstr>'RR HH'!irpf</vt:lpstr>
      <vt:lpstr>irpf</vt:lpstr>
      <vt:lpstr>isoc</vt:lpstr>
      <vt:lpstr>ITP</vt:lpstr>
      <vt:lpstr>mes0</vt:lpstr>
      <vt:lpstr>'RR HH'!Moneda</vt:lpstr>
      <vt:lpstr>Moneda</vt:lpstr>
      <vt:lpstr>resprevio</vt:lpstr>
      <vt:lpstr>retIRPF</vt:lpstr>
      <vt:lpstr>TARIFAPLANA</vt:lpstr>
      <vt:lpstr>tesoreriasec</vt:lpstr>
      <vt:lpstr>'Gastos Financieros'!Títulos_a_imprimir</vt:lpstr>
      <vt:lpstr>'Otros cobros y pagos'!Títulos_a_imprimir</vt:lpstr>
      <vt:lpstr>Plantilla!Títulos_a_imprimir</vt:lpstr>
      <vt:lpstr>'Politicas Cobros y Pagos'!Títulos_a_imprimir</vt:lpstr>
      <vt:lpstr>'RR HH'!Títulos_a_imprimir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Emilio Granes Fernandez</dc:creator>
  <cp:lastModifiedBy>Jose Ramon Linares Bejar</cp:lastModifiedBy>
  <cp:lastPrinted>2023-06-22T11:24:55Z</cp:lastPrinted>
  <dcterms:created xsi:type="dcterms:W3CDTF">1999-05-11T12:09:08Z</dcterms:created>
  <dcterms:modified xsi:type="dcterms:W3CDTF">2026-11-03T09:40:55Z</dcterms:modified>
</cp:coreProperties>
</file>